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haoNghi/Documents/finance/Orezone Gold/"/>
    </mc:Choice>
  </mc:AlternateContent>
  <xr:revisionPtr revIDLastSave="0" documentId="13_ncr:1_{1EFEB4B6-0B69-D84B-9623-E9192B056532}" xr6:coauthVersionLast="47" xr6:coauthVersionMax="47" xr10:uidLastSave="{00000000-0000-0000-0000-000000000000}"/>
  <bookViews>
    <workbookView xWindow="3500" yWindow="740" windowWidth="25900" windowHeight="16680" tabRatio="634" activeTab="4" xr2:uid="{00000000-000D-0000-FFFF-FFFF00000000}"/>
  </bookViews>
  <sheets>
    <sheet name="COMPS" sheetId="11" r:id="rId1"/>
    <sheet name="Orezone" sheetId="6" r:id="rId2"/>
    <sheet name="Orezone summary" sheetId="28" r:id="rId3"/>
    <sheet name="Perseus" sheetId="17" r:id="rId4"/>
    <sheet name="West African" sheetId="18" r:id="rId5"/>
    <sheet name="Apex" sheetId="19" r:id="rId6"/>
    <sheet name="Mineros S.A." sheetId="21" r:id="rId7"/>
    <sheet name="Pan African" sheetId="23" r:id="rId8"/>
    <sheet name="Harmony" sheetId="20" r:id="rId9"/>
    <sheet name="Ramelius" sheetId="25" r:id="rId10"/>
    <sheet name="Lundin" sheetId="27" r:id="rId11"/>
  </sheets>
  <externalReferences>
    <externalReference r:id="rId12"/>
  </externalReferences>
  <definedNames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"06/19/2024 20:27:10"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anagement" localSheetId="2">'Orezone summary'!#REF!</definedName>
    <definedName name="Management">Orezone!$F$21</definedName>
    <definedName name="_xlnm.Print_Area" localSheetId="10">Lundin!$A$1:$U$283</definedName>
    <definedName name="_xlnm.Print_Area" localSheetId="2">'Orezone summary'!$N$19</definedName>
    <definedName name="_xlnm.Print_Titles" localSheetId="5">Apex!$5:$8</definedName>
    <definedName name="_xlnm.Print_Titles" localSheetId="8">Harmony!$5:$8</definedName>
    <definedName name="_xlnm.Print_Titles" localSheetId="10">Lundin!$5:$8</definedName>
    <definedName name="_xlnm.Print_Titles" localSheetId="6">'Mineros S.A.'!$5:$8</definedName>
    <definedName name="_xlnm.Print_Titles" localSheetId="1">Orezone!$5:$8</definedName>
    <definedName name="_xlnm.Print_Titles" localSheetId="2">'Orezone summary'!#REF!</definedName>
    <definedName name="_xlnm.Print_Titles" localSheetId="7">'Pan African'!$5:$8</definedName>
    <definedName name="_xlnm.Print_Titles" localSheetId="3">Perseus!$5:$8</definedName>
    <definedName name="_xlnm.Print_Titles" localSheetId="9">Ramelius!$5:$8</definedName>
    <definedName name="_xlnm.Print_Titles" localSheetId="4">'West African'!$5:$8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6" i="17" l="1"/>
  <c r="F81" i="6"/>
  <c r="D214" i="6"/>
  <c r="I40" i="18"/>
  <c r="I45" i="20"/>
  <c r="M39" i="28"/>
  <c r="D35" i="28"/>
  <c r="D39" i="28" s="1"/>
  <c r="E35" i="28"/>
  <c r="E39" i="28" s="1"/>
  <c r="F35" i="28"/>
  <c r="F39" i="28" s="1"/>
  <c r="G35" i="28"/>
  <c r="G39" i="28" s="1"/>
  <c r="H35" i="28"/>
  <c r="H39" i="28" s="1"/>
  <c r="I35" i="28"/>
  <c r="I39" i="28" s="1"/>
  <c r="J35" i="28"/>
  <c r="J39" i="28" s="1"/>
  <c r="K35" i="28"/>
  <c r="K39" i="28" s="1"/>
  <c r="L35" i="28"/>
  <c r="L39" i="28" s="1"/>
  <c r="C35" i="28"/>
  <c r="C39" i="28" s="1"/>
  <c r="C16" i="28"/>
  <c r="G207" i="6"/>
  <c r="D57" i="28"/>
  <c r="D60" i="28" s="1"/>
  <c r="D63" i="28" s="1"/>
  <c r="D16" i="28"/>
  <c r="E16" i="28"/>
  <c r="F16" i="28"/>
  <c r="G16" i="28"/>
  <c r="H16" i="28"/>
  <c r="I16" i="28"/>
  <c r="J16" i="28"/>
  <c r="K16" i="28"/>
  <c r="L16" i="28"/>
  <c r="M16" i="28"/>
  <c r="G270" i="6" l="1"/>
  <c r="G271" i="6" s="1"/>
  <c r="G272" i="6" s="1"/>
  <c r="G273" i="6" s="1"/>
  <c r="G274" i="6" s="1"/>
  <c r="G275" i="6" s="1"/>
  <c r="G276" i="6" s="1"/>
  <c r="G277" i="6" s="1"/>
  <c r="G278" i="6" s="1"/>
  <c r="G279" i="6" s="1"/>
  <c r="I268" i="6"/>
  <c r="J268" i="6" s="1"/>
  <c r="K268" i="6" s="1"/>
  <c r="L268" i="6" s="1"/>
  <c r="I352" i="17"/>
  <c r="J352" i="17" s="1"/>
  <c r="K352" i="17" s="1"/>
  <c r="L352" i="17" s="1"/>
  <c r="G354" i="17"/>
  <c r="G355" i="17" s="1"/>
  <c r="G356" i="17" s="1"/>
  <c r="G357" i="17" s="1"/>
  <c r="G358" i="17" s="1"/>
  <c r="G359" i="17" s="1"/>
  <c r="G360" i="17" s="1"/>
  <c r="G361" i="17" s="1"/>
  <c r="G362" i="17" s="1"/>
  <c r="G363" i="17" s="1"/>
  <c r="F22" i="6" l="1"/>
  <c r="W13" i="11" l="1"/>
  <c r="U13" i="11"/>
  <c r="W10" i="11"/>
  <c r="C51" i="11"/>
  <c r="W14" i="11"/>
  <c r="W15" i="11"/>
  <c r="W16" i="11"/>
  <c r="W25" i="11"/>
  <c r="W24" i="11"/>
  <c r="W23" i="11"/>
  <c r="W22" i="11"/>
  <c r="Q25" i="11"/>
  <c r="E158" i="27"/>
  <c r="H118" i="27"/>
  <c r="I118" i="27"/>
  <c r="J118" i="27"/>
  <c r="K118" i="27"/>
  <c r="L118" i="27"/>
  <c r="M118" i="27"/>
  <c r="N118" i="27"/>
  <c r="O118" i="27"/>
  <c r="P118" i="27"/>
  <c r="Q118" i="27"/>
  <c r="R118" i="27"/>
  <c r="S118" i="27"/>
  <c r="T118" i="27"/>
  <c r="G118" i="27"/>
  <c r="G106" i="27"/>
  <c r="G114" i="27"/>
  <c r="F58" i="27"/>
  <c r="G116" i="27"/>
  <c r="E106" i="27"/>
  <c r="F106" i="27"/>
  <c r="Q105" i="27"/>
  <c r="R105" i="27"/>
  <c r="S105" i="27"/>
  <c r="T105" i="27"/>
  <c r="H106" i="27"/>
  <c r="I106" i="27"/>
  <c r="J106" i="27"/>
  <c r="K106" i="27"/>
  <c r="L106" i="27"/>
  <c r="M106" i="27"/>
  <c r="N106" i="27"/>
  <c r="O106" i="27"/>
  <c r="P106" i="27"/>
  <c r="Q106" i="27"/>
  <c r="R106" i="27"/>
  <c r="S106" i="27"/>
  <c r="T106" i="27"/>
  <c r="G99" i="27"/>
  <c r="H97" i="27"/>
  <c r="I97" i="27"/>
  <c r="J97" i="27"/>
  <c r="K97" i="27"/>
  <c r="L97" i="27"/>
  <c r="M97" i="27"/>
  <c r="N97" i="27"/>
  <c r="O97" i="27"/>
  <c r="P97" i="27"/>
  <c r="Q97" i="27"/>
  <c r="R97" i="27"/>
  <c r="S97" i="27"/>
  <c r="T97" i="27"/>
  <c r="G97" i="27"/>
  <c r="G96" i="27"/>
  <c r="H94" i="27"/>
  <c r="I94" i="27"/>
  <c r="J94" i="27"/>
  <c r="K94" i="27"/>
  <c r="L94" i="27"/>
  <c r="M94" i="27"/>
  <c r="N94" i="27"/>
  <c r="O94" i="27"/>
  <c r="P94" i="27"/>
  <c r="Q94" i="27"/>
  <c r="R94" i="27"/>
  <c r="S94" i="27"/>
  <c r="T94" i="27"/>
  <c r="G94" i="27"/>
  <c r="E88" i="27"/>
  <c r="E87" i="27"/>
  <c r="F88" i="27"/>
  <c r="F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G88" i="27"/>
  <c r="G87" i="27"/>
  <c r="F81" i="27"/>
  <c r="F80" i="27"/>
  <c r="Q2" i="27"/>
  <c r="Q1" i="27" s="1"/>
  <c r="R2" i="27"/>
  <c r="R1" i="27" s="1"/>
  <c r="Q14" i="27"/>
  <c r="R14" i="27" s="1"/>
  <c r="S14" i="27" s="1"/>
  <c r="T14" i="27" s="1"/>
  <c r="Q25" i="27"/>
  <c r="Q93" i="27" s="1"/>
  <c r="R25" i="27"/>
  <c r="R93" i="27" s="1"/>
  <c r="S25" i="27"/>
  <c r="S93" i="27" s="1"/>
  <c r="T25" i="27"/>
  <c r="T93" i="27" s="1"/>
  <c r="Q26" i="27"/>
  <c r="R26" i="27"/>
  <c r="S26" i="27"/>
  <c r="T26" i="27"/>
  <c r="Q28" i="27"/>
  <c r="R28" i="27"/>
  <c r="S28" i="27" s="1"/>
  <c r="T28" i="27" s="1"/>
  <c r="Q99" i="27"/>
  <c r="R99" i="27"/>
  <c r="S99" i="27"/>
  <c r="T99" i="27"/>
  <c r="Q96" i="27"/>
  <c r="Q107" i="27" s="1"/>
  <c r="R96" i="27"/>
  <c r="R107" i="27" s="1"/>
  <c r="S96" i="27"/>
  <c r="T96" i="27"/>
  <c r="Q114" i="27"/>
  <c r="R114" i="27"/>
  <c r="S114" i="27"/>
  <c r="T114" i="27"/>
  <c r="Q115" i="27"/>
  <c r="R115" i="27"/>
  <c r="S115" i="27"/>
  <c r="S116" i="27" s="1"/>
  <c r="T115" i="27"/>
  <c r="F25" i="27"/>
  <c r="O26" i="27" s="1"/>
  <c r="W36" i="11" l="1"/>
  <c r="W19" i="11"/>
  <c r="W27" i="11"/>
  <c r="W28" i="11"/>
  <c r="W35" i="11"/>
  <c r="W32" i="11"/>
  <c r="W18" i="11"/>
  <c r="S107" i="27"/>
  <c r="S123" i="27" s="1"/>
  <c r="S125" i="27" s="1"/>
  <c r="S126" i="27" s="1"/>
  <c r="S128" i="27" s="1"/>
  <c r="S133" i="27" s="1"/>
  <c r="T107" i="27"/>
  <c r="T116" i="27"/>
  <c r="R116" i="27"/>
  <c r="R123" i="27" s="1"/>
  <c r="Q116" i="27"/>
  <c r="Q123" i="27" s="1"/>
  <c r="Q125" i="27" s="1"/>
  <c r="Q126" i="27" s="1"/>
  <c r="Q128" i="27" s="1"/>
  <c r="Q133" i="27" s="1"/>
  <c r="S2" i="27"/>
  <c r="R197" i="27"/>
  <c r="Q197" i="27"/>
  <c r="N26" i="27"/>
  <c r="M26" i="27"/>
  <c r="L26" i="27"/>
  <c r="K26" i="27"/>
  <c r="J26" i="27"/>
  <c r="G26" i="27"/>
  <c r="I26" i="27"/>
  <c r="P26" i="27"/>
  <c r="H26" i="27"/>
  <c r="R125" i="27" l="1"/>
  <c r="R126" i="27" s="1"/>
  <c r="R128" i="27" s="1"/>
  <c r="R133" i="27" s="1"/>
  <c r="T123" i="27"/>
  <c r="S1" i="27"/>
  <c r="S197" i="27"/>
  <c r="T2" i="27"/>
  <c r="T125" i="27" l="1"/>
  <c r="T126" i="27" s="1"/>
  <c r="T128" i="27" s="1"/>
  <c r="T133" i="27" s="1"/>
  <c r="T197" i="27"/>
  <c r="T1" i="27"/>
  <c r="G197" i="27" l="1"/>
  <c r="G186" i="27"/>
  <c r="G187" i="27" s="1"/>
  <c r="G188" i="27" s="1"/>
  <c r="G189" i="27" s="1"/>
  <c r="G190" i="27" s="1"/>
  <c r="G191" i="27" s="1"/>
  <c r="G192" i="27" s="1"/>
  <c r="G193" i="27" s="1"/>
  <c r="I184" i="27"/>
  <c r="J184" i="27" s="1"/>
  <c r="K184" i="27" s="1"/>
  <c r="L184" i="27" s="1"/>
  <c r="G184" i="27"/>
  <c r="G172" i="27"/>
  <c r="G173" i="27" s="1"/>
  <c r="G174" i="27" s="1"/>
  <c r="G175" i="27" s="1"/>
  <c r="G176" i="27" s="1"/>
  <c r="G177" i="27" s="1"/>
  <c r="G178" i="27" s="1"/>
  <c r="G179" i="27" s="1"/>
  <c r="I170" i="27"/>
  <c r="J170" i="27" s="1"/>
  <c r="K170" i="27" s="1"/>
  <c r="L170" i="27" s="1"/>
  <c r="G170" i="27"/>
  <c r="P115" i="27"/>
  <c r="O115" i="27"/>
  <c r="N115" i="27"/>
  <c r="M115" i="27"/>
  <c r="L115" i="27"/>
  <c r="K115" i="27"/>
  <c r="J115" i="27"/>
  <c r="I115" i="27"/>
  <c r="H115" i="27"/>
  <c r="G115" i="27"/>
  <c r="P114" i="27"/>
  <c r="P116" i="27" s="1"/>
  <c r="O114" i="27"/>
  <c r="N114" i="27"/>
  <c r="M114" i="27"/>
  <c r="L114" i="27"/>
  <c r="K114" i="27"/>
  <c r="J114" i="27"/>
  <c r="I114" i="27"/>
  <c r="H114" i="27"/>
  <c r="H116" i="27" s="1"/>
  <c r="E111" i="27"/>
  <c r="E110" i="27"/>
  <c r="P96" i="27"/>
  <c r="O96" i="27"/>
  <c r="N96" i="27"/>
  <c r="M96" i="27"/>
  <c r="L96" i="27"/>
  <c r="K96" i="27"/>
  <c r="J96" i="27"/>
  <c r="I96" i="27"/>
  <c r="H96" i="27"/>
  <c r="E84" i="27"/>
  <c r="E81" i="27"/>
  <c r="E80" i="27"/>
  <c r="E76" i="27"/>
  <c r="K99" i="27"/>
  <c r="F57" i="27"/>
  <c r="F49" i="27"/>
  <c r="F45" i="27"/>
  <c r="F35" i="27"/>
  <c r="G30" i="27"/>
  <c r="H28" i="27"/>
  <c r="I28" i="27" s="1"/>
  <c r="J28" i="27" s="1"/>
  <c r="K28" i="27" s="1"/>
  <c r="L28" i="27" s="1"/>
  <c r="M28" i="27" s="1"/>
  <c r="N28" i="27" s="1"/>
  <c r="O28" i="27" s="1"/>
  <c r="P28" i="27" s="1"/>
  <c r="K25" i="27"/>
  <c r="K93" i="27" s="1"/>
  <c r="K105" i="27" s="1"/>
  <c r="H14" i="27"/>
  <c r="I14" i="27" s="1"/>
  <c r="J14" i="27" s="1"/>
  <c r="K14" i="27" s="1"/>
  <c r="L14" i="27" s="1"/>
  <c r="M14" i="27" s="1"/>
  <c r="N14" i="27" s="1"/>
  <c r="O14" i="27" s="1"/>
  <c r="P14" i="27" s="1"/>
  <c r="F10" i="27"/>
  <c r="H48" i="27" s="1"/>
  <c r="H2" i="27"/>
  <c r="H197" i="27" s="1"/>
  <c r="G1" i="27"/>
  <c r="G178" i="25"/>
  <c r="G167" i="25"/>
  <c r="G168" i="25" s="1"/>
  <c r="G169" i="25" s="1"/>
  <c r="G170" i="25" s="1"/>
  <c r="G171" i="25" s="1"/>
  <c r="G172" i="25" s="1"/>
  <c r="G173" i="25" s="1"/>
  <c r="G174" i="25" s="1"/>
  <c r="I165" i="25"/>
  <c r="J165" i="25" s="1"/>
  <c r="K165" i="25" s="1"/>
  <c r="L165" i="25" s="1"/>
  <c r="G165" i="25"/>
  <c r="G153" i="25"/>
  <c r="G154" i="25" s="1"/>
  <c r="G155" i="25" s="1"/>
  <c r="G156" i="25" s="1"/>
  <c r="G157" i="25" s="1"/>
  <c r="G158" i="25" s="1"/>
  <c r="G159" i="25" s="1"/>
  <c r="G160" i="25" s="1"/>
  <c r="I151" i="25"/>
  <c r="J151" i="25" s="1"/>
  <c r="K151" i="25" s="1"/>
  <c r="L151" i="25" s="1"/>
  <c r="G151" i="25"/>
  <c r="E139" i="25"/>
  <c r="AL96" i="25"/>
  <c r="AL97" i="25" s="1"/>
  <c r="AK96" i="25"/>
  <c r="AK97" i="25" s="1"/>
  <c r="AJ96" i="25"/>
  <c r="AJ97" i="25" s="1"/>
  <c r="AI96" i="25"/>
  <c r="AH96" i="25"/>
  <c r="AG96" i="25"/>
  <c r="AF96" i="25"/>
  <c r="AF97" i="25" s="1"/>
  <c r="AE96" i="25"/>
  <c r="AE97" i="25" s="1"/>
  <c r="AD96" i="25"/>
  <c r="AD97" i="25" s="1"/>
  <c r="AC96" i="25"/>
  <c r="AC97" i="25" s="1"/>
  <c r="AB96" i="25"/>
  <c r="AB97" i="25" s="1"/>
  <c r="AA96" i="25"/>
  <c r="Z96" i="25"/>
  <c r="Z97" i="25" s="1"/>
  <c r="Y96" i="25"/>
  <c r="X96" i="25"/>
  <c r="X97" i="25" s="1"/>
  <c r="W96" i="25"/>
  <c r="W97" i="25" s="1"/>
  <c r="V96" i="25"/>
  <c r="V97" i="25" s="1"/>
  <c r="U96" i="25"/>
  <c r="U97" i="25" s="1"/>
  <c r="T96" i="25"/>
  <c r="T97" i="25" s="1"/>
  <c r="S96" i="25"/>
  <c r="R96" i="25"/>
  <c r="Q96" i="25"/>
  <c r="P96" i="25"/>
  <c r="P97" i="25" s="1"/>
  <c r="O96" i="25"/>
  <c r="N96" i="25"/>
  <c r="N97" i="25" s="1"/>
  <c r="M96" i="25"/>
  <c r="M97" i="25" s="1"/>
  <c r="L96" i="25"/>
  <c r="K96" i="25"/>
  <c r="J96" i="25"/>
  <c r="J97" i="25" s="1"/>
  <c r="I96" i="25"/>
  <c r="H96" i="25"/>
  <c r="H97" i="25" s="1"/>
  <c r="G96" i="25"/>
  <c r="G97" i="25" s="1"/>
  <c r="E93" i="25"/>
  <c r="AL71" i="25" a="1"/>
  <c r="AL71" i="25" s="1"/>
  <c r="AL80" i="25" s="1"/>
  <c r="AK71" i="25" a="1"/>
  <c r="AK71" i="25" s="1"/>
  <c r="AK80" i="25" s="1"/>
  <c r="AJ71" i="25" a="1"/>
  <c r="AJ71" i="25" s="1"/>
  <c r="AJ80" i="25" s="1"/>
  <c r="AI71" i="25" a="1"/>
  <c r="AI71" i="25" s="1"/>
  <c r="AI80" i="25" s="1"/>
  <c r="AH71" i="25" a="1"/>
  <c r="AH71" i="25" s="1"/>
  <c r="AH80" i="25" s="1"/>
  <c r="AG71" i="25" a="1"/>
  <c r="AG71" i="25" s="1"/>
  <c r="AG80" i="25" s="1"/>
  <c r="AF71" i="25" a="1"/>
  <c r="AF71" i="25" s="1"/>
  <c r="AF80" i="25" s="1"/>
  <c r="AE71" i="25" a="1"/>
  <c r="AE71" i="25" s="1"/>
  <c r="AE80" i="25" s="1"/>
  <c r="AD71" i="25" a="1"/>
  <c r="AD71" i="25" s="1"/>
  <c r="AD80" i="25" s="1"/>
  <c r="AC71" i="25" a="1"/>
  <c r="AC71" i="25" s="1"/>
  <c r="AC80" i="25" s="1"/>
  <c r="AB71" i="25" a="1"/>
  <c r="AB71" i="25" s="1"/>
  <c r="AB80" i="25" s="1"/>
  <c r="AA71" i="25" a="1"/>
  <c r="AA71" i="25" s="1"/>
  <c r="AA80" i="25" s="1"/>
  <c r="Z71" i="25" a="1"/>
  <c r="Z71" i="25" s="1"/>
  <c r="Z80" i="25" s="1"/>
  <c r="Y71" i="25" a="1"/>
  <c r="Y71" i="25" s="1"/>
  <c r="Y80" i="25" s="1"/>
  <c r="X71" i="25" a="1"/>
  <c r="X71" i="25" s="1"/>
  <c r="X80" i="25" s="1"/>
  <c r="W71" i="25" a="1"/>
  <c r="W71" i="25" s="1"/>
  <c r="W80" i="25" s="1"/>
  <c r="V71" i="25" a="1"/>
  <c r="V71" i="25" s="1"/>
  <c r="V80" i="25" s="1"/>
  <c r="U71" i="25" a="1"/>
  <c r="U71" i="25" s="1"/>
  <c r="U80" i="25" s="1"/>
  <c r="T71" i="25" a="1"/>
  <c r="T71" i="25" s="1"/>
  <c r="T80" i="25" s="1"/>
  <c r="S71" i="25" a="1"/>
  <c r="S71" i="25" s="1"/>
  <c r="S80" i="25" s="1"/>
  <c r="R71" i="25" a="1"/>
  <c r="R71" i="25" s="1"/>
  <c r="R80" i="25" s="1"/>
  <c r="Q71" i="25" a="1"/>
  <c r="Q71" i="25" s="1"/>
  <c r="Q80" i="25" s="1"/>
  <c r="P71" i="25" a="1"/>
  <c r="P71" i="25" s="1"/>
  <c r="P80" i="25" s="1"/>
  <c r="O71" i="25" a="1"/>
  <c r="O71" i="25" s="1"/>
  <c r="O80" i="25" s="1"/>
  <c r="N71" i="25" a="1"/>
  <c r="N71" i="25" s="1"/>
  <c r="N80" i="25" s="1"/>
  <c r="M71" i="25" a="1"/>
  <c r="M71" i="25" s="1"/>
  <c r="M80" i="25" s="1"/>
  <c r="L71" i="25" a="1"/>
  <c r="L71" i="25" s="1"/>
  <c r="L80" i="25" s="1"/>
  <c r="K71" i="25" a="1"/>
  <c r="K71" i="25" s="1"/>
  <c r="K80" i="25" s="1"/>
  <c r="J71" i="25" a="1"/>
  <c r="J71" i="25" s="1"/>
  <c r="J80" i="25" s="1"/>
  <c r="I71" i="25" a="1"/>
  <c r="I71" i="25" s="1"/>
  <c r="I80" i="25" s="1"/>
  <c r="H71" i="25" a="1"/>
  <c r="H71" i="25" s="1"/>
  <c r="H80" i="25" s="1"/>
  <c r="G71" i="25" a="1"/>
  <c r="G71" i="25" s="1"/>
  <c r="E68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G65" i="25"/>
  <c r="F64" i="25"/>
  <c r="E64" i="25"/>
  <c r="E62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G60" i="25"/>
  <c r="F46" i="25"/>
  <c r="F45" i="25"/>
  <c r="F37" i="25"/>
  <c r="F27" i="25" s="1"/>
  <c r="H25" i="25"/>
  <c r="I25" i="25" s="1"/>
  <c r="J25" i="25" s="1"/>
  <c r="K25" i="25" s="1"/>
  <c r="L25" i="25" s="1"/>
  <c r="M25" i="25" s="1"/>
  <c r="N25" i="25" s="1"/>
  <c r="O25" i="25" s="1"/>
  <c r="P25" i="25" s="1"/>
  <c r="Q25" i="25" s="1"/>
  <c r="R25" i="25" s="1"/>
  <c r="S25" i="25" s="1"/>
  <c r="T25" i="25" s="1"/>
  <c r="U25" i="25" s="1"/>
  <c r="V25" i="25" s="1"/>
  <c r="W25" i="25" s="1"/>
  <c r="X25" i="25" s="1"/>
  <c r="Y25" i="25" s="1"/>
  <c r="Z25" i="25" s="1"/>
  <c r="AA25" i="25" s="1"/>
  <c r="AB25" i="25" s="1"/>
  <c r="AC25" i="25" s="1"/>
  <c r="AD25" i="25" s="1"/>
  <c r="AE25" i="25" s="1"/>
  <c r="AF25" i="25" s="1"/>
  <c r="AG25" i="25" s="1"/>
  <c r="AH25" i="25" s="1"/>
  <c r="AI25" i="25" s="1"/>
  <c r="AJ25" i="25" s="1"/>
  <c r="AK25" i="25" s="1"/>
  <c r="AL25" i="25" s="1"/>
  <c r="F22" i="25"/>
  <c r="AF22" i="25" s="1"/>
  <c r="AF77" i="25" s="1"/>
  <c r="H14" i="25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S14" i="25" s="1"/>
  <c r="T14" i="25" s="1"/>
  <c r="U14" i="25" s="1"/>
  <c r="V14" i="25" s="1"/>
  <c r="W14" i="25" s="1"/>
  <c r="X14" i="25" s="1"/>
  <c r="Y14" i="25" s="1"/>
  <c r="Z14" i="25" s="1"/>
  <c r="AA14" i="25" s="1"/>
  <c r="AB14" i="25" s="1"/>
  <c r="AC14" i="25" s="1"/>
  <c r="AD14" i="25" s="1"/>
  <c r="AE14" i="25" s="1"/>
  <c r="AF14" i="25" s="1"/>
  <c r="AG14" i="25" s="1"/>
  <c r="AH14" i="25" s="1"/>
  <c r="AI14" i="25" s="1"/>
  <c r="AJ14" i="25" s="1"/>
  <c r="AK14" i="25" s="1"/>
  <c r="AL14" i="25" s="1"/>
  <c r="F10" i="25"/>
  <c r="H2" i="25"/>
  <c r="H178" i="25" s="1"/>
  <c r="G1" i="25"/>
  <c r="H37" i="20"/>
  <c r="I37" i="20"/>
  <c r="J37" i="20"/>
  <c r="K37" i="20"/>
  <c r="G37" i="20"/>
  <c r="Z120" i="20"/>
  <c r="F32" i="20"/>
  <c r="K32" i="20"/>
  <c r="L32" i="20"/>
  <c r="M32" i="20"/>
  <c r="N32" i="20"/>
  <c r="O32" i="20"/>
  <c r="P32" i="20"/>
  <c r="Q32" i="20"/>
  <c r="J32" i="20"/>
  <c r="H32" i="20"/>
  <c r="I32" i="20"/>
  <c r="R32" i="20"/>
  <c r="S32" i="20"/>
  <c r="T32" i="20"/>
  <c r="U32" i="20"/>
  <c r="V32" i="20"/>
  <c r="W32" i="20"/>
  <c r="X32" i="20"/>
  <c r="G32" i="20"/>
  <c r="O27" i="20"/>
  <c r="P27" i="20"/>
  <c r="N27" i="20"/>
  <c r="M27" i="20"/>
  <c r="L27" i="20"/>
  <c r="K27" i="20"/>
  <c r="H87" i="20"/>
  <c r="I87" i="20"/>
  <c r="J87" i="20"/>
  <c r="Q87" i="20"/>
  <c r="R87" i="20"/>
  <c r="S87" i="20"/>
  <c r="T87" i="20"/>
  <c r="U87" i="20"/>
  <c r="V87" i="20"/>
  <c r="V120" i="20" s="1"/>
  <c r="W87" i="20"/>
  <c r="X87" i="20"/>
  <c r="Y87" i="20"/>
  <c r="Z87" i="20"/>
  <c r="L89" i="20"/>
  <c r="M89" i="20"/>
  <c r="N89" i="20"/>
  <c r="O89" i="20"/>
  <c r="P89" i="20"/>
  <c r="Q89" i="20"/>
  <c r="R89" i="20"/>
  <c r="S89" i="20"/>
  <c r="T89" i="20"/>
  <c r="U89" i="20"/>
  <c r="V89" i="20"/>
  <c r="W89" i="20"/>
  <c r="X89" i="20"/>
  <c r="Y89" i="20"/>
  <c r="Z89" i="20"/>
  <c r="AA89" i="20"/>
  <c r="G87" i="20"/>
  <c r="Q37" i="20"/>
  <c r="R37" i="20"/>
  <c r="S37" i="20"/>
  <c r="T37" i="20"/>
  <c r="U81" i="20"/>
  <c r="L37" i="20"/>
  <c r="M37" i="20"/>
  <c r="N37" i="20"/>
  <c r="O37" i="20"/>
  <c r="P37" i="20"/>
  <c r="M81" i="20"/>
  <c r="F64" i="23"/>
  <c r="F66" i="23"/>
  <c r="F65" i="20"/>
  <c r="E118" i="20"/>
  <c r="E85" i="20"/>
  <c r="H54" i="20"/>
  <c r="G53" i="20"/>
  <c r="H53" i="20" s="1"/>
  <c r="H50" i="20"/>
  <c r="H46" i="20"/>
  <c r="H45" i="20"/>
  <c r="F49" i="20"/>
  <c r="H49" i="20" s="1"/>
  <c r="F65" i="23"/>
  <c r="G128" i="23"/>
  <c r="E124" i="23"/>
  <c r="E125" i="23"/>
  <c r="E126" i="23"/>
  <c r="E123" i="23"/>
  <c r="F126" i="23"/>
  <c r="F124" i="23"/>
  <c r="F125" i="23"/>
  <c r="F123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V126" i="23"/>
  <c r="W126" i="23"/>
  <c r="X126" i="23"/>
  <c r="Y126" i="23"/>
  <c r="Z126" i="23"/>
  <c r="AA126" i="23"/>
  <c r="AB126" i="23"/>
  <c r="AC126" i="23"/>
  <c r="AD126" i="23"/>
  <c r="AE126" i="23"/>
  <c r="AF126" i="23"/>
  <c r="AG126" i="23"/>
  <c r="AH126" i="23"/>
  <c r="AI126" i="23"/>
  <c r="AJ126" i="23"/>
  <c r="AK126" i="23"/>
  <c r="AL126" i="23"/>
  <c r="G126" i="23"/>
  <c r="H123" i="23"/>
  <c r="I123" i="23"/>
  <c r="J123" i="23"/>
  <c r="K123" i="23"/>
  <c r="L123" i="23"/>
  <c r="M123" i="23"/>
  <c r="N123" i="23"/>
  <c r="O123" i="23"/>
  <c r="P123" i="23"/>
  <c r="Q123" i="23"/>
  <c r="R123" i="23"/>
  <c r="S123" i="23"/>
  <c r="T123" i="23"/>
  <c r="U123" i="23"/>
  <c r="V123" i="23"/>
  <c r="W123" i="23"/>
  <c r="X123" i="23"/>
  <c r="Y123" i="23"/>
  <c r="Z123" i="23"/>
  <c r="AA123" i="23"/>
  <c r="AB123" i="23"/>
  <c r="AC123" i="23"/>
  <c r="AD123" i="23"/>
  <c r="AE123" i="23"/>
  <c r="AF123" i="23"/>
  <c r="AG123" i="23"/>
  <c r="AH123" i="23"/>
  <c r="AI123" i="23"/>
  <c r="AJ123" i="23"/>
  <c r="AK123" i="23"/>
  <c r="AL123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V124" i="23"/>
  <c r="W124" i="23"/>
  <c r="X124" i="23"/>
  <c r="Y124" i="23"/>
  <c r="Z124" i="23"/>
  <c r="AA124" i="23"/>
  <c r="AB124" i="23"/>
  <c r="AC124" i="23"/>
  <c r="AD124" i="23"/>
  <c r="AE124" i="23"/>
  <c r="AF124" i="23"/>
  <c r="AG124" i="23"/>
  <c r="AH124" i="23"/>
  <c r="AI124" i="23"/>
  <c r="AJ124" i="23"/>
  <c r="AK124" i="23"/>
  <c r="AL124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V125" i="23"/>
  <c r="W125" i="23"/>
  <c r="X125" i="23"/>
  <c r="Y125" i="23"/>
  <c r="Z125" i="23"/>
  <c r="AA125" i="23"/>
  <c r="AB125" i="23"/>
  <c r="AC125" i="23"/>
  <c r="AD125" i="23"/>
  <c r="AE125" i="23"/>
  <c r="AF125" i="23"/>
  <c r="AG125" i="23"/>
  <c r="AH125" i="23"/>
  <c r="AI125" i="23"/>
  <c r="AJ125" i="23"/>
  <c r="AK125" i="23"/>
  <c r="AL125" i="23"/>
  <c r="G124" i="23"/>
  <c r="G125" i="23"/>
  <c r="G123" i="23"/>
  <c r="R114" i="23"/>
  <c r="H118" i="23"/>
  <c r="I118" i="23"/>
  <c r="J118" i="23"/>
  <c r="K118" i="23"/>
  <c r="L118" i="23"/>
  <c r="M118" i="23"/>
  <c r="N118" i="23"/>
  <c r="O118" i="23"/>
  <c r="P118" i="23"/>
  <c r="Q118" i="23"/>
  <c r="R118" i="23"/>
  <c r="S118" i="23"/>
  <c r="T118" i="23"/>
  <c r="U118" i="23"/>
  <c r="V118" i="23"/>
  <c r="W118" i="23"/>
  <c r="X118" i="23"/>
  <c r="Y118" i="23"/>
  <c r="Z118" i="23"/>
  <c r="AA118" i="23"/>
  <c r="AB118" i="23"/>
  <c r="AC118" i="23"/>
  <c r="AD118" i="23"/>
  <c r="AE118" i="23"/>
  <c r="AF118" i="23"/>
  <c r="AG118" i="23"/>
  <c r="AH118" i="23"/>
  <c r="AI118" i="23"/>
  <c r="AJ118" i="23"/>
  <c r="AK118" i="23"/>
  <c r="AL118" i="23"/>
  <c r="G118" i="23"/>
  <c r="G114" i="23"/>
  <c r="H96" i="23" a="1"/>
  <c r="H96" i="23" s="1"/>
  <c r="I96" i="23" a="1"/>
  <c r="I96" i="23"/>
  <c r="J96" i="23" a="1"/>
  <c r="J96" i="23" s="1"/>
  <c r="K96" i="23" a="1"/>
  <c r="K96" i="23" s="1"/>
  <c r="L96" i="23" a="1"/>
  <c r="L96" i="23" s="1"/>
  <c r="M96" i="23" a="1"/>
  <c r="M96" i="23"/>
  <c r="N96" i="23" a="1"/>
  <c r="N96" i="23"/>
  <c r="O96" i="23" a="1"/>
  <c r="O96" i="23" s="1"/>
  <c r="P96" i="23" a="1"/>
  <c r="P96" i="23" s="1"/>
  <c r="Q96" i="23" a="1"/>
  <c r="Q96" i="23"/>
  <c r="R96" i="23" a="1"/>
  <c r="R96" i="23"/>
  <c r="S96" i="23" a="1"/>
  <c r="S96" i="23" s="1"/>
  <c r="T96" i="23" a="1"/>
  <c r="T96" i="23" s="1"/>
  <c r="U96" i="23" a="1"/>
  <c r="U96" i="23"/>
  <c r="V96" i="23" a="1"/>
  <c r="V96" i="23"/>
  <c r="W96" i="23" a="1"/>
  <c r="W96" i="23" s="1"/>
  <c r="X96" i="23" a="1"/>
  <c r="X96" i="23" s="1"/>
  <c r="Y96" i="23" a="1"/>
  <c r="Y96" i="23"/>
  <c r="Z96" i="23" a="1"/>
  <c r="Z96" i="23" s="1"/>
  <c r="AA96" i="23" a="1"/>
  <c r="AA96" i="23" s="1"/>
  <c r="AA105" i="23" s="1"/>
  <c r="AB96" i="23" a="1"/>
  <c r="AB96" i="23" s="1"/>
  <c r="AC96" i="23" a="1"/>
  <c r="AC96" i="23"/>
  <c r="AC105" i="23" s="1"/>
  <c r="AD96" i="23" a="1"/>
  <c r="AD96" i="23" s="1"/>
  <c r="AE96" i="23" a="1"/>
  <c r="AE96" i="23" s="1"/>
  <c r="AF96" i="23" a="1"/>
  <c r="AF96" i="23" s="1"/>
  <c r="AF105" i="23" s="1"/>
  <c r="AG96" i="23" a="1"/>
  <c r="AG96" i="23"/>
  <c r="AG105" i="23" s="1"/>
  <c r="AH96" i="23" a="1"/>
  <c r="AH96" i="23" s="1"/>
  <c r="AH105" i="23" s="1"/>
  <c r="AI96" i="23" a="1"/>
  <c r="AI96" i="23" s="1"/>
  <c r="AJ96" i="23" a="1"/>
  <c r="AJ96" i="23" s="1"/>
  <c r="AK96" i="23" a="1"/>
  <c r="AK96" i="23"/>
  <c r="AL96" i="23" a="1"/>
  <c r="AL96" i="23" s="1"/>
  <c r="G96" i="23" a="1"/>
  <c r="G96" i="23" s="1"/>
  <c r="AD90" i="23"/>
  <c r="AE90" i="23"/>
  <c r="AF90" i="23"/>
  <c r="AG90" i="23"/>
  <c r="AH90" i="23"/>
  <c r="AI90" i="23"/>
  <c r="AJ90" i="23"/>
  <c r="AK90" i="23"/>
  <c r="AL90" i="23"/>
  <c r="H90" i="23"/>
  <c r="I90" i="23"/>
  <c r="J90" i="23"/>
  <c r="K90" i="23"/>
  <c r="L90" i="23"/>
  <c r="M90" i="23"/>
  <c r="N90" i="23"/>
  <c r="O90" i="23"/>
  <c r="P90" i="23"/>
  <c r="Q90" i="23"/>
  <c r="R90" i="23"/>
  <c r="S90" i="23"/>
  <c r="T90" i="23"/>
  <c r="U90" i="23"/>
  <c r="V90" i="23"/>
  <c r="W90" i="23"/>
  <c r="X90" i="23"/>
  <c r="Y90" i="23"/>
  <c r="Z90" i="23"/>
  <c r="AA90" i="23"/>
  <c r="AB90" i="23"/>
  <c r="AC90" i="23"/>
  <c r="G90" i="23"/>
  <c r="E90" i="23" s="1"/>
  <c r="L89" i="23"/>
  <c r="K89" i="23"/>
  <c r="J89" i="23"/>
  <c r="I89" i="23"/>
  <c r="H89" i="23"/>
  <c r="G89" i="23"/>
  <c r="T89" i="23"/>
  <c r="S89" i="23"/>
  <c r="R89" i="23"/>
  <c r="Q89" i="23"/>
  <c r="P89" i="23"/>
  <c r="O89" i="23"/>
  <c r="N89" i="23"/>
  <c r="M89" i="23"/>
  <c r="AE88" i="23"/>
  <c r="AD88" i="23"/>
  <c r="AB79" i="23"/>
  <c r="AB108" i="23" s="1"/>
  <c r="AC79" i="23"/>
  <c r="AC108" i="23" s="1"/>
  <c r="AD79" i="23"/>
  <c r="AD108" i="23" s="1"/>
  <c r="AE79" i="23"/>
  <c r="AF79" i="23"/>
  <c r="AG79" i="23"/>
  <c r="AH79" i="23"/>
  <c r="AI79" i="23"/>
  <c r="AI108" i="23" s="1"/>
  <c r="AJ79" i="23"/>
  <c r="AJ108" i="23" s="1"/>
  <c r="AK79" i="23"/>
  <c r="AK108" i="23" s="1"/>
  <c r="AL79" i="23"/>
  <c r="AL108" i="23" s="1"/>
  <c r="AB80" i="23"/>
  <c r="AC80" i="23"/>
  <c r="AD80" i="23"/>
  <c r="AE80" i="23"/>
  <c r="AF80" i="23"/>
  <c r="AF108" i="23" s="1"/>
  <c r="AG80" i="23"/>
  <c r="AH80" i="23"/>
  <c r="AI80" i="23"/>
  <c r="AJ80" i="23"/>
  <c r="AK80" i="23"/>
  <c r="AL80" i="23"/>
  <c r="AB88" i="23"/>
  <c r="AI88" i="23"/>
  <c r="AJ88" i="23"/>
  <c r="AK88" i="23"/>
  <c r="AK105" i="23" s="1"/>
  <c r="AL88" i="23"/>
  <c r="Z88" i="23"/>
  <c r="W88" i="23"/>
  <c r="V88" i="23"/>
  <c r="U88" i="23"/>
  <c r="T88" i="23"/>
  <c r="S88" i="23"/>
  <c r="P88" i="23"/>
  <c r="E153" i="21"/>
  <c r="R88" i="23"/>
  <c r="Q88" i="23"/>
  <c r="O88" i="23"/>
  <c r="N88" i="23"/>
  <c r="M88" i="23"/>
  <c r="L88" i="23"/>
  <c r="E88" i="23" s="1"/>
  <c r="K88" i="23"/>
  <c r="J88" i="23"/>
  <c r="I88" i="23"/>
  <c r="H88" i="23"/>
  <c r="G88" i="23"/>
  <c r="I87" i="23"/>
  <c r="J87" i="23"/>
  <c r="S87" i="23"/>
  <c r="R87" i="23"/>
  <c r="N87" i="23"/>
  <c r="O87" i="23"/>
  <c r="M87" i="23"/>
  <c r="Y87" i="23"/>
  <c r="Z87" i="23"/>
  <c r="X87" i="23"/>
  <c r="T87" i="23"/>
  <c r="Q87" i="23"/>
  <c r="P87" i="23"/>
  <c r="L87" i="23"/>
  <c r="K87" i="23"/>
  <c r="H87" i="23"/>
  <c r="G87" i="23"/>
  <c r="F45" i="23"/>
  <c r="F47" i="23" s="1"/>
  <c r="W87" i="23"/>
  <c r="V87" i="23"/>
  <c r="U87" i="23"/>
  <c r="AA79" i="23"/>
  <c r="AA80" i="23"/>
  <c r="R25" i="23"/>
  <c r="S25" i="23" s="1"/>
  <c r="T25" i="23" s="1"/>
  <c r="U25" i="23" s="1"/>
  <c r="V25" i="23" s="1"/>
  <c r="W25" i="23" s="1"/>
  <c r="X25" i="23" s="1"/>
  <c r="Y25" i="23" s="1"/>
  <c r="Z25" i="23" s="1"/>
  <c r="AA25" i="23" s="1"/>
  <c r="AB25" i="23" s="1"/>
  <c r="AC25" i="23" s="1"/>
  <c r="AD25" i="23" s="1"/>
  <c r="AE25" i="23" s="1"/>
  <c r="AF25" i="23" s="1"/>
  <c r="AG25" i="23" s="1"/>
  <c r="AH25" i="23" s="1"/>
  <c r="AI25" i="23" s="1"/>
  <c r="AJ25" i="23" s="1"/>
  <c r="AK25" i="23" s="1"/>
  <c r="AL25" i="23" s="1"/>
  <c r="R79" i="23"/>
  <c r="S79" i="23"/>
  <c r="T79" i="23"/>
  <c r="U79" i="23"/>
  <c r="V79" i="23"/>
  <c r="W79" i="23"/>
  <c r="X79" i="23"/>
  <c r="Y79" i="23"/>
  <c r="Z79" i="23"/>
  <c r="R80" i="23"/>
  <c r="S80" i="23"/>
  <c r="T80" i="23"/>
  <c r="U80" i="23"/>
  <c r="V80" i="23"/>
  <c r="V108" i="23" s="1"/>
  <c r="W80" i="23"/>
  <c r="W108" i="23" s="1"/>
  <c r="X80" i="23"/>
  <c r="Y80" i="23"/>
  <c r="Z80" i="23"/>
  <c r="U105" i="23"/>
  <c r="F55" i="23"/>
  <c r="F32" i="23" s="1"/>
  <c r="F51" i="23"/>
  <c r="F137" i="19"/>
  <c r="F134" i="19"/>
  <c r="F135" i="19"/>
  <c r="F136" i="19"/>
  <c r="F133" i="19"/>
  <c r="G207" i="23"/>
  <c r="G196" i="23"/>
  <c r="G197" i="23" s="1"/>
  <c r="G198" i="23" s="1"/>
  <c r="G199" i="23" s="1"/>
  <c r="G200" i="23" s="1"/>
  <c r="G201" i="23" s="1"/>
  <c r="G202" i="23" s="1"/>
  <c r="G203" i="23" s="1"/>
  <c r="I194" i="23"/>
  <c r="J194" i="23" s="1"/>
  <c r="K194" i="23" s="1"/>
  <c r="L194" i="23" s="1"/>
  <c r="G194" i="23"/>
  <c r="G182" i="23"/>
  <c r="G183" i="23" s="1"/>
  <c r="G184" i="23" s="1"/>
  <c r="G185" i="23" s="1"/>
  <c r="G186" i="23" s="1"/>
  <c r="G187" i="23" s="1"/>
  <c r="G188" i="23" s="1"/>
  <c r="G189" i="23" s="1"/>
  <c r="I180" i="23"/>
  <c r="J180" i="23" s="1"/>
  <c r="K180" i="23" s="1"/>
  <c r="L180" i="23" s="1"/>
  <c r="G180" i="23"/>
  <c r="E168" i="23"/>
  <c r="E120" i="23"/>
  <c r="E93" i="23"/>
  <c r="E84" i="23"/>
  <c r="E83" i="23"/>
  <c r="Q80" i="23"/>
  <c r="P80" i="23"/>
  <c r="O80" i="23"/>
  <c r="N80" i="23"/>
  <c r="M80" i="23"/>
  <c r="L80" i="23"/>
  <c r="K80" i="23"/>
  <c r="J80" i="23"/>
  <c r="I80" i="23"/>
  <c r="H80" i="23"/>
  <c r="G80" i="23"/>
  <c r="Q79" i="23"/>
  <c r="P79" i="23"/>
  <c r="O79" i="23"/>
  <c r="N79" i="23"/>
  <c r="M79" i="23"/>
  <c r="L79" i="23"/>
  <c r="K79" i="23"/>
  <c r="J79" i="23"/>
  <c r="I79" i="23"/>
  <c r="H79" i="23"/>
  <c r="G79" i="23"/>
  <c r="H25" i="23"/>
  <c r="I25" i="23" s="1"/>
  <c r="J25" i="23" s="1"/>
  <c r="K25" i="23" s="1"/>
  <c r="L25" i="23" s="1"/>
  <c r="M25" i="23" s="1"/>
  <c r="N25" i="23" s="1"/>
  <c r="O25" i="23" s="1"/>
  <c r="P25" i="23" s="1"/>
  <c r="Q25" i="23" s="1"/>
  <c r="F22" i="23"/>
  <c r="J22" i="23" s="1"/>
  <c r="J102" i="23" s="1"/>
  <c r="H14" i="23"/>
  <c r="I14" i="23" s="1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U14" i="23" s="1"/>
  <c r="V14" i="23" s="1"/>
  <c r="W14" i="23" s="1"/>
  <c r="X14" i="23" s="1"/>
  <c r="Y14" i="23" s="1"/>
  <c r="Z14" i="23" s="1"/>
  <c r="AA14" i="23" s="1"/>
  <c r="AB14" i="23" s="1"/>
  <c r="AC14" i="23" s="1"/>
  <c r="AD14" i="23" s="1"/>
  <c r="AE14" i="23" s="1"/>
  <c r="AF14" i="23" s="1"/>
  <c r="AG14" i="23" s="1"/>
  <c r="AH14" i="23" s="1"/>
  <c r="AI14" i="23" s="1"/>
  <c r="AJ14" i="23" s="1"/>
  <c r="AK14" i="23" s="1"/>
  <c r="AL14" i="23" s="1"/>
  <c r="F10" i="23"/>
  <c r="H54" i="23" s="1"/>
  <c r="H55" i="23" s="1"/>
  <c r="H2" i="23"/>
  <c r="H207" i="23" s="1"/>
  <c r="G1" i="23"/>
  <c r="F56" i="21"/>
  <c r="G115" i="21"/>
  <c r="G111" i="21"/>
  <c r="I85" i="21" a="1"/>
  <c r="I85" i="21" s="1"/>
  <c r="I94" i="21" s="1"/>
  <c r="H85" i="21" a="1"/>
  <c r="H85" i="21" s="1"/>
  <c r="H94" i="21" s="1"/>
  <c r="I78" i="21"/>
  <c r="J78" i="21"/>
  <c r="H78" i="21"/>
  <c r="L78" i="21"/>
  <c r="K78" i="21"/>
  <c r="K79" i="21"/>
  <c r="L79" i="21"/>
  <c r="N79" i="21"/>
  <c r="O79" i="21"/>
  <c r="P79" i="21"/>
  <c r="H79" i="21"/>
  <c r="G79" i="21"/>
  <c r="M79" i="21"/>
  <c r="J79" i="21"/>
  <c r="I79" i="21"/>
  <c r="Q79" i="21"/>
  <c r="K112" i="21"/>
  <c r="M112" i="21"/>
  <c r="O112" i="21"/>
  <c r="L112" i="21"/>
  <c r="J112" i="21"/>
  <c r="F78" i="21"/>
  <c r="Q2" i="21"/>
  <c r="Q1" i="21" s="1"/>
  <c r="Q14" i="21"/>
  <c r="Q22" i="21"/>
  <c r="Q25" i="21"/>
  <c r="Q70" i="21"/>
  <c r="Q97" i="21" s="1"/>
  <c r="Q71" i="21"/>
  <c r="Q85" i="21" a="1"/>
  <c r="Q85" i="21" s="1"/>
  <c r="Q94" i="21" s="1"/>
  <c r="Q103" i="21" s="1"/>
  <c r="Q104" i="21" s="1"/>
  <c r="Q115" i="21" s="1"/>
  <c r="Q120" i="21" s="1"/>
  <c r="Q91" i="21"/>
  <c r="Q111" i="21"/>
  <c r="Q112" i="21"/>
  <c r="Q113" i="21"/>
  <c r="H70" i="21"/>
  <c r="G78" i="21"/>
  <c r="K85" i="21" a="1"/>
  <c r="K85" i="21" s="1"/>
  <c r="K94" i="21" s="1"/>
  <c r="O111" i="21"/>
  <c r="F32" i="21"/>
  <c r="F27" i="21"/>
  <c r="H47" i="21"/>
  <c r="F54" i="21" s="1"/>
  <c r="F55" i="21" s="1"/>
  <c r="F47" i="21"/>
  <c r="F42" i="21"/>
  <c r="G194" i="21"/>
  <c r="G183" i="21"/>
  <c r="G184" i="21" s="1"/>
  <c r="G185" i="21" s="1"/>
  <c r="G186" i="21" s="1"/>
  <c r="G187" i="21" s="1"/>
  <c r="G188" i="21" s="1"/>
  <c r="G189" i="21" s="1"/>
  <c r="G190" i="21" s="1"/>
  <c r="I181" i="21"/>
  <c r="J181" i="21" s="1"/>
  <c r="K181" i="21" s="1"/>
  <c r="L181" i="21" s="1"/>
  <c r="G181" i="21"/>
  <c r="G169" i="21"/>
  <c r="G170" i="21" s="1"/>
  <c r="G171" i="21" s="1"/>
  <c r="G172" i="21" s="1"/>
  <c r="G173" i="21" s="1"/>
  <c r="G174" i="21" s="1"/>
  <c r="G175" i="21" s="1"/>
  <c r="G176" i="21" s="1"/>
  <c r="I167" i="21"/>
  <c r="J167" i="21" s="1"/>
  <c r="K167" i="21" s="1"/>
  <c r="L167" i="21" s="1"/>
  <c r="G167" i="21"/>
  <c r="E155" i="21"/>
  <c r="P112" i="21"/>
  <c r="N112" i="21"/>
  <c r="I112" i="21"/>
  <c r="H112" i="21"/>
  <c r="G112" i="21"/>
  <c r="P111" i="21"/>
  <c r="N111" i="21"/>
  <c r="L111" i="21"/>
  <c r="K111" i="21"/>
  <c r="J111" i="21"/>
  <c r="I111" i="21"/>
  <c r="I113" i="21" s="1"/>
  <c r="H111" i="21"/>
  <c r="H113" i="21" s="1"/>
  <c r="E108" i="21"/>
  <c r="E107" i="21"/>
  <c r="P85" i="21" a="1"/>
  <c r="P85" i="21" s="1"/>
  <c r="P94" i="21" s="1"/>
  <c r="N85" i="21" a="1"/>
  <c r="N85" i="21" s="1"/>
  <c r="N94" i="21" s="1"/>
  <c r="J85" i="21" a="1"/>
  <c r="J85" i="21" s="1"/>
  <c r="J94" i="21" s="1"/>
  <c r="G85" i="21" a="1"/>
  <c r="G85" i="21" s="1"/>
  <c r="E82" i="21"/>
  <c r="E74" i="21"/>
  <c r="P71" i="21"/>
  <c r="O71" i="21"/>
  <c r="N71" i="21"/>
  <c r="M71" i="21"/>
  <c r="L71" i="21"/>
  <c r="K71" i="21"/>
  <c r="J71" i="21"/>
  <c r="I71" i="21"/>
  <c r="H71" i="21"/>
  <c r="G71" i="21"/>
  <c r="P70" i="21"/>
  <c r="O70" i="21"/>
  <c r="N70" i="21"/>
  <c r="M70" i="21"/>
  <c r="L70" i="21"/>
  <c r="K70" i="21"/>
  <c r="J70" i="21"/>
  <c r="I70" i="21"/>
  <c r="G70" i="21"/>
  <c r="H25" i="21"/>
  <c r="I25" i="21" s="1"/>
  <c r="J25" i="21" s="1"/>
  <c r="K25" i="21" s="1"/>
  <c r="L25" i="21" s="1"/>
  <c r="M25" i="21" s="1"/>
  <c r="N25" i="21" s="1"/>
  <c r="O25" i="21" s="1"/>
  <c r="P25" i="21" s="1"/>
  <c r="F22" i="21"/>
  <c r="H14" i="21"/>
  <c r="I14" i="21" s="1"/>
  <c r="J14" i="21" s="1"/>
  <c r="K14" i="21" s="1"/>
  <c r="L14" i="21" s="1"/>
  <c r="M14" i="21" s="1"/>
  <c r="N14" i="21" s="1"/>
  <c r="O14" i="21" s="1"/>
  <c r="P14" i="21" s="1"/>
  <c r="F10" i="21"/>
  <c r="H2" i="21"/>
  <c r="H194" i="21" s="1"/>
  <c r="H1" i="21"/>
  <c r="G1" i="21"/>
  <c r="G27" i="18"/>
  <c r="G69" i="18" s="1"/>
  <c r="G204" i="20"/>
  <c r="G193" i="20"/>
  <c r="G194" i="20" s="1"/>
  <c r="G195" i="20" s="1"/>
  <c r="G196" i="20" s="1"/>
  <c r="G197" i="20" s="1"/>
  <c r="G198" i="20" s="1"/>
  <c r="G199" i="20" s="1"/>
  <c r="G200" i="20" s="1"/>
  <c r="I191" i="20"/>
  <c r="J191" i="20" s="1"/>
  <c r="K191" i="20" s="1"/>
  <c r="L191" i="20" s="1"/>
  <c r="G191" i="20"/>
  <c r="G179" i="20"/>
  <c r="G180" i="20" s="1"/>
  <c r="G181" i="20" s="1"/>
  <c r="G182" i="20" s="1"/>
  <c r="G183" i="20" s="1"/>
  <c r="G184" i="20" s="1"/>
  <c r="G185" i="20" s="1"/>
  <c r="G186" i="20" s="1"/>
  <c r="I177" i="20"/>
  <c r="J177" i="20" s="1"/>
  <c r="K177" i="20" s="1"/>
  <c r="L177" i="20" s="1"/>
  <c r="G177" i="20"/>
  <c r="E165" i="20"/>
  <c r="E117" i="20"/>
  <c r="E116" i="20"/>
  <c r="E91" i="20"/>
  <c r="E83" i="20"/>
  <c r="F64" i="20"/>
  <c r="F55" i="20"/>
  <c r="H81" i="20" s="1"/>
  <c r="H89" i="20" s="1"/>
  <c r="F47" i="20"/>
  <c r="H27" i="20" s="1"/>
  <c r="H25" i="20"/>
  <c r="I25" i="20" s="1"/>
  <c r="J25" i="20" s="1"/>
  <c r="K25" i="20" s="1"/>
  <c r="L25" i="20" s="1"/>
  <c r="M25" i="20" s="1"/>
  <c r="N25" i="20" s="1"/>
  <c r="O25" i="20" s="1"/>
  <c r="P25" i="20" s="1"/>
  <c r="Q25" i="20" s="1"/>
  <c r="R25" i="20" s="1"/>
  <c r="S25" i="20" s="1"/>
  <c r="T25" i="20" s="1"/>
  <c r="U25" i="20" s="1"/>
  <c r="V25" i="20" s="1"/>
  <c r="W25" i="20" s="1"/>
  <c r="X25" i="20" s="1"/>
  <c r="Y25" i="20" s="1"/>
  <c r="Z25" i="20" s="1"/>
  <c r="AA25" i="20" s="1"/>
  <c r="F22" i="20"/>
  <c r="K22" i="20" s="1"/>
  <c r="K100" i="20" s="1"/>
  <c r="H14" i="20"/>
  <c r="I14" i="20" s="1"/>
  <c r="J14" i="20" s="1"/>
  <c r="K14" i="20" s="1"/>
  <c r="L14" i="20" s="1"/>
  <c r="M14" i="20" s="1"/>
  <c r="N14" i="20" s="1"/>
  <c r="O14" i="20" s="1"/>
  <c r="P14" i="20" s="1"/>
  <c r="Q14" i="20" s="1"/>
  <c r="R14" i="20" s="1"/>
  <c r="S14" i="20" s="1"/>
  <c r="T14" i="20" s="1"/>
  <c r="U14" i="20" s="1"/>
  <c r="V14" i="20" s="1"/>
  <c r="W14" i="20" s="1"/>
  <c r="X14" i="20" s="1"/>
  <c r="Y14" i="20" s="1"/>
  <c r="Z14" i="20" s="1"/>
  <c r="AA14" i="20" s="1"/>
  <c r="F10" i="20"/>
  <c r="H2" i="20"/>
  <c r="H204" i="20" s="1"/>
  <c r="G1" i="20"/>
  <c r="H147" i="6"/>
  <c r="I147" i="6"/>
  <c r="J147" i="6"/>
  <c r="K147" i="6"/>
  <c r="L147" i="6"/>
  <c r="M147" i="6"/>
  <c r="N147" i="6"/>
  <c r="O147" i="6"/>
  <c r="P147" i="6"/>
  <c r="Q147" i="6"/>
  <c r="R147" i="6"/>
  <c r="H148" i="6"/>
  <c r="I148" i="6"/>
  <c r="J148" i="6"/>
  <c r="K148" i="6"/>
  <c r="L148" i="6"/>
  <c r="M148" i="6"/>
  <c r="N148" i="6"/>
  <c r="O148" i="6"/>
  <c r="P148" i="6"/>
  <c r="Q148" i="6"/>
  <c r="R148" i="6"/>
  <c r="H149" i="6"/>
  <c r="I149" i="6"/>
  <c r="J149" i="6"/>
  <c r="K149" i="6"/>
  <c r="L149" i="6"/>
  <c r="M149" i="6"/>
  <c r="N149" i="6"/>
  <c r="O149" i="6"/>
  <c r="P149" i="6"/>
  <c r="Q149" i="6"/>
  <c r="R149" i="6"/>
  <c r="H150" i="6"/>
  <c r="I150" i="6"/>
  <c r="J150" i="6"/>
  <c r="K150" i="6"/>
  <c r="L150" i="6"/>
  <c r="M150" i="6"/>
  <c r="N150" i="6"/>
  <c r="O150" i="6"/>
  <c r="P150" i="6"/>
  <c r="Q150" i="6"/>
  <c r="R150" i="6"/>
  <c r="G148" i="6"/>
  <c r="G149" i="6"/>
  <c r="G150" i="6"/>
  <c r="G147" i="6"/>
  <c r="G151" i="6" s="1"/>
  <c r="H112" i="6"/>
  <c r="I112" i="6"/>
  <c r="J112" i="6"/>
  <c r="K112" i="6"/>
  <c r="L112" i="6"/>
  <c r="M112" i="6"/>
  <c r="N112" i="6"/>
  <c r="O112" i="6"/>
  <c r="P112" i="6"/>
  <c r="Q112" i="6"/>
  <c r="G112" i="6"/>
  <c r="H128" i="19"/>
  <c r="I128" i="19"/>
  <c r="J128" i="19"/>
  <c r="K128" i="19"/>
  <c r="L128" i="19"/>
  <c r="M128" i="19"/>
  <c r="N128" i="19"/>
  <c r="O128" i="19"/>
  <c r="G128" i="19"/>
  <c r="I113" i="19"/>
  <c r="J113" i="19"/>
  <c r="K113" i="19"/>
  <c r="L113" i="19"/>
  <c r="M113" i="19"/>
  <c r="N113" i="19"/>
  <c r="O113" i="19"/>
  <c r="I114" i="19"/>
  <c r="J114" i="19"/>
  <c r="K114" i="19"/>
  <c r="L114" i="19"/>
  <c r="M114" i="19"/>
  <c r="N114" i="19"/>
  <c r="O114" i="19"/>
  <c r="I115" i="19"/>
  <c r="J115" i="19"/>
  <c r="K115" i="19"/>
  <c r="L115" i="19"/>
  <c r="M115" i="19"/>
  <c r="N115" i="19"/>
  <c r="O115" i="19"/>
  <c r="H113" i="19"/>
  <c r="H114" i="19"/>
  <c r="H115" i="19"/>
  <c r="G114" i="19"/>
  <c r="H120" i="19" s="1"/>
  <c r="G115" i="19"/>
  <c r="H121" i="19" s="1"/>
  <c r="G113" i="19"/>
  <c r="H119" i="19" s="1"/>
  <c r="E109" i="19"/>
  <c r="O136" i="19"/>
  <c r="N136" i="19"/>
  <c r="M136" i="19"/>
  <c r="L136" i="19"/>
  <c r="K136" i="19"/>
  <c r="J136" i="19"/>
  <c r="I136" i="19"/>
  <c r="H136" i="19"/>
  <c r="G136" i="19"/>
  <c r="O135" i="19"/>
  <c r="N135" i="19"/>
  <c r="M135" i="19"/>
  <c r="L135" i="19"/>
  <c r="K135" i="19"/>
  <c r="J135" i="19"/>
  <c r="I135" i="19"/>
  <c r="H135" i="19"/>
  <c r="G135" i="19"/>
  <c r="F125" i="19"/>
  <c r="E125" i="19"/>
  <c r="F45" i="19"/>
  <c r="H47" i="19"/>
  <c r="I47" i="19" s="1"/>
  <c r="J47" i="19" s="1"/>
  <c r="K47" i="19" s="1"/>
  <c r="L47" i="19" s="1"/>
  <c r="M47" i="19" s="1"/>
  <c r="N47" i="19" s="1"/>
  <c r="O47" i="19" s="1"/>
  <c r="H78" i="19"/>
  <c r="I78" i="19"/>
  <c r="J78" i="19"/>
  <c r="K78" i="19"/>
  <c r="L78" i="19"/>
  <c r="M78" i="19"/>
  <c r="N78" i="19"/>
  <c r="O78" i="19"/>
  <c r="G78" i="19"/>
  <c r="G75" i="19"/>
  <c r="F61" i="19"/>
  <c r="H29" i="19"/>
  <c r="I29" i="19"/>
  <c r="J29" i="19"/>
  <c r="K29" i="19"/>
  <c r="L29" i="19"/>
  <c r="M29" i="19"/>
  <c r="N29" i="19"/>
  <c r="O29" i="19"/>
  <c r="G29" i="19"/>
  <c r="F39" i="19"/>
  <c r="E39" i="19"/>
  <c r="G218" i="19"/>
  <c r="G207" i="19"/>
  <c r="G208" i="19" s="1"/>
  <c r="G209" i="19" s="1"/>
  <c r="G210" i="19" s="1"/>
  <c r="G211" i="19" s="1"/>
  <c r="G212" i="19" s="1"/>
  <c r="G213" i="19" s="1"/>
  <c r="G214" i="19" s="1"/>
  <c r="I205" i="19"/>
  <c r="J205" i="19" s="1"/>
  <c r="K205" i="19" s="1"/>
  <c r="L205" i="19" s="1"/>
  <c r="G205" i="19"/>
  <c r="G193" i="19"/>
  <c r="G194" i="19" s="1"/>
  <c r="G195" i="19" s="1"/>
  <c r="G196" i="19" s="1"/>
  <c r="G197" i="19" s="1"/>
  <c r="G198" i="19" s="1"/>
  <c r="G199" i="19" s="1"/>
  <c r="G200" i="19" s="1"/>
  <c r="I191" i="19"/>
  <c r="J191" i="19" s="1"/>
  <c r="K191" i="19" s="1"/>
  <c r="L191" i="19" s="1"/>
  <c r="G191" i="19"/>
  <c r="E179" i="19"/>
  <c r="O75" i="19"/>
  <c r="N75" i="19"/>
  <c r="M75" i="19"/>
  <c r="L75" i="19"/>
  <c r="K75" i="19"/>
  <c r="J75" i="19"/>
  <c r="I75" i="19"/>
  <c r="H75" i="19"/>
  <c r="F60" i="19"/>
  <c r="F35" i="19"/>
  <c r="F50" i="19" s="1"/>
  <c r="H25" i="19"/>
  <c r="I25" i="19" s="1"/>
  <c r="J25" i="19" s="1"/>
  <c r="K25" i="19" s="1"/>
  <c r="L25" i="19" s="1"/>
  <c r="M25" i="19" s="1"/>
  <c r="N25" i="19" s="1"/>
  <c r="O25" i="19" s="1"/>
  <c r="F22" i="19"/>
  <c r="L22" i="19" s="1"/>
  <c r="L93" i="19" s="1"/>
  <c r="H14" i="19"/>
  <c r="I14" i="19" s="1"/>
  <c r="J14" i="19" s="1"/>
  <c r="K14" i="19" s="1"/>
  <c r="L14" i="19" s="1"/>
  <c r="M14" i="19" s="1"/>
  <c r="N14" i="19" s="1"/>
  <c r="O14" i="19" s="1"/>
  <c r="F10" i="19"/>
  <c r="H2" i="19"/>
  <c r="H218" i="19" s="1"/>
  <c r="G1" i="19"/>
  <c r="G1" i="18"/>
  <c r="H2" i="18"/>
  <c r="H1" i="18" s="1"/>
  <c r="F22" i="18"/>
  <c r="I22" i="18" s="1"/>
  <c r="F10" i="18"/>
  <c r="H14" i="18"/>
  <c r="I14" i="18"/>
  <c r="J14" i="18"/>
  <c r="K14" i="18" s="1"/>
  <c r="L14" i="18" s="1"/>
  <c r="M14" i="18" s="1"/>
  <c r="N14" i="18" s="1"/>
  <c r="O14" i="18" s="1"/>
  <c r="P14" i="18" s="1"/>
  <c r="H22" i="18"/>
  <c r="H90" i="18" s="1"/>
  <c r="H102" i="18" s="1"/>
  <c r="H103" i="18" s="1"/>
  <c r="H114" i="18" s="1"/>
  <c r="H119" i="18" s="1"/>
  <c r="K22" i="18"/>
  <c r="K90" i="18" s="1"/>
  <c r="H25" i="18"/>
  <c r="I25" i="18" s="1"/>
  <c r="J25" i="18" s="1"/>
  <c r="K25" i="18" s="1"/>
  <c r="L25" i="18" s="1"/>
  <c r="M25" i="18" s="1"/>
  <c r="N25" i="18" s="1"/>
  <c r="O25" i="18" s="1"/>
  <c r="P25" i="18" s="1"/>
  <c r="F32" i="18"/>
  <c r="F40" i="18"/>
  <c r="G40" i="18" s="1"/>
  <c r="H40" i="18"/>
  <c r="F41" i="18"/>
  <c r="F44" i="18"/>
  <c r="H44" i="18" s="1"/>
  <c r="H45" i="18"/>
  <c r="F54" i="18"/>
  <c r="F55" i="18"/>
  <c r="H69" i="18"/>
  <c r="H96" i="18" s="1"/>
  <c r="I69" i="18"/>
  <c r="J69" i="18"/>
  <c r="K69" i="18"/>
  <c r="L69" i="18"/>
  <c r="M69" i="18"/>
  <c r="M96" i="18" s="1"/>
  <c r="N69" i="18"/>
  <c r="O69" i="18"/>
  <c r="P69" i="18"/>
  <c r="G70" i="18"/>
  <c r="H70" i="18"/>
  <c r="I70" i="18"/>
  <c r="I96" i="18" s="1"/>
  <c r="J70" i="18"/>
  <c r="K70" i="18"/>
  <c r="L70" i="18"/>
  <c r="M70" i="18"/>
  <c r="N70" i="18"/>
  <c r="O70" i="18"/>
  <c r="P70" i="18"/>
  <c r="E73" i="18"/>
  <c r="G74" i="18"/>
  <c r="H74" i="18"/>
  <c r="I74" i="18"/>
  <c r="J74" i="18"/>
  <c r="K74" i="18"/>
  <c r="E77" i="18"/>
  <c r="F77" i="18"/>
  <c r="E78" i="18"/>
  <c r="F78" i="18"/>
  <c r="E81" i="18"/>
  <c r="G84" i="18" a="1"/>
  <c r="G84" i="18" s="1"/>
  <c r="H84" i="18" a="1"/>
  <c r="H84" i="18" s="1"/>
  <c r="H93" i="18" s="1"/>
  <c r="I84" i="18" a="1"/>
  <c r="I84" i="18" s="1"/>
  <c r="I93" i="18" s="1"/>
  <c r="J84" i="18" a="1"/>
  <c r="J84" i="18" s="1"/>
  <c r="J93" i="18" s="1"/>
  <c r="K84" i="18" a="1"/>
  <c r="K84" i="18" s="1"/>
  <c r="K93" i="18" s="1"/>
  <c r="K102" i="18" s="1"/>
  <c r="K103" i="18" s="1"/>
  <c r="L84" i="18" a="1"/>
  <c r="L84" i="18" s="1"/>
  <c r="L93" i="18" s="1"/>
  <c r="M84" i="18" a="1"/>
  <c r="M84" i="18" s="1"/>
  <c r="M93" i="18" s="1"/>
  <c r="N84" i="18" a="1"/>
  <c r="N84" i="18" s="1"/>
  <c r="N93" i="18" s="1"/>
  <c r="O84" i="18" a="1"/>
  <c r="P84" i="18" a="1"/>
  <c r="P84" i="18" s="1"/>
  <c r="P93" i="18" s="1"/>
  <c r="O84" i="18"/>
  <c r="O93" i="18" s="1"/>
  <c r="I90" i="18"/>
  <c r="P96" i="18"/>
  <c r="E106" i="18"/>
  <c r="E107" i="18"/>
  <c r="G110" i="18"/>
  <c r="H110" i="18"/>
  <c r="I110" i="18"/>
  <c r="J110" i="18"/>
  <c r="K110" i="18"/>
  <c r="L110" i="18"/>
  <c r="M110" i="18"/>
  <c r="N110" i="18"/>
  <c r="O110" i="18"/>
  <c r="P110" i="18"/>
  <c r="G111" i="18"/>
  <c r="H111" i="18"/>
  <c r="I111" i="18"/>
  <c r="J111" i="18"/>
  <c r="K111" i="18"/>
  <c r="L111" i="18"/>
  <c r="M111" i="18"/>
  <c r="N111" i="18"/>
  <c r="O111" i="18"/>
  <c r="P111" i="18"/>
  <c r="P112" i="18" s="1"/>
  <c r="H112" i="18"/>
  <c r="I112" i="18"/>
  <c r="E154" i="18"/>
  <c r="G166" i="18"/>
  <c r="I166" i="18"/>
  <c r="J166" i="18" s="1"/>
  <c r="K166" i="18" s="1"/>
  <c r="L166" i="18" s="1"/>
  <c r="G168" i="18"/>
  <c r="G169" i="18" s="1"/>
  <c r="G170" i="18" s="1"/>
  <c r="G171" i="18" s="1"/>
  <c r="G172" i="18" s="1"/>
  <c r="G173" i="18" s="1"/>
  <c r="G174" i="18" s="1"/>
  <c r="G175" i="18" s="1"/>
  <c r="G180" i="18"/>
  <c r="I180" i="18"/>
  <c r="J180" i="18" s="1"/>
  <c r="K180" i="18" s="1"/>
  <c r="L180" i="18" s="1"/>
  <c r="G182" i="18"/>
  <c r="G183" i="18" s="1"/>
  <c r="G184" i="18" s="1"/>
  <c r="G185" i="18" s="1"/>
  <c r="G186" i="18" s="1"/>
  <c r="G187" i="18" s="1"/>
  <c r="G188" i="18" s="1"/>
  <c r="G189" i="18" s="1"/>
  <c r="G193" i="18"/>
  <c r="H193" i="18"/>
  <c r="G1" i="17"/>
  <c r="H2" i="17"/>
  <c r="I2" i="17" s="1"/>
  <c r="H1" i="17"/>
  <c r="F22" i="17"/>
  <c r="C2" i="17" s="1"/>
  <c r="F10" i="17"/>
  <c r="H14" i="17"/>
  <c r="I14" i="17" s="1"/>
  <c r="J14" i="17" s="1"/>
  <c r="K14" i="17" s="1"/>
  <c r="L14" i="17" s="1"/>
  <c r="M14" i="17" s="1"/>
  <c r="N14" i="17" s="1"/>
  <c r="O14" i="17" s="1"/>
  <c r="P14" i="17" s="1"/>
  <c r="Q14" i="17" s="1"/>
  <c r="R14" i="17" s="1"/>
  <c r="H25" i="17"/>
  <c r="I25" i="17"/>
  <c r="J25" i="17" s="1"/>
  <c r="K25" i="17" s="1"/>
  <c r="L25" i="17" s="1"/>
  <c r="M25" i="17" s="1"/>
  <c r="N25" i="17" s="1"/>
  <c r="O25" i="17" s="1"/>
  <c r="P25" i="17" s="1"/>
  <c r="Q25" i="17" s="1"/>
  <c r="R25" i="17" s="1"/>
  <c r="F27" i="17"/>
  <c r="G158" i="17" s="1"/>
  <c r="G30" i="17"/>
  <c r="H30" i="17"/>
  <c r="F32" i="17"/>
  <c r="G162" i="17" s="1"/>
  <c r="G35" i="17"/>
  <c r="H35" i="17"/>
  <c r="I35" i="17"/>
  <c r="J35" i="17"/>
  <c r="K35" i="17"/>
  <c r="F37" i="17"/>
  <c r="G166" i="17" s="1"/>
  <c r="G40" i="17"/>
  <c r="H40" i="17"/>
  <c r="I40" i="17"/>
  <c r="J40" i="17"/>
  <c r="K40" i="17"/>
  <c r="L40" i="17"/>
  <c r="M40" i="17"/>
  <c r="N40" i="17"/>
  <c r="O40" i="17"/>
  <c r="P40" i="17"/>
  <c r="Q40" i="17"/>
  <c r="R40" i="17"/>
  <c r="H45" i="17"/>
  <c r="H47" i="17" s="1"/>
  <c r="H46" i="17"/>
  <c r="F47" i="17"/>
  <c r="F111" i="17" s="1"/>
  <c r="G111" i="17" s="1"/>
  <c r="G110" i="17" s="1"/>
  <c r="G112" i="17" s="1"/>
  <c r="H49" i="17"/>
  <c r="H50" i="17"/>
  <c r="F51" i="17"/>
  <c r="F116" i="17" s="1"/>
  <c r="H53" i="17"/>
  <c r="H54" i="17"/>
  <c r="F55" i="17"/>
  <c r="E66" i="17"/>
  <c r="E65" i="17" s="1"/>
  <c r="F65" i="17"/>
  <c r="E68" i="17"/>
  <c r="E71" i="17"/>
  <c r="G85" i="17"/>
  <c r="G232" i="17" s="1"/>
  <c r="G86" i="17"/>
  <c r="G236" i="17" s="1"/>
  <c r="G88" i="17"/>
  <c r="H88" i="17" s="1"/>
  <c r="G91" i="17"/>
  <c r="I233" i="17" s="1"/>
  <c r="G92" i="17"/>
  <c r="G237" i="17" s="1"/>
  <c r="G94" i="17"/>
  <c r="H107" i="17"/>
  <c r="I107" i="17" s="1"/>
  <c r="J107" i="17" s="1"/>
  <c r="K107" i="17" s="1"/>
  <c r="L107" i="17" s="1"/>
  <c r="M107" i="17" s="1"/>
  <c r="N107" i="17" s="1"/>
  <c r="O107" i="17" s="1"/>
  <c r="P107" i="17" s="1"/>
  <c r="Q107" i="17" s="1"/>
  <c r="R107" i="17" s="1"/>
  <c r="F110" i="17"/>
  <c r="F130" i="17"/>
  <c r="F140" i="17"/>
  <c r="F141" i="17"/>
  <c r="F142" i="17"/>
  <c r="G159" i="17"/>
  <c r="H159" i="17"/>
  <c r="H189" i="17" s="1"/>
  <c r="G163" i="17"/>
  <c r="H163" i="17"/>
  <c r="I163" i="17"/>
  <c r="I190" i="17" s="1"/>
  <c r="I217" i="17" s="1"/>
  <c r="J163" i="17"/>
  <c r="J181" i="17" s="1"/>
  <c r="K163" i="17"/>
  <c r="G167" i="17"/>
  <c r="H167" i="17"/>
  <c r="H191" i="17" s="1"/>
  <c r="I167" i="17"/>
  <c r="I191" i="17" s="1"/>
  <c r="J167" i="17"/>
  <c r="K167" i="17"/>
  <c r="L167" i="17"/>
  <c r="M167" i="17"/>
  <c r="M191" i="17" s="1"/>
  <c r="N167" i="17"/>
  <c r="O167" i="17"/>
  <c r="O191" i="17" s="1"/>
  <c r="O217" i="17" s="1"/>
  <c r="P167" i="17"/>
  <c r="P191" i="17" s="1"/>
  <c r="Q167" i="17"/>
  <c r="R167" i="17"/>
  <c r="R191" i="17" s="1"/>
  <c r="R217" i="17" s="1"/>
  <c r="G170" i="17"/>
  <c r="H170" i="17"/>
  <c r="H171" i="17" s="1"/>
  <c r="H172" i="17" s="1"/>
  <c r="I170" i="17"/>
  <c r="I171" i="17" s="1"/>
  <c r="I172" i="17" s="1"/>
  <c r="J170" i="17"/>
  <c r="J171" i="17" s="1"/>
  <c r="J172" i="17" s="1"/>
  <c r="K170" i="17"/>
  <c r="L170" i="17"/>
  <c r="M170" i="17"/>
  <c r="M171" i="17" s="1"/>
  <c r="M172" i="17" s="1"/>
  <c r="N170" i="17"/>
  <c r="N171" i="17" s="1"/>
  <c r="N172" i="17" s="1"/>
  <c r="O170" i="17"/>
  <c r="O171" i="17" s="1"/>
  <c r="O172" i="17" s="1"/>
  <c r="P170" i="17"/>
  <c r="P171" i="17" s="1"/>
  <c r="P172" i="17" s="1"/>
  <c r="Q170" i="17"/>
  <c r="Q171" i="17" s="1"/>
  <c r="Q172" i="17" s="1"/>
  <c r="R170" i="17"/>
  <c r="R171" i="17" s="1"/>
  <c r="R172" i="17" s="1"/>
  <c r="K171" i="17"/>
  <c r="K172" i="17" s="1"/>
  <c r="L171" i="17"/>
  <c r="L172" i="17" s="1"/>
  <c r="G175" i="17"/>
  <c r="G180" i="17" s="1"/>
  <c r="H175" i="17"/>
  <c r="H180" i="17" s="1"/>
  <c r="G176" i="17"/>
  <c r="H176" i="17"/>
  <c r="I176" i="17"/>
  <c r="J176" i="17"/>
  <c r="K176" i="17"/>
  <c r="G177" i="17"/>
  <c r="G182" i="17" s="1"/>
  <c r="H177" i="17"/>
  <c r="I177" i="17"/>
  <c r="J177" i="17"/>
  <c r="J182" i="17" s="1"/>
  <c r="K177" i="17"/>
  <c r="K182" i="17" s="1"/>
  <c r="L177" i="17"/>
  <c r="M177" i="17"/>
  <c r="N177" i="17"/>
  <c r="N182" i="17" s="1"/>
  <c r="O177" i="17"/>
  <c r="O182" i="17" s="1"/>
  <c r="P177" i="17"/>
  <c r="Q177" i="17"/>
  <c r="R177" i="17"/>
  <c r="R182" i="17" s="1"/>
  <c r="R199" i="17" s="1"/>
  <c r="R205" i="17" s="1"/>
  <c r="R214" i="17" s="1"/>
  <c r="H181" i="17"/>
  <c r="I181" i="17"/>
  <c r="K190" i="17"/>
  <c r="J191" i="17"/>
  <c r="K191" i="17"/>
  <c r="N191" i="17"/>
  <c r="N217" i="17" s="1"/>
  <c r="Q191" i="17"/>
  <c r="Q217" i="17" s="1"/>
  <c r="G194" i="17"/>
  <c r="H194" i="17"/>
  <c r="G195" i="17"/>
  <c r="H195" i="17"/>
  <c r="I195" i="17"/>
  <c r="J195" i="17"/>
  <c r="K195" i="17"/>
  <c r="G196" i="17"/>
  <c r="H196" i="17"/>
  <c r="I196" i="17"/>
  <c r="J196" i="17"/>
  <c r="K196" i="17"/>
  <c r="L196" i="17"/>
  <c r="M196" i="17"/>
  <c r="N196" i="17"/>
  <c r="O196" i="17"/>
  <c r="P196" i="17"/>
  <c r="Q196" i="17"/>
  <c r="R196" i="17"/>
  <c r="G202" i="17"/>
  <c r="H202" i="17"/>
  <c r="I202" i="17"/>
  <c r="J202" i="17"/>
  <c r="K202" i="17"/>
  <c r="L202" i="17"/>
  <c r="M202" i="17"/>
  <c r="N202" i="17"/>
  <c r="O202" i="17"/>
  <c r="P202" i="17"/>
  <c r="Q202" i="17"/>
  <c r="R202" i="17"/>
  <c r="E227" i="17"/>
  <c r="E231" i="17"/>
  <c r="G233" i="17"/>
  <c r="H233" i="17"/>
  <c r="G234" i="17"/>
  <c r="H234" i="17"/>
  <c r="I234" i="17"/>
  <c r="J234" i="17"/>
  <c r="K234" i="17"/>
  <c r="L234" i="17"/>
  <c r="M234" i="17"/>
  <c r="N234" i="17"/>
  <c r="N250" i="17" s="1"/>
  <c r="O234" i="17"/>
  <c r="O250" i="17" s="1"/>
  <c r="P234" i="17"/>
  <c r="Q234" i="17"/>
  <c r="Q250" i="17" s="1"/>
  <c r="R234" i="17"/>
  <c r="E235" i="17"/>
  <c r="G238" i="17"/>
  <c r="H238" i="17"/>
  <c r="I238" i="17"/>
  <c r="J238" i="17"/>
  <c r="K238" i="17"/>
  <c r="L238" i="17"/>
  <c r="M238" i="17"/>
  <c r="N238" i="17"/>
  <c r="O238" i="17"/>
  <c r="O251" i="17" s="1"/>
  <c r="P238" i="17"/>
  <c r="Q238" i="17"/>
  <c r="R238" i="17"/>
  <c r="E239" i="17"/>
  <c r="G240" i="17"/>
  <c r="H240" i="17"/>
  <c r="I240" i="17"/>
  <c r="E243" i="17"/>
  <c r="G244" i="17"/>
  <c r="G245" i="17"/>
  <c r="H245" i="17"/>
  <c r="I245" i="17"/>
  <c r="J245" i="17"/>
  <c r="K245" i="17"/>
  <c r="G246" i="17"/>
  <c r="H246" i="17"/>
  <c r="I246" i="17"/>
  <c r="J246" i="17"/>
  <c r="K246" i="17"/>
  <c r="L246" i="17"/>
  <c r="M246" i="17"/>
  <c r="N246" i="17"/>
  <c r="O246" i="17"/>
  <c r="P246" i="17"/>
  <c r="Q246" i="17"/>
  <c r="R246" i="17"/>
  <c r="O253" i="17"/>
  <c r="E256" i="17"/>
  <c r="F256" i="17"/>
  <c r="G266" i="17"/>
  <c r="H266" i="17"/>
  <c r="I266" i="17"/>
  <c r="J266" i="17"/>
  <c r="K266" i="17"/>
  <c r="L266" i="17"/>
  <c r="M266" i="17"/>
  <c r="N266" i="17"/>
  <c r="O266" i="17"/>
  <c r="P266" i="17"/>
  <c r="Q266" i="17"/>
  <c r="R266" i="17"/>
  <c r="G277" i="17"/>
  <c r="E286" i="17"/>
  <c r="E340" i="17"/>
  <c r="G367" i="17"/>
  <c r="I367" i="17"/>
  <c r="J367" i="17" s="1"/>
  <c r="K367" i="17" s="1"/>
  <c r="L367" i="17" s="1"/>
  <c r="G369" i="17"/>
  <c r="G370" i="17" s="1"/>
  <c r="G371" i="17" s="1"/>
  <c r="G372" i="17" s="1"/>
  <c r="G373" i="17" s="1"/>
  <c r="G374" i="17" s="1"/>
  <c r="G375" i="17" s="1"/>
  <c r="G376" i="17" s="1"/>
  <c r="G380" i="17"/>
  <c r="H380" i="17"/>
  <c r="G1" i="6"/>
  <c r="H2" i="6"/>
  <c r="H1" i="6" s="1"/>
  <c r="F10" i="6"/>
  <c r="H33" i="6" s="1"/>
  <c r="H14" i="6"/>
  <c r="I14" i="6" s="1"/>
  <c r="J14" i="6" s="1"/>
  <c r="K14" i="6" s="1"/>
  <c r="L14" i="6" s="1"/>
  <c r="M14" i="6" s="1"/>
  <c r="N14" i="6" s="1"/>
  <c r="O14" i="6" s="1"/>
  <c r="P14" i="6" s="1"/>
  <c r="Q14" i="6" s="1"/>
  <c r="R14" i="6" s="1"/>
  <c r="H24" i="6"/>
  <c r="I24" i="6" s="1"/>
  <c r="J24" i="6" s="1"/>
  <c r="K24" i="6" s="1"/>
  <c r="L24" i="6" s="1"/>
  <c r="M24" i="6" s="1"/>
  <c r="N24" i="6" s="1"/>
  <c r="O24" i="6" s="1"/>
  <c r="P24" i="6" s="1"/>
  <c r="Q24" i="6" s="1"/>
  <c r="R24" i="6" s="1"/>
  <c r="F25" i="6"/>
  <c r="G92" i="6" s="1"/>
  <c r="G28" i="6"/>
  <c r="G178" i="6" s="1"/>
  <c r="H28" i="6"/>
  <c r="H178" i="6" s="1"/>
  <c r="I28" i="6"/>
  <c r="I178" i="6" s="1"/>
  <c r="J28" i="6"/>
  <c r="J178" i="6" s="1"/>
  <c r="K28" i="6"/>
  <c r="K178" i="6" s="1"/>
  <c r="L28" i="6"/>
  <c r="L178" i="6" s="1"/>
  <c r="M28" i="6"/>
  <c r="M178" i="6" s="1"/>
  <c r="N28" i="6"/>
  <c r="N178" i="6" s="1"/>
  <c r="O28" i="6"/>
  <c r="O178" i="6" s="1"/>
  <c r="P28" i="6"/>
  <c r="P178" i="6" s="1"/>
  <c r="Q28" i="6"/>
  <c r="Q178" i="6" s="1"/>
  <c r="R28" i="6"/>
  <c r="R178" i="6" s="1"/>
  <c r="F34" i="6"/>
  <c r="F40" i="6"/>
  <c r="E39" i="6" s="1"/>
  <c r="E40" i="6" s="1"/>
  <c r="G55" i="6"/>
  <c r="H60" i="6"/>
  <c r="I60" i="6" s="1"/>
  <c r="J60" i="6" s="1"/>
  <c r="K60" i="6" s="1"/>
  <c r="L60" i="6" s="1"/>
  <c r="M60" i="6" s="1"/>
  <c r="N60" i="6" s="1"/>
  <c r="O60" i="6" s="1"/>
  <c r="P60" i="6" s="1"/>
  <c r="Q60" i="6" s="1"/>
  <c r="R60" i="6" s="1"/>
  <c r="G63" i="6"/>
  <c r="G62" i="6" s="1"/>
  <c r="G165" i="6" s="1"/>
  <c r="H63" i="6"/>
  <c r="H62" i="6" s="1"/>
  <c r="H61" i="6"/>
  <c r="H163" i="6" s="1"/>
  <c r="I63" i="6"/>
  <c r="I62" i="6" s="1"/>
  <c r="J63" i="6"/>
  <c r="J62" i="6" s="1"/>
  <c r="J165" i="6" s="1"/>
  <c r="K63" i="6"/>
  <c r="K62" i="6" s="1"/>
  <c r="K165" i="6" s="1"/>
  <c r="L63" i="6"/>
  <c r="L62" i="6" s="1"/>
  <c r="L165" i="6" s="1"/>
  <c r="M63" i="6"/>
  <c r="M62" i="6" s="1"/>
  <c r="N63" i="6"/>
  <c r="N61" i="6" s="1"/>
  <c r="N163" i="6" s="1"/>
  <c r="O63" i="6"/>
  <c r="O62" i="6" s="1"/>
  <c r="O165" i="6" s="1"/>
  <c r="P63" i="6"/>
  <c r="P61" i="6" s="1"/>
  <c r="P163" i="6" s="1"/>
  <c r="Q63" i="6"/>
  <c r="Q62" i="6" s="1"/>
  <c r="R63" i="6"/>
  <c r="R62" i="6" s="1"/>
  <c r="R165" i="6" s="1"/>
  <c r="I64" i="6"/>
  <c r="I164" i="6" s="1"/>
  <c r="J64" i="6"/>
  <c r="J164" i="6" s="1"/>
  <c r="K64" i="6"/>
  <c r="K164" i="6" s="1"/>
  <c r="G93" i="6"/>
  <c r="H93" i="6"/>
  <c r="H100" i="6" s="1"/>
  <c r="H109" i="6" s="1"/>
  <c r="H133" i="6" s="1"/>
  <c r="H155" i="6" s="1"/>
  <c r="I93" i="6"/>
  <c r="I100" i="6" s="1"/>
  <c r="I109" i="6" s="1"/>
  <c r="I133" i="6" s="1"/>
  <c r="J93" i="6"/>
  <c r="J100" i="6" s="1"/>
  <c r="J109" i="6" s="1"/>
  <c r="J133" i="6" s="1"/>
  <c r="K93" i="6"/>
  <c r="K100" i="6" s="1"/>
  <c r="L93" i="6"/>
  <c r="M93" i="6"/>
  <c r="M100" i="6" s="1"/>
  <c r="M109" i="6" s="1"/>
  <c r="M133" i="6" s="1"/>
  <c r="N93" i="6"/>
  <c r="N100" i="6" s="1"/>
  <c r="O93" i="6"/>
  <c r="O100" i="6" s="1"/>
  <c r="P93" i="6"/>
  <c r="P100" i="6" s="1"/>
  <c r="P109" i="6" s="1"/>
  <c r="P133" i="6" s="1"/>
  <c r="P155" i="6" s="1"/>
  <c r="Q93" i="6"/>
  <c r="Q100" i="6" s="1"/>
  <c r="Q109" i="6" s="1"/>
  <c r="Q133" i="6" s="1"/>
  <c r="R93" i="6"/>
  <c r="R100" i="6" s="1"/>
  <c r="G96" i="6"/>
  <c r="H96" i="6"/>
  <c r="I96" i="6"/>
  <c r="J96" i="6"/>
  <c r="K96" i="6"/>
  <c r="L96" i="6"/>
  <c r="M96" i="6"/>
  <c r="N96" i="6"/>
  <c r="O96" i="6"/>
  <c r="P96" i="6"/>
  <c r="Q96" i="6"/>
  <c r="R96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R112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E143" i="6"/>
  <c r="E160" i="6"/>
  <c r="F160" i="6"/>
  <c r="G164" i="6"/>
  <c r="H164" i="6"/>
  <c r="L164" i="6"/>
  <c r="M164" i="6"/>
  <c r="N164" i="6"/>
  <c r="O164" i="6"/>
  <c r="P164" i="6"/>
  <c r="Q164" i="6"/>
  <c r="R164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G179" i="6"/>
  <c r="E188" i="6"/>
  <c r="E242" i="6"/>
  <c r="G254" i="6"/>
  <c r="I254" i="6"/>
  <c r="J254" i="6" s="1"/>
  <c r="K254" i="6" s="1"/>
  <c r="L254" i="6" s="1"/>
  <c r="G256" i="6"/>
  <c r="G257" i="6" s="1"/>
  <c r="G258" i="6" s="1"/>
  <c r="G259" i="6" s="1"/>
  <c r="G260" i="6" s="1"/>
  <c r="G261" i="6" s="1"/>
  <c r="G262" i="6" s="1"/>
  <c r="G263" i="6" s="1"/>
  <c r="G282" i="6"/>
  <c r="X8" i="11"/>
  <c r="K10" i="11"/>
  <c r="S10" i="11"/>
  <c r="T10" i="11"/>
  <c r="U10" i="11"/>
  <c r="S13" i="11"/>
  <c r="T13" i="11"/>
  <c r="S15" i="11"/>
  <c r="T15" i="11"/>
  <c r="U15" i="11"/>
  <c r="S16" i="11"/>
  <c r="T16" i="11"/>
  <c r="U16" i="11"/>
  <c r="S14" i="11"/>
  <c r="T14" i="11"/>
  <c r="U14" i="11"/>
  <c r="S22" i="11"/>
  <c r="T22" i="11"/>
  <c r="U22" i="11"/>
  <c r="S25" i="11"/>
  <c r="T25" i="11"/>
  <c r="U25" i="11"/>
  <c r="X25" i="11"/>
  <c r="S23" i="11"/>
  <c r="T23" i="11"/>
  <c r="U23" i="11"/>
  <c r="S24" i="11"/>
  <c r="T24" i="11"/>
  <c r="U24" i="11"/>
  <c r="W33" i="11"/>
  <c r="M207" i="6" l="1"/>
  <c r="P207" i="6"/>
  <c r="J207" i="6"/>
  <c r="L207" i="6"/>
  <c r="N207" i="6"/>
  <c r="I207" i="6"/>
  <c r="K207" i="6"/>
  <c r="O207" i="6"/>
  <c r="Q207" i="6"/>
  <c r="M154" i="6"/>
  <c r="O61" i="6"/>
  <c r="O163" i="6" s="1"/>
  <c r="I2" i="6"/>
  <c r="I282" i="6" s="1"/>
  <c r="K61" i="6"/>
  <c r="K163" i="6" s="1"/>
  <c r="H32" i="6"/>
  <c r="I1" i="6"/>
  <c r="Q97" i="6"/>
  <c r="Q98" i="6" s="1"/>
  <c r="I97" i="6"/>
  <c r="I98" i="6" s="1"/>
  <c r="M61" i="6"/>
  <c r="M163" i="6" s="1"/>
  <c r="N104" i="6"/>
  <c r="N115" i="6" s="1"/>
  <c r="N121" i="6" s="1"/>
  <c r="N130" i="6" s="1"/>
  <c r="H282" i="6"/>
  <c r="Q61" i="6"/>
  <c r="Q163" i="6" s="1"/>
  <c r="L61" i="6"/>
  <c r="L65" i="6" s="1"/>
  <c r="J2" i="6"/>
  <c r="P151" i="6"/>
  <c r="O166" i="6"/>
  <c r="O97" i="6"/>
  <c r="O98" i="6" s="1"/>
  <c r="M151" i="6"/>
  <c r="E171" i="6"/>
  <c r="G97" i="6"/>
  <c r="G98" i="6" s="1"/>
  <c r="N97" i="6"/>
  <c r="N98" i="6" s="1"/>
  <c r="J154" i="6"/>
  <c r="P250" i="17"/>
  <c r="P251" i="17"/>
  <c r="P217" i="17"/>
  <c r="P253" i="17"/>
  <c r="J199" i="17"/>
  <c r="J205" i="17" s="1"/>
  <c r="J214" i="17" s="1"/>
  <c r="J227" i="17" s="1"/>
  <c r="J228" i="17" s="1"/>
  <c r="R250" i="17"/>
  <c r="F144" i="17"/>
  <c r="D312" i="17" s="1"/>
  <c r="N251" i="17"/>
  <c r="F163" i="17"/>
  <c r="H55" i="17"/>
  <c r="G55" i="17" s="1"/>
  <c r="N253" i="17"/>
  <c r="K253" i="17"/>
  <c r="E238" i="17"/>
  <c r="J237" i="17"/>
  <c r="J251" i="17" s="1"/>
  <c r="E234" i="17"/>
  <c r="E194" i="17"/>
  <c r="J190" i="17"/>
  <c r="J217" i="17" s="1"/>
  <c r="P182" i="17"/>
  <c r="H182" i="17"/>
  <c r="Q182" i="17"/>
  <c r="Q199" i="17" s="1"/>
  <c r="Q205" i="17" s="1"/>
  <c r="Q214" i="17" s="1"/>
  <c r="Q227" i="17" s="1"/>
  <c r="Q228" i="17" s="1"/>
  <c r="F159" i="17"/>
  <c r="J250" i="17"/>
  <c r="K217" i="17"/>
  <c r="M253" i="17"/>
  <c r="I237" i="17"/>
  <c r="E196" i="17"/>
  <c r="E159" i="17"/>
  <c r="R253" i="17"/>
  <c r="K237" i="17"/>
  <c r="K251" i="17" s="1"/>
  <c r="K233" i="17"/>
  <c r="H237" i="17"/>
  <c r="E237" i="17" s="1"/>
  <c r="J233" i="17"/>
  <c r="R251" i="17"/>
  <c r="I116" i="17"/>
  <c r="I115" i="17" s="1"/>
  <c r="I117" i="17" s="1"/>
  <c r="G116" i="17"/>
  <c r="G115" i="17" s="1"/>
  <c r="G117" i="17" s="1"/>
  <c r="H116" i="17"/>
  <c r="H115" i="17" s="1"/>
  <c r="H117" i="17" s="1"/>
  <c r="J116" i="17"/>
  <c r="J115" i="17" s="1"/>
  <c r="K116" i="17"/>
  <c r="K115" i="17" s="1"/>
  <c r="O183" i="17"/>
  <c r="O199" i="17"/>
  <c r="O205" i="17" s="1"/>
  <c r="O214" i="17" s="1"/>
  <c r="I1" i="17"/>
  <c r="I380" i="17"/>
  <c r="J2" i="17"/>
  <c r="Q253" i="17"/>
  <c r="E195" i="17"/>
  <c r="G190" i="17"/>
  <c r="E266" i="17"/>
  <c r="Q251" i="17"/>
  <c r="G189" i="17"/>
  <c r="F189" i="17" s="1"/>
  <c r="I182" i="17"/>
  <c r="I199" i="17" s="1"/>
  <c r="I205" i="17" s="1"/>
  <c r="I214" i="17" s="1"/>
  <c r="L182" i="17"/>
  <c r="L199" i="17" s="1"/>
  <c r="L205" i="17" s="1"/>
  <c r="L214" i="17" s="1"/>
  <c r="G160" i="17"/>
  <c r="H111" i="17"/>
  <c r="H110" i="17" s="1"/>
  <c r="H112" i="17" s="1"/>
  <c r="F112" i="17" s="1"/>
  <c r="G89" i="17"/>
  <c r="E240" i="17"/>
  <c r="K181" i="17"/>
  <c r="E170" i="17"/>
  <c r="F56" i="17"/>
  <c r="F124" i="17" s="1"/>
  <c r="N124" i="17" s="1"/>
  <c r="N276" i="17" s="1"/>
  <c r="M182" i="17"/>
  <c r="M199" i="17" s="1"/>
  <c r="M205" i="17" s="1"/>
  <c r="M214" i="17" s="1"/>
  <c r="E163" i="17"/>
  <c r="F121" i="17"/>
  <c r="M121" i="17" s="1"/>
  <c r="H85" i="17"/>
  <c r="E202" i="17"/>
  <c r="G181" i="17"/>
  <c r="G199" i="17" s="1"/>
  <c r="E167" i="17"/>
  <c r="Q22" i="17"/>
  <c r="Q211" i="17" s="1"/>
  <c r="J253" i="17"/>
  <c r="L191" i="17"/>
  <c r="H190" i="17"/>
  <c r="H217" i="17" s="1"/>
  <c r="H51" i="17"/>
  <c r="G93" i="17" s="1"/>
  <c r="I22" i="17"/>
  <c r="I211" i="17" s="1"/>
  <c r="S39" i="11"/>
  <c r="S48" i="11" s="1"/>
  <c r="R53" i="11" s="1"/>
  <c r="T35" i="11"/>
  <c r="T36" i="11"/>
  <c r="U35" i="11"/>
  <c r="U36" i="11"/>
  <c r="S36" i="11"/>
  <c r="S35" i="11"/>
  <c r="W41" i="11"/>
  <c r="W39" i="11"/>
  <c r="W48" i="11" s="1"/>
  <c r="U53" i="11" s="1"/>
  <c r="O116" i="27"/>
  <c r="I99" i="27"/>
  <c r="N116" i="27"/>
  <c r="M116" i="27"/>
  <c r="L99" i="27"/>
  <c r="M99" i="27"/>
  <c r="L116" i="27"/>
  <c r="F60" i="27"/>
  <c r="F62" i="27" s="1"/>
  <c r="D130" i="27" s="1"/>
  <c r="N99" i="27"/>
  <c r="F30" i="27"/>
  <c r="M25" i="27"/>
  <c r="M93" i="27" s="1"/>
  <c r="E72" i="27"/>
  <c r="E73" i="27"/>
  <c r="E114" i="27"/>
  <c r="E77" i="27"/>
  <c r="I2" i="27"/>
  <c r="I197" i="27" s="1"/>
  <c r="O99" i="27"/>
  <c r="H99" i="27"/>
  <c r="P99" i="27"/>
  <c r="I116" i="27"/>
  <c r="E115" i="27"/>
  <c r="F73" i="27"/>
  <c r="J116" i="27"/>
  <c r="K107" i="27"/>
  <c r="H47" i="27"/>
  <c r="H49" i="27" s="1"/>
  <c r="G49" i="27" s="1"/>
  <c r="H25" i="27"/>
  <c r="H93" i="27" s="1"/>
  <c r="F114" i="27"/>
  <c r="L25" i="27"/>
  <c r="L93" i="27" s="1"/>
  <c r="F115" i="27"/>
  <c r="K116" i="27"/>
  <c r="J99" i="27"/>
  <c r="H1" i="27"/>
  <c r="I25" i="27"/>
  <c r="I93" i="27" s="1"/>
  <c r="H44" i="27"/>
  <c r="F72" i="27"/>
  <c r="G25" i="27"/>
  <c r="G93" i="27" s="1"/>
  <c r="G105" i="27" s="1"/>
  <c r="H43" i="27"/>
  <c r="P25" i="27"/>
  <c r="P93" i="27" s="1"/>
  <c r="C2" i="27"/>
  <c r="J25" i="27"/>
  <c r="J93" i="27" s="1"/>
  <c r="N25" i="27"/>
  <c r="N93" i="27" s="1"/>
  <c r="O25" i="27"/>
  <c r="O93" i="27" s="1"/>
  <c r="O112" i="18"/>
  <c r="O96" i="18"/>
  <c r="G96" i="18"/>
  <c r="K112" i="18"/>
  <c r="K114" i="18" s="1"/>
  <c r="K119" i="18" s="1"/>
  <c r="K121" i="18" s="1"/>
  <c r="K122" i="18" s="1"/>
  <c r="K124" i="18" s="1"/>
  <c r="K129" i="18" s="1"/>
  <c r="J112" i="18"/>
  <c r="L96" i="18"/>
  <c r="F96" i="18" s="1"/>
  <c r="N96" i="18"/>
  <c r="F57" i="18"/>
  <c r="F59" i="18" s="1"/>
  <c r="D126" i="18" s="1"/>
  <c r="E110" i="18"/>
  <c r="K96" i="18"/>
  <c r="J96" i="18"/>
  <c r="F46" i="18"/>
  <c r="P22" i="18"/>
  <c r="P90" i="18" s="1"/>
  <c r="P102" i="18" s="1"/>
  <c r="P103" i="18" s="1"/>
  <c r="P114" i="18" s="1"/>
  <c r="P119" i="18" s="1"/>
  <c r="P121" i="18" s="1"/>
  <c r="P122" i="18" s="1"/>
  <c r="P124" i="18" s="1"/>
  <c r="P129" i="18" s="1"/>
  <c r="F84" i="18"/>
  <c r="E111" i="18"/>
  <c r="G93" i="18"/>
  <c r="F93" i="18" s="1"/>
  <c r="F42" i="18"/>
  <c r="M22" i="18"/>
  <c r="M90" i="18" s="1"/>
  <c r="M102" i="18" s="1"/>
  <c r="M103" i="18" s="1"/>
  <c r="N112" i="18"/>
  <c r="F110" i="18"/>
  <c r="E84" i="18"/>
  <c r="E74" i="18"/>
  <c r="M112" i="18"/>
  <c r="L112" i="18"/>
  <c r="AF89" i="25"/>
  <c r="AF90" i="25" s="1"/>
  <c r="AF99" i="25" s="1"/>
  <c r="AF104" i="25" s="1"/>
  <c r="AF106" i="25" s="1"/>
  <c r="AF107" i="25" s="1"/>
  <c r="AF109" i="25" s="1"/>
  <c r="AF114" i="25" s="1"/>
  <c r="H1" i="25"/>
  <c r="S22" i="25"/>
  <c r="S77" i="25" s="1"/>
  <c r="S89" i="25" s="1"/>
  <c r="S90" i="25" s="1"/>
  <c r="T22" i="25"/>
  <c r="T77" i="25" s="1"/>
  <c r="T89" i="25" s="1"/>
  <c r="T90" i="25" s="1"/>
  <c r="T99" i="25" s="1"/>
  <c r="T104" i="25" s="1"/>
  <c r="T106" i="25" s="1"/>
  <c r="T107" i="25" s="1"/>
  <c r="T109" i="25" s="1"/>
  <c r="T114" i="25" s="1"/>
  <c r="F48" i="25"/>
  <c r="F50" i="25" s="1"/>
  <c r="D111" i="25" s="1"/>
  <c r="I2" i="25"/>
  <c r="AB22" i="25"/>
  <c r="AB77" i="25" s="1"/>
  <c r="AB89" i="25" s="1"/>
  <c r="AB90" i="25" s="1"/>
  <c r="AB99" i="25" s="1"/>
  <c r="AB104" i="25" s="1"/>
  <c r="AB106" i="25" s="1"/>
  <c r="AB107" i="25" s="1"/>
  <c r="AB109" i="25" s="1"/>
  <c r="AB114" i="25" s="1"/>
  <c r="F60" i="25"/>
  <c r="V22" i="25"/>
  <c r="V77" i="25" s="1"/>
  <c r="V89" i="25" s="1"/>
  <c r="V90" i="25" s="1"/>
  <c r="V99" i="25" s="1"/>
  <c r="V104" i="25" s="1"/>
  <c r="V106" i="25" s="1"/>
  <c r="V107" i="25" s="1"/>
  <c r="V109" i="25" s="1"/>
  <c r="V114" i="25" s="1"/>
  <c r="L22" i="25"/>
  <c r="L77" i="25" s="1"/>
  <c r="L89" i="25" s="1"/>
  <c r="L90" i="25" s="1"/>
  <c r="O97" i="25"/>
  <c r="R97" i="25"/>
  <c r="AH97" i="25"/>
  <c r="AD22" i="25"/>
  <c r="AD77" i="25" s="1"/>
  <c r="AD89" i="25" s="1"/>
  <c r="AD90" i="25" s="1"/>
  <c r="AD99" i="25" s="1"/>
  <c r="AD104" i="25" s="1"/>
  <c r="C2" i="25"/>
  <c r="J22" i="25"/>
  <c r="J77" i="25" s="1"/>
  <c r="J89" i="25" s="1"/>
  <c r="J90" i="25" s="1"/>
  <c r="J99" i="25" s="1"/>
  <c r="J104" i="25" s="1"/>
  <c r="J106" i="25" s="1"/>
  <c r="J107" i="25" s="1"/>
  <c r="J109" i="25" s="1"/>
  <c r="J114" i="25" s="1"/>
  <c r="AE22" i="25"/>
  <c r="AE77" i="25" s="1"/>
  <c r="AE89" i="25" s="1"/>
  <c r="AE90" i="25" s="1"/>
  <c r="AE99" i="25" s="1"/>
  <c r="AE104" i="25" s="1"/>
  <c r="K22" i="25"/>
  <c r="K77" i="25" s="1"/>
  <c r="K89" i="25" s="1"/>
  <c r="K90" i="25" s="1"/>
  <c r="AL22" i="25"/>
  <c r="AL77" i="25" s="1"/>
  <c r="AL89" i="25" s="1"/>
  <c r="AL90" i="25" s="1"/>
  <c r="AL99" i="25" s="1"/>
  <c r="AL104" i="25" s="1"/>
  <c r="F71" i="25"/>
  <c r="G80" i="25"/>
  <c r="E71" i="25"/>
  <c r="L97" i="25"/>
  <c r="F96" i="25"/>
  <c r="E96" i="25"/>
  <c r="H36" i="25"/>
  <c r="H35" i="25"/>
  <c r="H37" i="25" s="1"/>
  <c r="E60" i="25"/>
  <c r="F65" i="25"/>
  <c r="H22" i="25"/>
  <c r="H77" i="25" s="1"/>
  <c r="H89" i="25" s="1"/>
  <c r="H90" i="25" s="1"/>
  <c r="H99" i="25" s="1"/>
  <c r="H104" i="25" s="1"/>
  <c r="Q22" i="25"/>
  <c r="Q77" i="25" s="1"/>
  <c r="Q89" i="25" s="1"/>
  <c r="Q90" i="25" s="1"/>
  <c r="Z22" i="25"/>
  <c r="Z77" i="25" s="1"/>
  <c r="Z89" i="25" s="1"/>
  <c r="Z90" i="25" s="1"/>
  <c r="Z99" i="25" s="1"/>
  <c r="Z104" i="25" s="1"/>
  <c r="AI22" i="25"/>
  <c r="AI77" i="25" s="1"/>
  <c r="AI89" i="25" s="1"/>
  <c r="AI90" i="25" s="1"/>
  <c r="I97" i="25"/>
  <c r="Q97" i="25"/>
  <c r="Y97" i="25"/>
  <c r="AG97" i="25"/>
  <c r="I22" i="25"/>
  <c r="I77" i="25" s="1"/>
  <c r="I89" i="25" s="1"/>
  <c r="I90" i="25" s="1"/>
  <c r="R22" i="25"/>
  <c r="R77" i="25" s="1"/>
  <c r="R89" i="25" s="1"/>
  <c r="R90" i="25" s="1"/>
  <c r="AA22" i="25"/>
  <c r="AA77" i="25" s="1"/>
  <c r="AA89" i="25" s="1"/>
  <c r="AA90" i="25" s="1"/>
  <c r="AJ22" i="25"/>
  <c r="AJ77" i="25" s="1"/>
  <c r="AJ89" i="25" s="1"/>
  <c r="AJ90" i="25" s="1"/>
  <c r="AJ99" i="25" s="1"/>
  <c r="AJ104" i="25" s="1"/>
  <c r="K97" i="25"/>
  <c r="S97" i="25"/>
  <c r="AA97" i="25"/>
  <c r="AI97" i="25"/>
  <c r="N22" i="25"/>
  <c r="N77" i="25" s="1"/>
  <c r="N89" i="25" s="1"/>
  <c r="N90" i="25" s="1"/>
  <c r="N99" i="25" s="1"/>
  <c r="N104" i="25" s="1"/>
  <c r="W22" i="25"/>
  <c r="W77" i="25" s="1"/>
  <c r="W89" i="25" s="1"/>
  <c r="W90" i="25" s="1"/>
  <c r="W99" i="25" s="1"/>
  <c r="W104" i="25" s="1"/>
  <c r="AK22" i="25"/>
  <c r="AK77" i="25" s="1"/>
  <c r="AK89" i="25" s="1"/>
  <c r="AK90" i="25" s="1"/>
  <c r="AK99" i="25" s="1"/>
  <c r="AK104" i="25" s="1"/>
  <c r="AC22" i="25"/>
  <c r="AC77" i="25" s="1"/>
  <c r="AC89" i="25" s="1"/>
  <c r="AC90" i="25" s="1"/>
  <c r="AC99" i="25" s="1"/>
  <c r="AC104" i="25" s="1"/>
  <c r="U22" i="25"/>
  <c r="U77" i="25" s="1"/>
  <c r="U89" i="25" s="1"/>
  <c r="U90" i="25" s="1"/>
  <c r="U99" i="25" s="1"/>
  <c r="U104" i="25" s="1"/>
  <c r="M22" i="25"/>
  <c r="M77" i="25" s="1"/>
  <c r="M89" i="25" s="1"/>
  <c r="M90" i="25" s="1"/>
  <c r="M99" i="25" s="1"/>
  <c r="M104" i="25" s="1"/>
  <c r="O22" i="25"/>
  <c r="O77" i="25" s="1"/>
  <c r="O89" i="25" s="1"/>
  <c r="O90" i="25" s="1"/>
  <c r="X22" i="25"/>
  <c r="X77" i="25" s="1"/>
  <c r="X89" i="25" s="1"/>
  <c r="X90" i="25" s="1"/>
  <c r="X99" i="25" s="1"/>
  <c r="X104" i="25" s="1"/>
  <c r="AG22" i="25"/>
  <c r="AG77" i="25" s="1"/>
  <c r="AG89" i="25" s="1"/>
  <c r="AG90" i="25" s="1"/>
  <c r="E65" i="25"/>
  <c r="G22" i="25"/>
  <c r="G77" i="25" s="1"/>
  <c r="P22" i="25"/>
  <c r="P77" i="25" s="1"/>
  <c r="P89" i="25" s="1"/>
  <c r="P90" i="25" s="1"/>
  <c r="P99" i="25" s="1"/>
  <c r="P104" i="25" s="1"/>
  <c r="Y22" i="25"/>
  <c r="Y77" i="25" s="1"/>
  <c r="Y89" i="25" s="1"/>
  <c r="Y90" i="25" s="1"/>
  <c r="AH22" i="25"/>
  <c r="AH77" i="25" s="1"/>
  <c r="AH89" i="25" s="1"/>
  <c r="AH90" i="25" s="1"/>
  <c r="U27" i="20"/>
  <c r="W81" i="20"/>
  <c r="O81" i="20"/>
  <c r="G27" i="20"/>
  <c r="T27" i="20"/>
  <c r="V81" i="20"/>
  <c r="N81" i="20"/>
  <c r="Y27" i="20"/>
  <c r="Q27" i="20"/>
  <c r="I27" i="20"/>
  <c r="AA81" i="20"/>
  <c r="K81" i="20"/>
  <c r="K89" i="20" s="1"/>
  <c r="AA79" i="20"/>
  <c r="AA87" i="20" s="1"/>
  <c r="Z27" i="20"/>
  <c r="Z79" i="20" s="1"/>
  <c r="J27" i="20"/>
  <c r="L81" i="20"/>
  <c r="X27" i="20"/>
  <c r="Z81" i="20"/>
  <c r="R81" i="20"/>
  <c r="J81" i="20"/>
  <c r="J89" i="20" s="1"/>
  <c r="L79" i="20"/>
  <c r="L87" i="20" s="1"/>
  <c r="S27" i="20"/>
  <c r="R27" i="20"/>
  <c r="T81" i="20"/>
  <c r="W27" i="20"/>
  <c r="W79" i="20" s="1"/>
  <c r="O79" i="20"/>
  <c r="O87" i="20" s="1"/>
  <c r="Y81" i="20"/>
  <c r="Q81" i="20"/>
  <c r="I81" i="20"/>
  <c r="I89" i="20" s="1"/>
  <c r="G81" i="20"/>
  <c r="G89" i="20" s="1"/>
  <c r="S81" i="20"/>
  <c r="V27" i="20"/>
  <c r="X81" i="20"/>
  <c r="P81" i="20"/>
  <c r="S19" i="11"/>
  <c r="U39" i="11"/>
  <c r="U48" i="11" s="1"/>
  <c r="T53" i="11" s="1"/>
  <c r="S18" i="11"/>
  <c r="T41" i="11"/>
  <c r="T50" i="11" s="1"/>
  <c r="S55" i="11" s="1"/>
  <c r="T28" i="11"/>
  <c r="S27" i="11"/>
  <c r="U27" i="11"/>
  <c r="T18" i="11"/>
  <c r="T32" i="11"/>
  <c r="U28" i="11"/>
  <c r="U18" i="11"/>
  <c r="S41" i="11"/>
  <c r="S50" i="11" s="1"/>
  <c r="R55" i="11" s="1"/>
  <c r="S28" i="11"/>
  <c r="Z22" i="20"/>
  <c r="Z100" i="20" s="1"/>
  <c r="R22" i="20"/>
  <c r="R100" i="20" s="1"/>
  <c r="S79" i="20"/>
  <c r="K79" i="20"/>
  <c r="K87" i="20" s="1"/>
  <c r="Y22" i="20"/>
  <c r="Y100" i="20" s="1"/>
  <c r="Q22" i="20"/>
  <c r="Q100" i="20" s="1"/>
  <c r="R79" i="20"/>
  <c r="J79" i="20"/>
  <c r="Y79" i="20"/>
  <c r="Q79" i="20"/>
  <c r="I79" i="20"/>
  <c r="P79" i="20"/>
  <c r="P87" i="20" s="1"/>
  <c r="H79" i="20"/>
  <c r="V22" i="20"/>
  <c r="V100" i="20" s="1"/>
  <c r="U22" i="20"/>
  <c r="U100" i="20" s="1"/>
  <c r="V79" i="20"/>
  <c r="N79" i="20"/>
  <c r="N87" i="20" s="1"/>
  <c r="X79" i="20"/>
  <c r="T22" i="20"/>
  <c r="T100" i="20" s="1"/>
  <c r="U79" i="20"/>
  <c r="M79" i="20"/>
  <c r="M87" i="20" s="1"/>
  <c r="X22" i="20"/>
  <c r="X100" i="20" s="1"/>
  <c r="W22" i="20"/>
  <c r="W100" i="20" s="1"/>
  <c r="AA22" i="20"/>
  <c r="AA100" i="20" s="1"/>
  <c r="S22" i="20"/>
  <c r="S100" i="20" s="1"/>
  <c r="T79" i="20"/>
  <c r="F67" i="20"/>
  <c r="F69" i="20" s="1"/>
  <c r="D137" i="20" s="1"/>
  <c r="I2" i="20"/>
  <c r="I1" i="20" s="1"/>
  <c r="H51" i="20"/>
  <c r="E84" i="20"/>
  <c r="E118" i="23"/>
  <c r="AL105" i="23"/>
  <c r="AE105" i="23"/>
  <c r="T105" i="23"/>
  <c r="S105" i="23"/>
  <c r="X105" i="23"/>
  <c r="Y105" i="23"/>
  <c r="F90" i="23"/>
  <c r="T108" i="23"/>
  <c r="H50" i="23"/>
  <c r="F89" i="23"/>
  <c r="E87" i="23"/>
  <c r="AE108" i="23"/>
  <c r="AH108" i="23"/>
  <c r="R108" i="23"/>
  <c r="F88" i="23"/>
  <c r="AG108" i="23"/>
  <c r="U108" i="23"/>
  <c r="AA108" i="23"/>
  <c r="F87" i="23"/>
  <c r="R105" i="23"/>
  <c r="R115" i="23" s="1"/>
  <c r="AD105" i="23"/>
  <c r="AJ105" i="23"/>
  <c r="AJ114" i="23" s="1"/>
  <c r="AJ115" i="23" s="1"/>
  <c r="AI105" i="23"/>
  <c r="AB105" i="23"/>
  <c r="W105" i="23"/>
  <c r="Z105" i="23"/>
  <c r="E89" i="23"/>
  <c r="Z108" i="23"/>
  <c r="S108" i="23"/>
  <c r="V22" i="23"/>
  <c r="V102" i="23" s="1"/>
  <c r="AD22" i="23"/>
  <c r="AD102" i="23" s="1"/>
  <c r="Q105" i="23"/>
  <c r="F56" i="23"/>
  <c r="V105" i="23"/>
  <c r="W22" i="23"/>
  <c r="W102" i="23" s="1"/>
  <c r="W114" i="23" s="1"/>
  <c r="W115" i="23" s="1"/>
  <c r="AE22" i="23"/>
  <c r="AE102" i="23" s="1"/>
  <c r="AE114" i="23" s="1"/>
  <c r="AE115" i="23" s="1"/>
  <c r="AE128" i="23" s="1"/>
  <c r="AE133" i="23" s="1"/>
  <c r="AL22" i="23"/>
  <c r="AL102" i="23" s="1"/>
  <c r="AL114" i="23" s="1"/>
  <c r="AL115" i="23" s="1"/>
  <c r="AK22" i="23"/>
  <c r="AK102" i="23" s="1"/>
  <c r="AK114" i="23" s="1"/>
  <c r="AK115" i="23" s="1"/>
  <c r="AJ22" i="23"/>
  <c r="AJ102" i="23" s="1"/>
  <c r="G55" i="23"/>
  <c r="Y108" i="23"/>
  <c r="S22" i="23"/>
  <c r="S102" i="23" s="1"/>
  <c r="AI22" i="23"/>
  <c r="AI102" i="23" s="1"/>
  <c r="X108" i="23"/>
  <c r="Z22" i="23"/>
  <c r="Z102" i="23" s="1"/>
  <c r="R22" i="23"/>
  <c r="R102" i="23" s="1"/>
  <c r="AH22" i="23"/>
  <c r="AH102" i="23" s="1"/>
  <c r="AH114" i="23" s="1"/>
  <c r="AH115" i="23" s="1"/>
  <c r="Y22" i="23"/>
  <c r="Y102" i="23" s="1"/>
  <c r="AA22" i="23"/>
  <c r="AA102" i="23" s="1"/>
  <c r="AA114" i="23" s="1"/>
  <c r="AA115" i="23" s="1"/>
  <c r="AG22" i="23"/>
  <c r="AG102" i="23" s="1"/>
  <c r="AG114" i="23" s="1"/>
  <c r="AG115" i="23" s="1"/>
  <c r="AG128" i="23" s="1"/>
  <c r="AG133" i="23" s="1"/>
  <c r="U22" i="23"/>
  <c r="U102" i="23" s="1"/>
  <c r="U114" i="23" s="1"/>
  <c r="U115" i="23" s="1"/>
  <c r="AC22" i="23"/>
  <c r="AC102" i="23" s="1"/>
  <c r="AC114" i="23" s="1"/>
  <c r="AC115" i="23" s="1"/>
  <c r="T22" i="23"/>
  <c r="T102" i="23" s="1"/>
  <c r="T114" i="23" s="1"/>
  <c r="T115" i="23" s="1"/>
  <c r="AB22" i="23"/>
  <c r="AB102" i="23" s="1"/>
  <c r="H45" i="23"/>
  <c r="X22" i="23"/>
  <c r="X102" i="23" s="1"/>
  <c r="X114" i="23" s="1"/>
  <c r="X115" i="23" s="1"/>
  <c r="AF22" i="23"/>
  <c r="AF102" i="23" s="1"/>
  <c r="AF114" i="23" s="1"/>
  <c r="AF115" i="23" s="1"/>
  <c r="H46" i="23"/>
  <c r="H49" i="23"/>
  <c r="H51" i="23" s="1"/>
  <c r="G51" i="23" s="1"/>
  <c r="F58" i="21"/>
  <c r="F60" i="21" s="1"/>
  <c r="D127" i="21" s="1"/>
  <c r="E130" i="21" s="1"/>
  <c r="O108" i="23"/>
  <c r="L105" i="23"/>
  <c r="N108" i="23"/>
  <c r="H1" i="23"/>
  <c r="K108" i="23"/>
  <c r="G105" i="23"/>
  <c r="J108" i="23"/>
  <c r="G108" i="23"/>
  <c r="H105" i="23"/>
  <c r="J105" i="23"/>
  <c r="J114" i="23" s="1"/>
  <c r="J115" i="23" s="1"/>
  <c r="F80" i="23"/>
  <c r="F27" i="23"/>
  <c r="F79" i="23"/>
  <c r="L108" i="23"/>
  <c r="K105" i="23"/>
  <c r="H108" i="23"/>
  <c r="P108" i="23"/>
  <c r="M108" i="23"/>
  <c r="O105" i="23"/>
  <c r="I108" i="23"/>
  <c r="Q108" i="23"/>
  <c r="P105" i="23"/>
  <c r="L120" i="19"/>
  <c r="G116" i="19"/>
  <c r="G119" i="19"/>
  <c r="E80" i="23"/>
  <c r="K22" i="23"/>
  <c r="K102" i="23" s="1"/>
  <c r="N105" i="23"/>
  <c r="L22" i="23"/>
  <c r="L102" i="23" s="1"/>
  <c r="M22" i="23"/>
  <c r="M102" i="23" s="1"/>
  <c r="N22" i="23"/>
  <c r="N102" i="23" s="1"/>
  <c r="O22" i="23"/>
  <c r="O102" i="23" s="1"/>
  <c r="C2" i="23"/>
  <c r="H22" i="23"/>
  <c r="H102" i="23" s="1"/>
  <c r="P22" i="23"/>
  <c r="P102" i="23" s="1"/>
  <c r="G22" i="23"/>
  <c r="G102" i="23" s="1"/>
  <c r="I22" i="23"/>
  <c r="I102" i="23" s="1"/>
  <c r="Q22" i="23"/>
  <c r="Q102" i="23" s="1"/>
  <c r="E79" i="23"/>
  <c r="I105" i="23"/>
  <c r="M105" i="23"/>
  <c r="I2" i="23"/>
  <c r="O85" i="21" a="1"/>
  <c r="O85" i="21" s="1"/>
  <c r="O94" i="21" s="1"/>
  <c r="M85" i="21" a="1"/>
  <c r="M85" i="21" s="1"/>
  <c r="M94" i="21" s="1"/>
  <c r="G113" i="21"/>
  <c r="E79" i="21"/>
  <c r="N113" i="21"/>
  <c r="O113" i="21"/>
  <c r="F112" i="21"/>
  <c r="L85" i="21" a="1"/>
  <c r="L85" i="21" s="1"/>
  <c r="L94" i="21" s="1"/>
  <c r="F79" i="21"/>
  <c r="J113" i="21"/>
  <c r="K113" i="21"/>
  <c r="Q122" i="21"/>
  <c r="Q123" i="21" s="1"/>
  <c r="Q125" i="21" s="1"/>
  <c r="Q130" i="21" s="1"/>
  <c r="E78" i="21"/>
  <c r="P113" i="21"/>
  <c r="M111" i="21"/>
  <c r="M113" i="21" s="1"/>
  <c r="J97" i="21"/>
  <c r="N97" i="21"/>
  <c r="I97" i="21"/>
  <c r="H97" i="21"/>
  <c r="P97" i="21"/>
  <c r="L97" i="21"/>
  <c r="I2" i="21"/>
  <c r="I1" i="21" s="1"/>
  <c r="M97" i="21"/>
  <c r="E112" i="21"/>
  <c r="G97" i="21"/>
  <c r="O97" i="21"/>
  <c r="K22" i="21"/>
  <c r="K91" i="21" s="1"/>
  <c r="O22" i="21"/>
  <c r="O91" i="21" s="1"/>
  <c r="J22" i="21"/>
  <c r="J91" i="21" s="1"/>
  <c r="J103" i="21" s="1"/>
  <c r="J104" i="21" s="1"/>
  <c r="C2" i="21"/>
  <c r="I22" i="21"/>
  <c r="I91" i="21" s="1"/>
  <c r="M22" i="21"/>
  <c r="M91" i="21" s="1"/>
  <c r="L22" i="21"/>
  <c r="L91" i="21" s="1"/>
  <c r="P22" i="21"/>
  <c r="P91" i="21" s="1"/>
  <c r="H22" i="21"/>
  <c r="H91" i="21" s="1"/>
  <c r="G22" i="21"/>
  <c r="G91" i="21" s="1"/>
  <c r="G94" i="21"/>
  <c r="O103" i="21"/>
  <c r="O104" i="21" s="1"/>
  <c r="O115" i="21" s="1"/>
  <c r="O120" i="21" s="1"/>
  <c r="N22" i="21"/>
  <c r="N91" i="21" s="1"/>
  <c r="N103" i="21" s="1"/>
  <c r="N104" i="21" s="1"/>
  <c r="N115" i="21" s="1"/>
  <c r="N120" i="21" s="1"/>
  <c r="H103" i="21"/>
  <c r="H104" i="21" s="1"/>
  <c r="H115" i="21" s="1"/>
  <c r="H120" i="21" s="1"/>
  <c r="P103" i="21"/>
  <c r="P104" i="21" s="1"/>
  <c r="I103" i="21"/>
  <c r="I104" i="21" s="1"/>
  <c r="I115" i="21" s="1"/>
  <c r="I120" i="21" s="1"/>
  <c r="F71" i="21"/>
  <c r="E71" i="21"/>
  <c r="E70" i="21"/>
  <c r="K97" i="21"/>
  <c r="E75" i="21"/>
  <c r="K103" i="21"/>
  <c r="K104" i="21" s="1"/>
  <c r="I194" i="21"/>
  <c r="J2" i="21"/>
  <c r="L113" i="21"/>
  <c r="F70" i="21"/>
  <c r="F27" i="18"/>
  <c r="L22" i="20"/>
  <c r="L100" i="20" s="1"/>
  <c r="M22" i="20"/>
  <c r="M100" i="20" s="1"/>
  <c r="G22" i="20"/>
  <c r="G100" i="20" s="1"/>
  <c r="H1" i="20"/>
  <c r="I22" i="20"/>
  <c r="I100" i="20" s="1"/>
  <c r="H47" i="20"/>
  <c r="G47" i="20" s="1"/>
  <c r="J47" i="20" s="1"/>
  <c r="F51" i="20"/>
  <c r="O22" i="20"/>
  <c r="O100" i="20" s="1"/>
  <c r="H22" i="20"/>
  <c r="H100" i="20" s="1"/>
  <c r="P22" i="20"/>
  <c r="P100" i="20" s="1"/>
  <c r="C2" i="20"/>
  <c r="J22" i="20"/>
  <c r="J100" i="20" s="1"/>
  <c r="N22" i="20"/>
  <c r="N100" i="20" s="1"/>
  <c r="I155" i="6"/>
  <c r="R104" i="6"/>
  <c r="R115" i="6" s="1"/>
  <c r="R121" i="6" s="1"/>
  <c r="R130" i="6" s="1"/>
  <c r="E164" i="6"/>
  <c r="E147" i="6"/>
  <c r="K166" i="6"/>
  <c r="K180" i="6" s="1"/>
  <c r="K206" i="6" s="1"/>
  <c r="M97" i="6"/>
  <c r="M98" i="6" s="1"/>
  <c r="P154" i="6"/>
  <c r="E93" i="6"/>
  <c r="K151" i="6"/>
  <c r="M155" i="6"/>
  <c r="H154" i="6"/>
  <c r="I157" i="6"/>
  <c r="P104" i="6"/>
  <c r="P115" i="6" s="1"/>
  <c r="P121" i="6" s="1"/>
  <c r="H157" i="6"/>
  <c r="H104" i="6"/>
  <c r="H115" i="6" s="1"/>
  <c r="H121" i="6" s="1"/>
  <c r="H130" i="6" s="1"/>
  <c r="M65" i="6"/>
  <c r="M165" i="6"/>
  <c r="H65" i="6"/>
  <c r="H165" i="6"/>
  <c r="H166" i="6" s="1"/>
  <c r="H180" i="6" s="1"/>
  <c r="H206" i="6" s="1"/>
  <c r="Q155" i="6"/>
  <c r="Q157" i="6"/>
  <c r="O104" i="6"/>
  <c r="O115" i="6" s="1"/>
  <c r="O121" i="6" s="1"/>
  <c r="O130" i="6" s="1"/>
  <c r="O109" i="6"/>
  <c r="O133" i="6" s="1"/>
  <c r="O156" i="6" s="1"/>
  <c r="K109" i="6"/>
  <c r="K133" i="6" s="1"/>
  <c r="K155" i="6" s="1"/>
  <c r="K104" i="6"/>
  <c r="K115" i="6" s="1"/>
  <c r="K121" i="6" s="1"/>
  <c r="K130" i="6" s="1"/>
  <c r="M157" i="6"/>
  <c r="I156" i="6"/>
  <c r="E112" i="6"/>
  <c r="L100" i="6"/>
  <c r="L109" i="6" s="1"/>
  <c r="L133" i="6" s="1"/>
  <c r="P62" i="6"/>
  <c r="Q65" i="6"/>
  <c r="Q156" i="6"/>
  <c r="P157" i="6"/>
  <c r="H151" i="6"/>
  <c r="P156" i="6"/>
  <c r="H156" i="6"/>
  <c r="L97" i="6"/>
  <c r="L98" i="6" s="1"/>
  <c r="G61" i="6"/>
  <c r="G163" i="6" s="1"/>
  <c r="E96" i="6"/>
  <c r="K97" i="6"/>
  <c r="K98" i="6" s="1"/>
  <c r="F164" i="6"/>
  <c r="N109" i="6"/>
  <c r="N133" i="6" s="1"/>
  <c r="I104" i="6"/>
  <c r="I115" i="6" s="1"/>
  <c r="I121" i="6" s="1"/>
  <c r="I130" i="6" s="1"/>
  <c r="R97" i="6"/>
  <c r="R98" i="6" s="1"/>
  <c r="J97" i="6"/>
  <c r="J98" i="6" s="1"/>
  <c r="F93" i="6"/>
  <c r="O65" i="6"/>
  <c r="M156" i="6"/>
  <c r="M104" i="6"/>
  <c r="M115" i="6" s="1"/>
  <c r="M121" i="6" s="1"/>
  <c r="M130" i="6" s="1"/>
  <c r="Q104" i="6"/>
  <c r="Q115" i="6" s="1"/>
  <c r="Q121" i="6" s="1"/>
  <c r="Q130" i="6" s="1"/>
  <c r="G100" i="6"/>
  <c r="G109" i="6" s="1"/>
  <c r="J104" i="6"/>
  <c r="J115" i="6" s="1"/>
  <c r="J121" i="6" s="1"/>
  <c r="J130" i="6" s="1"/>
  <c r="I165" i="6"/>
  <c r="Q165" i="6"/>
  <c r="Q166" i="6" s="1"/>
  <c r="P97" i="6"/>
  <c r="P98" i="6" s="1"/>
  <c r="H97" i="6"/>
  <c r="H98" i="6" s="1"/>
  <c r="I61" i="6"/>
  <c r="I163" i="6" s="1"/>
  <c r="H34" i="6"/>
  <c r="G58" i="6" s="1"/>
  <c r="J156" i="6"/>
  <c r="O121" i="19"/>
  <c r="O120" i="19"/>
  <c r="O119" i="19"/>
  <c r="N121" i="19"/>
  <c r="N120" i="19"/>
  <c r="N119" i="19"/>
  <c r="M121" i="19"/>
  <c r="M120" i="19"/>
  <c r="M119" i="19"/>
  <c r="L119" i="19"/>
  <c r="K121" i="19"/>
  <c r="K119" i="19"/>
  <c r="J121" i="19"/>
  <c r="J120" i="19"/>
  <c r="J119" i="19"/>
  <c r="L121" i="19"/>
  <c r="G121" i="19"/>
  <c r="I121" i="19"/>
  <c r="I120" i="19"/>
  <c r="I119" i="19"/>
  <c r="K120" i="19"/>
  <c r="G120" i="19"/>
  <c r="L116" i="19"/>
  <c r="K116" i="19"/>
  <c r="I116" i="19"/>
  <c r="E136" i="19"/>
  <c r="E114" i="19"/>
  <c r="E115" i="19"/>
  <c r="E135" i="19"/>
  <c r="O116" i="19"/>
  <c r="M116" i="19"/>
  <c r="H116" i="19"/>
  <c r="E128" i="19"/>
  <c r="F128" i="19"/>
  <c r="E113" i="19"/>
  <c r="J116" i="19"/>
  <c r="N116" i="19"/>
  <c r="M50" i="19"/>
  <c r="O50" i="19"/>
  <c r="H50" i="19"/>
  <c r="G50" i="19"/>
  <c r="I50" i="19"/>
  <c r="J50" i="19"/>
  <c r="K50" i="19"/>
  <c r="L50" i="19"/>
  <c r="N50" i="19"/>
  <c r="E84" i="19"/>
  <c r="J81" i="19"/>
  <c r="K81" i="19"/>
  <c r="I81" i="19"/>
  <c r="G81" i="19"/>
  <c r="G87" i="19" s="1" a="1"/>
  <c r="G87" i="19" s="1"/>
  <c r="G96" i="19" s="1"/>
  <c r="L81" i="19"/>
  <c r="L87" i="19" s="1" a="1"/>
  <c r="L87" i="19" s="1"/>
  <c r="L96" i="19" s="1"/>
  <c r="L105" i="19" s="1"/>
  <c r="L109" i="19" s="1"/>
  <c r="N81" i="19"/>
  <c r="N87" i="19" s="1" a="1"/>
  <c r="N87" i="19" s="1"/>
  <c r="N96" i="19" s="1"/>
  <c r="M81" i="19"/>
  <c r="O81" i="19"/>
  <c r="H81" i="19"/>
  <c r="F81" i="19" s="1"/>
  <c r="E78" i="19"/>
  <c r="H99" i="19"/>
  <c r="F26" i="19"/>
  <c r="J99" i="19"/>
  <c r="M99" i="19"/>
  <c r="N99" i="19"/>
  <c r="F63" i="19"/>
  <c r="F65" i="19" s="1"/>
  <c r="D151" i="19" s="1"/>
  <c r="O99" i="19"/>
  <c r="G99" i="19"/>
  <c r="L99" i="19"/>
  <c r="K99" i="19"/>
  <c r="H1" i="19"/>
  <c r="I2" i="19"/>
  <c r="I1" i="19" s="1"/>
  <c r="I99" i="19"/>
  <c r="M22" i="19"/>
  <c r="M93" i="19" s="1"/>
  <c r="N22" i="19"/>
  <c r="N93" i="19" s="1"/>
  <c r="G22" i="19"/>
  <c r="G93" i="19" s="1"/>
  <c r="O22" i="19"/>
  <c r="O93" i="19" s="1"/>
  <c r="H33" i="19"/>
  <c r="H22" i="19"/>
  <c r="H93" i="19" s="1"/>
  <c r="E75" i="19"/>
  <c r="I22" i="19"/>
  <c r="I93" i="19" s="1"/>
  <c r="H34" i="19"/>
  <c r="F75" i="19"/>
  <c r="C2" i="19"/>
  <c r="J22" i="19"/>
  <c r="J93" i="19" s="1"/>
  <c r="K22" i="19"/>
  <c r="K93" i="19" s="1"/>
  <c r="N151" i="6"/>
  <c r="U32" i="11"/>
  <c r="T39" i="11"/>
  <c r="T48" i="11" s="1"/>
  <c r="S53" i="11" s="1"/>
  <c r="U33" i="11"/>
  <c r="S32" i="11"/>
  <c r="U19" i="11"/>
  <c r="J155" i="6"/>
  <c r="Q151" i="6"/>
  <c r="Q154" i="6"/>
  <c r="I151" i="6"/>
  <c r="I154" i="6"/>
  <c r="E149" i="6"/>
  <c r="G94" i="6"/>
  <c r="T33" i="11"/>
  <c r="S33" i="11"/>
  <c r="J157" i="6"/>
  <c r="R151" i="6"/>
  <c r="J151" i="6"/>
  <c r="E118" i="6"/>
  <c r="T19" i="11"/>
  <c r="T27" i="11"/>
  <c r="O180" i="6"/>
  <c r="O206" i="6" s="1"/>
  <c r="R109" i="6"/>
  <c r="R133" i="6" s="1"/>
  <c r="R156" i="6" s="1"/>
  <c r="E150" i="6"/>
  <c r="U41" i="11"/>
  <c r="U50" i="11" s="1"/>
  <c r="T55" i="11" s="1"/>
  <c r="O151" i="6"/>
  <c r="E148" i="6"/>
  <c r="L151" i="6"/>
  <c r="K65" i="6"/>
  <c r="R227" i="17"/>
  <c r="R228" i="17" s="1"/>
  <c r="N62" i="6"/>
  <c r="N165" i="6" s="1"/>
  <c r="N166" i="6" s="1"/>
  <c r="R61" i="6"/>
  <c r="J61" i="6"/>
  <c r="E246" i="17"/>
  <c r="O227" i="17"/>
  <c r="O228" i="17" s="1"/>
  <c r="F181" i="17"/>
  <c r="G164" i="17"/>
  <c r="H121" i="18"/>
  <c r="H122" i="18" s="1"/>
  <c r="H124" i="18"/>
  <c r="H129" i="18" s="1"/>
  <c r="E245" i="17"/>
  <c r="H199" i="17"/>
  <c r="H205" i="17" s="1"/>
  <c r="H214" i="17" s="1"/>
  <c r="H183" i="17"/>
  <c r="E93" i="18"/>
  <c r="I102" i="18"/>
  <c r="I103" i="18" s="1"/>
  <c r="I114" i="18" s="1"/>
  <c r="I119" i="18" s="1"/>
  <c r="P199" i="17"/>
  <c r="P205" i="17" s="1"/>
  <c r="P214" i="17" s="1"/>
  <c r="P183" i="17"/>
  <c r="G183" i="17"/>
  <c r="E180" i="17"/>
  <c r="F180" i="17"/>
  <c r="M217" i="17"/>
  <c r="M251" i="17"/>
  <c r="M250" i="17"/>
  <c r="I88" i="17"/>
  <c r="I244" i="17" s="1"/>
  <c r="I253" i="17" s="1"/>
  <c r="H244" i="17"/>
  <c r="E189" i="17"/>
  <c r="L183" i="17"/>
  <c r="H158" i="17"/>
  <c r="H160" i="17" s="1"/>
  <c r="E160" i="17" s="1"/>
  <c r="K250" i="17"/>
  <c r="N183" i="17"/>
  <c r="N199" i="17"/>
  <c r="N205" i="17" s="1"/>
  <c r="N214" i="17" s="1"/>
  <c r="K199" i="17"/>
  <c r="K205" i="17" s="1"/>
  <c r="K183" i="17"/>
  <c r="J124" i="17"/>
  <c r="J276" i="17" s="1"/>
  <c r="R124" i="17"/>
  <c r="R276" i="17" s="1"/>
  <c r="K124" i="17"/>
  <c r="K276" i="17" s="1"/>
  <c r="P124" i="17"/>
  <c r="P276" i="17" s="1"/>
  <c r="M183" i="17"/>
  <c r="G168" i="17"/>
  <c r="G47" i="17"/>
  <c r="P22" i="17"/>
  <c r="P211" i="17" s="1"/>
  <c r="H22" i="17"/>
  <c r="H211" i="17" s="1"/>
  <c r="H86" i="17"/>
  <c r="O22" i="17"/>
  <c r="O211" i="17" s="1"/>
  <c r="O223" i="17" s="1"/>
  <c r="O224" i="17" s="1"/>
  <c r="G22" i="17"/>
  <c r="G211" i="17" s="1"/>
  <c r="E69" i="18"/>
  <c r="G41" i="18"/>
  <c r="H41" i="18"/>
  <c r="H42" i="18" s="1"/>
  <c r="R183" i="17"/>
  <c r="J183" i="17"/>
  <c r="N22" i="17"/>
  <c r="N211" i="17" s="1"/>
  <c r="M22" i="17"/>
  <c r="M211" i="17" s="1"/>
  <c r="E233" i="17"/>
  <c r="G191" i="17"/>
  <c r="G99" i="17"/>
  <c r="L22" i="17"/>
  <c r="L211" i="17" s="1"/>
  <c r="G112" i="18"/>
  <c r="F70" i="18"/>
  <c r="G171" i="17"/>
  <c r="F167" i="17"/>
  <c r="K22" i="17"/>
  <c r="K211" i="17" s="1"/>
  <c r="F111" i="18"/>
  <c r="E70" i="18"/>
  <c r="H46" i="18"/>
  <c r="G46" i="18" s="1"/>
  <c r="R22" i="17"/>
  <c r="R211" i="17" s="1"/>
  <c r="R223" i="17" s="1"/>
  <c r="R224" i="17" s="1"/>
  <c r="J22" i="17"/>
  <c r="J211" i="17" s="1"/>
  <c r="F69" i="18"/>
  <c r="O22" i="18"/>
  <c r="O90" i="18" s="1"/>
  <c r="O102" i="18" s="1"/>
  <c r="O103" i="18" s="1"/>
  <c r="O114" i="18" s="1"/>
  <c r="O119" i="18" s="1"/>
  <c r="G22" i="18"/>
  <c r="G90" i="18" s="1"/>
  <c r="N22" i="18"/>
  <c r="N90" i="18" s="1"/>
  <c r="N102" i="18" s="1"/>
  <c r="N103" i="18" s="1"/>
  <c r="N114" i="18" s="1"/>
  <c r="N119" i="18" s="1"/>
  <c r="L22" i="18"/>
  <c r="L90" i="18" s="1"/>
  <c r="L102" i="18" s="1"/>
  <c r="L103" i="18" s="1"/>
  <c r="L114" i="18" s="1"/>
  <c r="L119" i="18" s="1"/>
  <c r="C2" i="18"/>
  <c r="I2" i="18"/>
  <c r="J22" i="18"/>
  <c r="J90" i="18" s="1"/>
  <c r="J102" i="18" s="1"/>
  <c r="J103" i="18" s="1"/>
  <c r="L163" i="6" l="1"/>
  <c r="L166" i="6" s="1"/>
  <c r="M166" i="6"/>
  <c r="M180" i="6" s="1"/>
  <c r="M206" i="6" s="1"/>
  <c r="J1" i="6"/>
  <c r="K2" i="6"/>
  <c r="J282" i="6"/>
  <c r="G34" i="6"/>
  <c r="J223" i="17"/>
  <c r="J224" i="17" s="1"/>
  <c r="Q121" i="17"/>
  <c r="G121" i="17"/>
  <c r="E190" i="17"/>
  <c r="P121" i="17"/>
  <c r="P120" i="17" s="1"/>
  <c r="P260" i="17" s="1"/>
  <c r="H124" i="17"/>
  <c r="H276" i="17" s="1"/>
  <c r="Q183" i="17"/>
  <c r="L121" i="17"/>
  <c r="I121" i="17"/>
  <c r="M124" i="17"/>
  <c r="M276" i="17" s="1"/>
  <c r="L124" i="17"/>
  <c r="L276" i="17" s="1"/>
  <c r="I223" i="17"/>
  <c r="I224" i="17" s="1"/>
  <c r="I291" i="17" s="1"/>
  <c r="I227" i="17"/>
  <c r="I228" i="17" s="1"/>
  <c r="G217" i="17"/>
  <c r="E217" i="17" s="1"/>
  <c r="E182" i="17"/>
  <c r="E181" i="17"/>
  <c r="I183" i="17"/>
  <c r="K117" i="17"/>
  <c r="J117" i="17"/>
  <c r="E211" i="17"/>
  <c r="F182" i="17"/>
  <c r="O124" i="17"/>
  <c r="O276" i="17" s="1"/>
  <c r="Q124" i="17"/>
  <c r="Q276" i="17" s="1"/>
  <c r="H232" i="17"/>
  <c r="I85" i="17"/>
  <c r="I232" i="17" s="1"/>
  <c r="I250" i="17" s="1"/>
  <c r="G124" i="17"/>
  <c r="G276" i="17" s="1"/>
  <c r="I124" i="17"/>
  <c r="I276" i="17" s="1"/>
  <c r="G51" i="17"/>
  <c r="L253" i="17"/>
  <c r="L251" i="17"/>
  <c r="L250" i="17"/>
  <c r="L217" i="17"/>
  <c r="H121" i="17"/>
  <c r="N121" i="17"/>
  <c r="J121" i="17"/>
  <c r="R121" i="17"/>
  <c r="O121" i="17"/>
  <c r="K121" i="17"/>
  <c r="E158" i="17"/>
  <c r="K2" i="17"/>
  <c r="J380" i="17"/>
  <c r="F190" i="17"/>
  <c r="J1" i="17"/>
  <c r="H56" i="17"/>
  <c r="G105" i="17" s="1"/>
  <c r="Q223" i="17"/>
  <c r="Q224" i="17" s="1"/>
  <c r="Q291" i="17" s="1"/>
  <c r="W40" i="11"/>
  <c r="W49" i="11" s="1"/>
  <c r="U54" i="11" s="1"/>
  <c r="W50" i="11"/>
  <c r="U55" i="11" s="1"/>
  <c r="J105" i="27"/>
  <c r="J107" i="27" s="1"/>
  <c r="J123" i="27" s="1"/>
  <c r="J125" i="27" s="1"/>
  <c r="J126" i="27" s="1"/>
  <c r="J128" i="27" s="1"/>
  <c r="J133" i="27" s="1"/>
  <c r="P105" i="27"/>
  <c r="P107" i="27" s="1"/>
  <c r="P123" i="27" s="1"/>
  <c r="P125" i="27" s="1"/>
  <c r="P126" i="27" s="1"/>
  <c r="P128" i="27" s="1"/>
  <c r="P133" i="27" s="1"/>
  <c r="L107" i="27"/>
  <c r="L123" i="27" s="1"/>
  <c r="L125" i="27" s="1"/>
  <c r="L126" i="27" s="1"/>
  <c r="L128" i="27" s="1"/>
  <c r="L133" i="27" s="1"/>
  <c r="L105" i="27"/>
  <c r="M107" i="27"/>
  <c r="M123" i="27" s="1"/>
  <c r="M125" i="27" s="1"/>
  <c r="M126" i="27" s="1"/>
  <c r="M128" i="27" s="1"/>
  <c r="M133" i="27" s="1"/>
  <c r="M105" i="27"/>
  <c r="O105" i="27"/>
  <c r="O107" i="27" s="1"/>
  <c r="O123" i="27" s="1"/>
  <c r="O125" i="27" s="1"/>
  <c r="O126" i="27" s="1"/>
  <c r="O128" i="27" s="1"/>
  <c r="O133" i="27" s="1"/>
  <c r="H105" i="27"/>
  <c r="F105" i="27" s="1"/>
  <c r="N107" i="27"/>
  <c r="N123" i="27" s="1"/>
  <c r="N125" i="27" s="1"/>
  <c r="N126" i="27" s="1"/>
  <c r="N128" i="27" s="1"/>
  <c r="N133" i="27" s="1"/>
  <c r="N105" i="27"/>
  <c r="I107" i="27"/>
  <c r="I123" i="27" s="1"/>
  <c r="I125" i="27" s="1"/>
  <c r="I126" i="27" s="1"/>
  <c r="I128" i="27" s="1"/>
  <c r="I133" i="27" s="1"/>
  <c r="I105" i="27"/>
  <c r="E116" i="27"/>
  <c r="F116" i="27"/>
  <c r="F99" i="27"/>
  <c r="I1" i="27"/>
  <c r="J2" i="27"/>
  <c r="E99" i="27"/>
  <c r="H45" i="27"/>
  <c r="G45" i="27" s="1"/>
  <c r="K123" i="27"/>
  <c r="E96" i="27"/>
  <c r="F96" i="27"/>
  <c r="E93" i="27"/>
  <c r="J114" i="18"/>
  <c r="J119" i="18" s="1"/>
  <c r="M114" i="18"/>
  <c r="M119" i="18" s="1"/>
  <c r="E96" i="18"/>
  <c r="O99" i="25"/>
  <c r="O104" i="25" s="1"/>
  <c r="O106" i="25" s="1"/>
  <c r="O107" i="25" s="1"/>
  <c r="O109" i="25" s="1"/>
  <c r="O114" i="25" s="1"/>
  <c r="L99" i="25"/>
  <c r="L104" i="25" s="1"/>
  <c r="L106" i="25" s="1"/>
  <c r="L107" i="25" s="1"/>
  <c r="L109" i="25" s="1"/>
  <c r="L114" i="25" s="1"/>
  <c r="I178" i="25"/>
  <c r="J2" i="25"/>
  <c r="I1" i="25"/>
  <c r="AH99" i="25"/>
  <c r="AH104" i="25" s="1"/>
  <c r="AH106" i="25" s="1"/>
  <c r="AH107" i="25" s="1"/>
  <c r="AH109" i="25" s="1"/>
  <c r="AH114" i="25" s="1"/>
  <c r="F97" i="25"/>
  <c r="AI99" i="25"/>
  <c r="AI104" i="25" s="1"/>
  <c r="AI106" i="25" s="1"/>
  <c r="AI107" i="25" s="1"/>
  <c r="AI109" i="25" s="1"/>
  <c r="AI114" i="25" s="1"/>
  <c r="K99" i="25"/>
  <c r="K104" i="25" s="1"/>
  <c r="K106" i="25" s="1"/>
  <c r="K107" i="25" s="1"/>
  <c r="K109" i="25" s="1"/>
  <c r="K114" i="25" s="1"/>
  <c r="AA99" i="25"/>
  <c r="AA104" i="25" s="1"/>
  <c r="AA106" i="25" s="1"/>
  <c r="AA107" i="25" s="1"/>
  <c r="AA109" i="25" s="1"/>
  <c r="AA114" i="25" s="1"/>
  <c r="Y99" i="25"/>
  <c r="Y104" i="25" s="1"/>
  <c r="Y106" i="25" s="1"/>
  <c r="Y107" i="25" s="1"/>
  <c r="Y109" i="25" s="1"/>
  <c r="Y114" i="25" s="1"/>
  <c r="AG99" i="25"/>
  <c r="AG104" i="25" s="1"/>
  <c r="AG106" i="25" s="1"/>
  <c r="AG107" i="25" s="1"/>
  <c r="AG109" i="25" s="1"/>
  <c r="AG114" i="25" s="1"/>
  <c r="R99" i="25"/>
  <c r="R104" i="25" s="1"/>
  <c r="R106" i="25" s="1"/>
  <c r="R107" i="25" s="1"/>
  <c r="Q99" i="25"/>
  <c r="Q104" i="25" s="1"/>
  <c r="Q106" i="25" s="1"/>
  <c r="Q107" i="25" s="1"/>
  <c r="Q109" i="25" s="1"/>
  <c r="Q114" i="25" s="1"/>
  <c r="U106" i="25"/>
  <c r="U107" i="25" s="1"/>
  <c r="U109" i="25" s="1"/>
  <c r="U114" i="25" s="1"/>
  <c r="P106" i="25"/>
  <c r="P107" i="25" s="1"/>
  <c r="P109" i="25" s="1"/>
  <c r="P114" i="25" s="1"/>
  <c r="AC106" i="25"/>
  <c r="AC107" i="25" s="1"/>
  <c r="AC109" i="25" s="1"/>
  <c r="AC114" i="25" s="1"/>
  <c r="AJ106" i="25"/>
  <c r="AJ107" i="25" s="1"/>
  <c r="AJ109" i="25" s="1"/>
  <c r="AJ114" i="25" s="1"/>
  <c r="Z106" i="25"/>
  <c r="Z107" i="25" s="1"/>
  <c r="Z109" i="25" s="1"/>
  <c r="Z114" i="25" s="1"/>
  <c r="H106" i="25"/>
  <c r="H107" i="25" s="1"/>
  <c r="H109" i="25" s="1"/>
  <c r="H114" i="25" s="1"/>
  <c r="AK106" i="25"/>
  <c r="AK107" i="25" s="1"/>
  <c r="AK109" i="25" s="1"/>
  <c r="AK114" i="25" s="1"/>
  <c r="X106" i="25"/>
  <c r="X107" i="25" s="1"/>
  <c r="X109" i="25" s="1"/>
  <c r="X114" i="25" s="1"/>
  <c r="N106" i="25"/>
  <c r="N107" i="25" s="1"/>
  <c r="N109" i="25" s="1"/>
  <c r="N114" i="25" s="1"/>
  <c r="M106" i="25"/>
  <c r="M107" i="25" s="1"/>
  <c r="M109" i="25" s="1"/>
  <c r="M114" i="25" s="1"/>
  <c r="E77" i="25"/>
  <c r="S99" i="25"/>
  <c r="S104" i="25" s="1"/>
  <c r="W106" i="25"/>
  <c r="W107" i="25" s="1"/>
  <c r="W109" i="25" s="1"/>
  <c r="W114" i="25" s="1"/>
  <c r="E97" i="25"/>
  <c r="G37" i="25"/>
  <c r="AL106" i="25"/>
  <c r="AL107" i="25" s="1"/>
  <c r="AL109" i="25" s="1"/>
  <c r="AL114" i="25" s="1"/>
  <c r="G89" i="25"/>
  <c r="E80" i="25"/>
  <c r="F80" i="25"/>
  <c r="I99" i="25"/>
  <c r="I104" i="25" s="1"/>
  <c r="AD106" i="25"/>
  <c r="AD107" i="25" s="1"/>
  <c r="AD109" i="25" s="1"/>
  <c r="AD114" i="25" s="1"/>
  <c r="AE106" i="25"/>
  <c r="AE107" i="25" s="1"/>
  <c r="AE109" i="25" s="1"/>
  <c r="AE114" i="25" s="1"/>
  <c r="E83" i="25"/>
  <c r="F81" i="20"/>
  <c r="E81" i="20"/>
  <c r="S49" i="11"/>
  <c r="R54" i="11" s="1"/>
  <c r="T80" i="20"/>
  <c r="M80" i="20"/>
  <c r="U80" i="20"/>
  <c r="N80" i="20"/>
  <c r="O80" i="20"/>
  <c r="W80" i="20"/>
  <c r="Y80" i="20"/>
  <c r="J80" i="20"/>
  <c r="R80" i="20"/>
  <c r="Z80" i="20"/>
  <c r="F37" i="20"/>
  <c r="I106" i="20"/>
  <c r="L120" i="20"/>
  <c r="T49" i="11"/>
  <c r="S54" i="11" s="1"/>
  <c r="S40" i="11"/>
  <c r="T40" i="11"/>
  <c r="G79" i="20"/>
  <c r="F27" i="20"/>
  <c r="F56" i="20"/>
  <c r="H80" i="20"/>
  <c r="H88" i="20" s="1"/>
  <c r="P80" i="20"/>
  <c r="X80" i="20"/>
  <c r="I80" i="20"/>
  <c r="I88" i="20" s="1"/>
  <c r="Q80" i="20"/>
  <c r="K80" i="20"/>
  <c r="S80" i="20"/>
  <c r="AA80" i="20"/>
  <c r="L80" i="20"/>
  <c r="V80" i="20"/>
  <c r="G51" i="20"/>
  <c r="J48" i="20" s="1"/>
  <c r="J2" i="20"/>
  <c r="J1" i="20" s="1"/>
  <c r="I204" i="20"/>
  <c r="H55" i="20"/>
  <c r="G55" i="20" s="1"/>
  <c r="AF128" i="23"/>
  <c r="AF133" i="23" s="1"/>
  <c r="T128" i="23"/>
  <c r="T133" i="23" s="1"/>
  <c r="T135" i="23" s="1"/>
  <c r="T136" i="23" s="1"/>
  <c r="T138" i="23" s="1"/>
  <c r="T143" i="23" s="1"/>
  <c r="X128" i="23"/>
  <c r="X133" i="23" s="1"/>
  <c r="AC128" i="23"/>
  <c r="AC133" i="23" s="1"/>
  <c r="AC135" i="23" s="1"/>
  <c r="AC136" i="23" s="1"/>
  <c r="AC138" i="23" s="1"/>
  <c r="AC143" i="23" s="1"/>
  <c r="AJ128" i="23"/>
  <c r="AJ133" i="23" s="1"/>
  <c r="AJ135" i="23" s="1"/>
  <c r="AJ136" i="23" s="1"/>
  <c r="AJ138" i="23" s="1"/>
  <c r="AJ143" i="23" s="1"/>
  <c r="S114" i="23"/>
  <c r="S115" i="23" s="1"/>
  <c r="S128" i="23" s="1"/>
  <c r="S133" i="23" s="1"/>
  <c r="S135" i="23" s="1"/>
  <c r="S136" i="23" s="1"/>
  <c r="S138" i="23" s="1"/>
  <c r="S143" i="23" s="1"/>
  <c r="Y114" i="23"/>
  <c r="Y115" i="23" s="1"/>
  <c r="AK128" i="23"/>
  <c r="AK133" i="23" s="1"/>
  <c r="AK135" i="23" s="1"/>
  <c r="AK136" i="23" s="1"/>
  <c r="AK138" i="23" s="1"/>
  <c r="AK143" i="23" s="1"/>
  <c r="AL128" i="23"/>
  <c r="AL133" i="23" s="1"/>
  <c r="AL135" i="23" s="1"/>
  <c r="AL136" i="23" s="1"/>
  <c r="AL138" i="23" s="1"/>
  <c r="AL143" i="23" s="1"/>
  <c r="AG135" i="23"/>
  <c r="AG136" i="23" s="1"/>
  <c r="AG138" i="23" s="1"/>
  <c r="AG143" i="23" s="1"/>
  <c r="U128" i="23"/>
  <c r="U133" i="23" s="1"/>
  <c r="U135" i="23" s="1"/>
  <c r="U136" i="23" s="1"/>
  <c r="U138" i="23" s="1"/>
  <c r="U143" i="23" s="1"/>
  <c r="AH128" i="23"/>
  <c r="AH133" i="23" s="1"/>
  <c r="AH135" i="23" s="1"/>
  <c r="AH136" i="23" s="1"/>
  <c r="AH138" i="23" s="1"/>
  <c r="AH143" i="23" s="1"/>
  <c r="AB114" i="23"/>
  <c r="AB115" i="23" s="1"/>
  <c r="AB128" i="23" s="1"/>
  <c r="AB133" i="23" s="1"/>
  <c r="AB135" i="23" s="1"/>
  <c r="AB136" i="23" s="1"/>
  <c r="AB138" i="23" s="1"/>
  <c r="AB143" i="23" s="1"/>
  <c r="AI114" i="23"/>
  <c r="AI115" i="23" s="1"/>
  <c r="AI128" i="23" s="1"/>
  <c r="AI133" i="23" s="1"/>
  <c r="AI135" i="23" s="1"/>
  <c r="AI136" i="23" s="1"/>
  <c r="AI138" i="23" s="1"/>
  <c r="AI143" i="23" s="1"/>
  <c r="V114" i="23"/>
  <c r="V115" i="23" s="1"/>
  <c r="V128" i="23" s="1"/>
  <c r="V133" i="23" s="1"/>
  <c r="V135" i="23" s="1"/>
  <c r="V136" i="23" s="1"/>
  <c r="V138" i="23" s="1"/>
  <c r="V143" i="23" s="1"/>
  <c r="Z114" i="23"/>
  <c r="Z115" i="23" s="1"/>
  <c r="AD114" i="23"/>
  <c r="AD115" i="23" s="1"/>
  <c r="AD128" i="23" s="1"/>
  <c r="AD133" i="23" s="1"/>
  <c r="AD135" i="23" s="1"/>
  <c r="AD136" i="23" s="1"/>
  <c r="AD138" i="23" s="1"/>
  <c r="AD143" i="23" s="1"/>
  <c r="AE135" i="23"/>
  <c r="AE136" i="23" s="1"/>
  <c r="AE138" i="23" s="1"/>
  <c r="AE143" i="23" s="1"/>
  <c r="AF135" i="23"/>
  <c r="AF136" i="23" s="1"/>
  <c r="AF138" i="23" s="1"/>
  <c r="AF143" i="23" s="1"/>
  <c r="W128" i="23"/>
  <c r="W133" i="23" s="1"/>
  <c r="W135" i="23" s="1"/>
  <c r="W136" i="23" s="1"/>
  <c r="W138" i="23" s="1"/>
  <c r="W143" i="23" s="1"/>
  <c r="H47" i="23"/>
  <c r="Y128" i="23"/>
  <c r="Y133" i="23" s="1"/>
  <c r="Y135" i="23" s="1"/>
  <c r="Y136" i="23" s="1"/>
  <c r="Y138" i="23" s="1"/>
  <c r="Y143" i="23" s="1"/>
  <c r="Q114" i="23"/>
  <c r="Q115" i="23" s="1"/>
  <c r="Q128" i="23" s="1"/>
  <c r="Q133" i="23" s="1"/>
  <c r="AA128" i="23"/>
  <c r="AA133" i="23" s="1"/>
  <c r="AA135" i="23" s="1"/>
  <c r="AA136" i="23" s="1"/>
  <c r="AA138" i="23" s="1"/>
  <c r="AA143" i="23" s="1"/>
  <c r="Z128" i="23"/>
  <c r="Z133" i="23" s="1"/>
  <c r="Z135" i="23" s="1"/>
  <c r="Z136" i="23" s="1"/>
  <c r="Z138" i="23" s="1"/>
  <c r="Z143" i="23" s="1"/>
  <c r="R128" i="23"/>
  <c r="R133" i="23" s="1"/>
  <c r="R135" i="23" s="1"/>
  <c r="R136" i="23" s="1"/>
  <c r="R138" i="23" s="1"/>
  <c r="R143" i="23" s="1"/>
  <c r="X135" i="23"/>
  <c r="X136" i="23" s="1"/>
  <c r="X138" i="23" s="1"/>
  <c r="X143" i="23" s="1"/>
  <c r="G47" i="23"/>
  <c r="H56" i="23"/>
  <c r="G56" i="23" s="1"/>
  <c r="F67" i="23"/>
  <c r="F69" i="23" s="1"/>
  <c r="D140" i="23" s="1"/>
  <c r="L114" i="23"/>
  <c r="L115" i="23" s="1"/>
  <c r="L128" i="23" s="1"/>
  <c r="L133" i="23" s="1"/>
  <c r="L135" i="23" s="1"/>
  <c r="L136" i="23" s="1"/>
  <c r="L138" i="23" s="1"/>
  <c r="L143" i="23" s="1"/>
  <c r="P114" i="23"/>
  <c r="P115" i="23" s="1"/>
  <c r="P128" i="23" s="1"/>
  <c r="P133" i="23" s="1"/>
  <c r="P135" i="23" s="1"/>
  <c r="P136" i="23" s="1"/>
  <c r="E108" i="23"/>
  <c r="H114" i="23"/>
  <c r="H115" i="23" s="1"/>
  <c r="H128" i="23" s="1"/>
  <c r="H133" i="23" s="1"/>
  <c r="H135" i="23" s="1"/>
  <c r="H136" i="23" s="1"/>
  <c r="F108" i="23"/>
  <c r="J128" i="23"/>
  <c r="J133" i="23" s="1"/>
  <c r="J135" i="23" s="1"/>
  <c r="J136" i="23" s="1"/>
  <c r="J138" i="23" s="1"/>
  <c r="J143" i="23" s="1"/>
  <c r="K114" i="23"/>
  <c r="K115" i="23" s="1"/>
  <c r="K128" i="23" s="1"/>
  <c r="K133" i="23" s="1"/>
  <c r="K135" i="23" s="1"/>
  <c r="K136" i="23" s="1"/>
  <c r="K138" i="23" s="1"/>
  <c r="K143" i="23" s="1"/>
  <c r="O114" i="23"/>
  <c r="O115" i="23" s="1"/>
  <c r="O128" i="23" s="1"/>
  <c r="O133" i="23" s="1"/>
  <c r="O135" i="23" s="1"/>
  <c r="O136" i="23" s="1"/>
  <c r="O138" i="23" s="1"/>
  <c r="O143" i="23" s="1"/>
  <c r="E96" i="23"/>
  <c r="F96" i="23"/>
  <c r="F120" i="19"/>
  <c r="E102" i="23"/>
  <c r="I207" i="23"/>
  <c r="J2" i="23"/>
  <c r="I1" i="23"/>
  <c r="M114" i="23"/>
  <c r="M115" i="23" s="1"/>
  <c r="M128" i="23" s="1"/>
  <c r="M133" i="23" s="1"/>
  <c r="E105" i="23"/>
  <c r="F105" i="23"/>
  <c r="I114" i="23"/>
  <c r="I115" i="23" s="1"/>
  <c r="I128" i="23" s="1"/>
  <c r="I133" i="23" s="1"/>
  <c r="N114" i="23"/>
  <c r="N115" i="23" s="1"/>
  <c r="N128" i="23" s="1"/>
  <c r="N133" i="23" s="1"/>
  <c r="F111" i="21"/>
  <c r="E111" i="21"/>
  <c r="K115" i="21"/>
  <c r="K120" i="21" s="1"/>
  <c r="M103" i="21"/>
  <c r="M104" i="21" s="1"/>
  <c r="M115" i="21" s="1"/>
  <c r="M120" i="21" s="1"/>
  <c r="F85" i="21"/>
  <c r="E85" i="21"/>
  <c r="J115" i="21"/>
  <c r="J120" i="21" s="1"/>
  <c r="J122" i="21" s="1"/>
  <c r="J123" i="21" s="1"/>
  <c r="F113" i="21"/>
  <c r="P115" i="21"/>
  <c r="P120" i="21" s="1"/>
  <c r="P122" i="21" s="1"/>
  <c r="P123" i="21" s="1"/>
  <c r="P125" i="21" s="1"/>
  <c r="P130" i="21" s="1"/>
  <c r="L103" i="21"/>
  <c r="L104" i="21" s="1"/>
  <c r="L115" i="21" s="1"/>
  <c r="L120" i="21" s="1"/>
  <c r="L122" i="21" s="1"/>
  <c r="L123" i="21" s="1"/>
  <c r="L125" i="21" s="1"/>
  <c r="L130" i="21" s="1"/>
  <c r="F97" i="21"/>
  <c r="E97" i="21"/>
  <c r="N122" i="21"/>
  <c r="N123" i="21" s="1"/>
  <c r="N125" i="21" s="1"/>
  <c r="N130" i="21" s="1"/>
  <c r="M122" i="21"/>
  <c r="M123" i="21" s="1"/>
  <c r="M125" i="21" s="1"/>
  <c r="M130" i="21" s="1"/>
  <c r="G47" i="21"/>
  <c r="G42" i="21"/>
  <c r="I122" i="21"/>
  <c r="I123" i="21" s="1"/>
  <c r="I125" i="21" s="1"/>
  <c r="I130" i="21" s="1"/>
  <c r="O122" i="21"/>
  <c r="O123" i="21" s="1"/>
  <c r="O125" i="21" s="1"/>
  <c r="O130" i="21" s="1"/>
  <c r="E94" i="21"/>
  <c r="G103" i="21"/>
  <c r="F94" i="21"/>
  <c r="K122" i="21"/>
  <c r="K123" i="21" s="1"/>
  <c r="K125" i="21" s="1"/>
  <c r="K130" i="21" s="1"/>
  <c r="H122" i="21"/>
  <c r="H123" i="21" s="1"/>
  <c r="H125" i="21" s="1"/>
  <c r="H130" i="21" s="1"/>
  <c r="G46" i="21"/>
  <c r="E91" i="21"/>
  <c r="J1" i="21"/>
  <c r="J194" i="21"/>
  <c r="K2" i="21"/>
  <c r="E113" i="21"/>
  <c r="E100" i="20"/>
  <c r="O154" i="6"/>
  <c r="O157" i="6"/>
  <c r="P158" i="6"/>
  <c r="P194" i="6" s="1"/>
  <c r="I166" i="6"/>
  <c r="I180" i="6" s="1"/>
  <c r="I206" i="6" s="1"/>
  <c r="E100" i="6"/>
  <c r="H158" i="6"/>
  <c r="H169" i="6" s="1"/>
  <c r="J158" i="6"/>
  <c r="J195" i="6" s="1"/>
  <c r="K156" i="6"/>
  <c r="H170" i="6"/>
  <c r="O155" i="6"/>
  <c r="O158" i="6" s="1"/>
  <c r="K154" i="6"/>
  <c r="Q180" i="6"/>
  <c r="Q206" i="6" s="1"/>
  <c r="Q170" i="6"/>
  <c r="L180" i="6"/>
  <c r="L206" i="6" s="1"/>
  <c r="F97" i="6"/>
  <c r="Q158" i="6"/>
  <c r="Q195" i="6" s="1"/>
  <c r="N154" i="6"/>
  <c r="N156" i="6"/>
  <c r="L155" i="6"/>
  <c r="L156" i="6"/>
  <c r="E97" i="6"/>
  <c r="L104" i="6"/>
  <c r="L115" i="6" s="1"/>
  <c r="L121" i="6" s="1"/>
  <c r="L130" i="6" s="1"/>
  <c r="G65" i="6"/>
  <c r="G166" i="6"/>
  <c r="O170" i="6"/>
  <c r="K170" i="6"/>
  <c r="L157" i="6"/>
  <c r="M158" i="6"/>
  <c r="P169" i="6"/>
  <c r="F100" i="6"/>
  <c r="E102" i="6" s="1"/>
  <c r="I158" i="6"/>
  <c r="I169" i="6" s="1"/>
  <c r="I65" i="6"/>
  <c r="N157" i="6"/>
  <c r="L154" i="6"/>
  <c r="E151" i="6"/>
  <c r="N155" i="6"/>
  <c r="M170" i="6"/>
  <c r="G104" i="6"/>
  <c r="G115" i="6" s="1"/>
  <c r="G121" i="6" s="1"/>
  <c r="P65" i="6"/>
  <c r="P165" i="6"/>
  <c r="P166" i="6" s="1"/>
  <c r="P180" i="6" s="1"/>
  <c r="P206" i="6" s="1"/>
  <c r="K157" i="6"/>
  <c r="H122" i="19"/>
  <c r="H123" i="19" s="1"/>
  <c r="L122" i="19"/>
  <c r="L123" i="19" s="1"/>
  <c r="I122" i="19"/>
  <c r="I123" i="19" s="1"/>
  <c r="J122" i="19"/>
  <c r="J123" i="19" s="1"/>
  <c r="G122" i="19"/>
  <c r="G123" i="19" s="1"/>
  <c r="G139" i="19" s="1"/>
  <c r="G144" i="19" s="1"/>
  <c r="K122" i="19"/>
  <c r="K123" i="19" s="1"/>
  <c r="M122" i="19"/>
  <c r="M123" i="19" s="1"/>
  <c r="N122" i="19"/>
  <c r="N123" i="19" s="1"/>
  <c r="N133" i="19" s="1"/>
  <c r="O122" i="19"/>
  <c r="O123" i="19" s="1"/>
  <c r="E120" i="19"/>
  <c r="E116" i="19"/>
  <c r="E121" i="19"/>
  <c r="F121" i="19"/>
  <c r="L106" i="19"/>
  <c r="L110" i="19"/>
  <c r="F119" i="19"/>
  <c r="E119" i="19"/>
  <c r="L133" i="19"/>
  <c r="L49" i="19"/>
  <c r="L48" i="19"/>
  <c r="K48" i="19"/>
  <c r="K49" i="19"/>
  <c r="I48" i="19"/>
  <c r="I49" i="19"/>
  <c r="J48" i="19"/>
  <c r="J49" i="19"/>
  <c r="G48" i="19"/>
  <c r="G49" i="19"/>
  <c r="H48" i="19"/>
  <c r="H49" i="19"/>
  <c r="O48" i="19"/>
  <c r="O49" i="19"/>
  <c r="N48" i="19"/>
  <c r="N49" i="19"/>
  <c r="M49" i="19"/>
  <c r="M48" i="19"/>
  <c r="K87" i="19" a="1"/>
  <c r="K87" i="19" s="1"/>
  <c r="O87" i="19" a="1"/>
  <c r="O87" i="19" s="1"/>
  <c r="O133" i="19" s="1"/>
  <c r="I87" i="19" a="1"/>
  <c r="I87" i="19" s="1"/>
  <c r="I96" i="19" s="1"/>
  <c r="I105" i="19" s="1"/>
  <c r="I109" i="19" s="1"/>
  <c r="J87" i="19" a="1"/>
  <c r="J87" i="19" s="1"/>
  <c r="E81" i="19"/>
  <c r="N105" i="19"/>
  <c r="N109" i="19" s="1"/>
  <c r="H87" i="19" a="1"/>
  <c r="H87" i="19" s="1"/>
  <c r="M87" i="19" a="1"/>
  <c r="M87" i="19" s="1"/>
  <c r="M96" i="19" s="1"/>
  <c r="M105" i="19" s="1"/>
  <c r="M109" i="19" s="1"/>
  <c r="F87" i="19"/>
  <c r="F99" i="19"/>
  <c r="E99" i="19"/>
  <c r="I218" i="19"/>
  <c r="J2" i="19"/>
  <c r="J1" i="19" s="1"/>
  <c r="H35" i="19"/>
  <c r="G105" i="19"/>
  <c r="G109" i="19" s="1"/>
  <c r="E96" i="19"/>
  <c r="J291" i="17"/>
  <c r="R291" i="17"/>
  <c r="O121" i="18"/>
  <c r="O122" i="18" s="1"/>
  <c r="O124" i="18"/>
  <c r="O129" i="18" s="1"/>
  <c r="G42" i="18"/>
  <c r="O291" i="17"/>
  <c r="E112" i="18"/>
  <c r="F112" i="18"/>
  <c r="M227" i="17"/>
  <c r="M228" i="17" s="1"/>
  <c r="M223" i="17"/>
  <c r="M224" i="17" s="1"/>
  <c r="P223" i="17"/>
  <c r="P224" i="17" s="1"/>
  <c r="P227" i="17"/>
  <c r="P228" i="17" s="1"/>
  <c r="E90" i="18"/>
  <c r="G102" i="18"/>
  <c r="M121" i="18"/>
  <c r="M122" i="18" s="1"/>
  <c r="M124" i="18"/>
  <c r="M129" i="18" s="1"/>
  <c r="K214" i="17"/>
  <c r="H162" i="17"/>
  <c r="L242" i="17"/>
  <c r="M242" i="17"/>
  <c r="N242" i="17"/>
  <c r="G101" i="17"/>
  <c r="G242" i="17"/>
  <c r="O242" i="17"/>
  <c r="H242" i="17"/>
  <c r="P242" i="17"/>
  <c r="R242" i="17"/>
  <c r="I242" i="17"/>
  <c r="J242" i="17"/>
  <c r="K242" i="17"/>
  <c r="Q242" i="17"/>
  <c r="G119" i="17"/>
  <c r="G120" i="17"/>
  <c r="G260" i="17" s="1"/>
  <c r="N227" i="17"/>
  <c r="N228" i="17" s="1"/>
  <c r="N223" i="17"/>
  <c r="N224" i="17" s="1"/>
  <c r="G205" i="17"/>
  <c r="E199" i="17"/>
  <c r="F199" i="17"/>
  <c r="H223" i="17"/>
  <c r="H224" i="17" s="1"/>
  <c r="H227" i="17"/>
  <c r="H228" i="17" s="1"/>
  <c r="N121" i="18"/>
  <c r="N122" i="18" s="1"/>
  <c r="N124" i="18" s="1"/>
  <c r="N129" i="18" s="1"/>
  <c r="I120" i="17"/>
  <c r="I260" i="17" s="1"/>
  <c r="I119" i="17"/>
  <c r="H166" i="17"/>
  <c r="I121" i="18"/>
  <c r="I122" i="18" s="1"/>
  <c r="I124" i="18"/>
  <c r="I129" i="18" s="1"/>
  <c r="J65" i="6"/>
  <c r="J163" i="6"/>
  <c r="U40" i="11"/>
  <c r="U49" i="11"/>
  <c r="T54" i="11" s="1"/>
  <c r="I1" i="18"/>
  <c r="J2" i="18"/>
  <c r="I193" i="18"/>
  <c r="L119" i="17"/>
  <c r="L120" i="17"/>
  <c r="L260" i="17" s="1"/>
  <c r="G172" i="17"/>
  <c r="E171" i="17"/>
  <c r="F171" i="17"/>
  <c r="M119" i="17"/>
  <c r="M120" i="17"/>
  <c r="M260" i="17" s="1"/>
  <c r="L227" i="17"/>
  <c r="L228" i="17" s="1"/>
  <c r="L223" i="17"/>
  <c r="L224" i="17" s="1"/>
  <c r="E244" i="17"/>
  <c r="H253" i="17"/>
  <c r="R65" i="6"/>
  <c r="R163" i="6"/>
  <c r="R166" i="6" s="1"/>
  <c r="P130" i="6"/>
  <c r="R154" i="6"/>
  <c r="R155" i="6"/>
  <c r="H92" i="6"/>
  <c r="M172" i="6"/>
  <c r="H172" i="6"/>
  <c r="Q172" i="6"/>
  <c r="I172" i="6"/>
  <c r="R172" i="6"/>
  <c r="J172" i="6"/>
  <c r="K172" i="6"/>
  <c r="L172" i="6"/>
  <c r="N172" i="6"/>
  <c r="O172" i="6"/>
  <c r="G172" i="6"/>
  <c r="P172" i="6"/>
  <c r="N170" i="6"/>
  <c r="N180" i="6"/>
  <c r="N206" i="6" s="1"/>
  <c r="E98" i="6"/>
  <c r="F98" i="6"/>
  <c r="N65" i="6"/>
  <c r="J121" i="18"/>
  <c r="J122" i="18" s="1"/>
  <c r="J124" i="18"/>
  <c r="J129" i="18" s="1"/>
  <c r="J241" i="17"/>
  <c r="K241" i="17"/>
  <c r="G241" i="17"/>
  <c r="H241" i="17"/>
  <c r="H252" i="17" s="1"/>
  <c r="I241" i="17"/>
  <c r="I252" i="17" s="1"/>
  <c r="R157" i="6"/>
  <c r="L121" i="18"/>
  <c r="L122" i="18" s="1"/>
  <c r="L124" i="18" s="1"/>
  <c r="L129" i="18" s="1"/>
  <c r="Q120" i="17"/>
  <c r="Q260" i="17" s="1"/>
  <c r="Q119" i="17"/>
  <c r="F191" i="17"/>
  <c r="E191" i="17"/>
  <c r="G250" i="17"/>
  <c r="G251" i="17"/>
  <c r="G253" i="17"/>
  <c r="H236" i="17"/>
  <c r="H89" i="17"/>
  <c r="H102" i="17" s="1"/>
  <c r="I86" i="17"/>
  <c r="G95" i="17"/>
  <c r="J169" i="6" l="1"/>
  <c r="J194" i="6"/>
  <c r="P195" i="6"/>
  <c r="K1" i="6"/>
  <c r="K282" i="6"/>
  <c r="L2" i="6"/>
  <c r="L158" i="6"/>
  <c r="L169" i="6" s="1"/>
  <c r="G180" i="6"/>
  <c r="G181" i="6" s="1"/>
  <c r="G182" i="6" s="1"/>
  <c r="G205" i="6" s="1"/>
  <c r="G170" i="6"/>
  <c r="F165" i="6"/>
  <c r="F217" i="17"/>
  <c r="P119" i="17"/>
  <c r="G102" i="17"/>
  <c r="E183" i="17"/>
  <c r="K120" i="17"/>
  <c r="K260" i="17" s="1"/>
  <c r="K119" i="17"/>
  <c r="O120" i="17"/>
  <c r="O260" i="17" s="1"/>
  <c r="O119" i="17"/>
  <c r="R120" i="17"/>
  <c r="R119" i="17"/>
  <c r="R259" i="17" s="1"/>
  <c r="N119" i="17"/>
  <c r="N120" i="17"/>
  <c r="N260" i="17" s="1"/>
  <c r="J120" i="17"/>
  <c r="J119" i="17"/>
  <c r="J259" i="17" s="1"/>
  <c r="F183" i="17"/>
  <c r="H120" i="17"/>
  <c r="H260" i="17" s="1"/>
  <c r="H119" i="17"/>
  <c r="F117" i="17"/>
  <c r="G56" i="17"/>
  <c r="K380" i="17"/>
  <c r="L2" i="17"/>
  <c r="K1" i="17"/>
  <c r="H250" i="17"/>
  <c r="F250" i="17" s="1"/>
  <c r="E232" i="17"/>
  <c r="H107" i="27"/>
  <c r="H123" i="27" s="1"/>
  <c r="H125" i="27" s="1"/>
  <c r="H126" i="27" s="1"/>
  <c r="H128" i="27" s="1"/>
  <c r="H133" i="27" s="1"/>
  <c r="E105" i="27"/>
  <c r="J1" i="27"/>
  <c r="K2" i="27"/>
  <c r="J197" i="27"/>
  <c r="G107" i="27"/>
  <c r="K125" i="27"/>
  <c r="K126" i="27" s="1"/>
  <c r="K128" i="27" s="1"/>
  <c r="K133" i="27" s="1"/>
  <c r="J178" i="25"/>
  <c r="K2" i="25"/>
  <c r="J1" i="25"/>
  <c r="R109" i="25"/>
  <c r="R114" i="25" s="1"/>
  <c r="I106" i="25"/>
  <c r="I107" i="25" s="1"/>
  <c r="I109" i="25" s="1"/>
  <c r="I114" i="25" s="1"/>
  <c r="S106" i="25"/>
  <c r="S107" i="25" s="1"/>
  <c r="S109" i="25" s="1"/>
  <c r="S114" i="25" s="1"/>
  <c r="E89" i="25"/>
  <c r="F89" i="25"/>
  <c r="G90" i="25"/>
  <c r="Z106" i="20"/>
  <c r="Z88" i="20"/>
  <c r="U106" i="20"/>
  <c r="U88" i="20"/>
  <c r="T106" i="20"/>
  <c r="T88" i="20"/>
  <c r="X106" i="20"/>
  <c r="X88" i="20"/>
  <c r="Y106" i="20"/>
  <c r="Y88" i="20"/>
  <c r="Y121" i="20" s="1"/>
  <c r="V106" i="20"/>
  <c r="V88" i="20"/>
  <c r="W106" i="20"/>
  <c r="W88" i="20"/>
  <c r="H106" i="20"/>
  <c r="AA106" i="20"/>
  <c r="AA88" i="20"/>
  <c r="P106" i="20"/>
  <c r="P88" i="20"/>
  <c r="L106" i="20"/>
  <c r="L88" i="20"/>
  <c r="L121" i="20" s="1"/>
  <c r="N106" i="20"/>
  <c r="N88" i="20"/>
  <c r="N121" i="20" s="1"/>
  <c r="Q106" i="20"/>
  <c r="Q88" i="20"/>
  <c r="R106" i="20"/>
  <c r="R88" i="20"/>
  <c r="R121" i="20" s="1"/>
  <c r="S106" i="20"/>
  <c r="S88" i="20"/>
  <c r="S121" i="20" s="1"/>
  <c r="M106" i="20"/>
  <c r="M88" i="20"/>
  <c r="M121" i="20" s="1"/>
  <c r="O106" i="20"/>
  <c r="O88" i="20"/>
  <c r="O121" i="20" s="1"/>
  <c r="K106" i="20"/>
  <c r="K88" i="20"/>
  <c r="J106" i="20"/>
  <c r="J88" i="20"/>
  <c r="J121" i="20" s="1"/>
  <c r="T121" i="20"/>
  <c r="AA121" i="20"/>
  <c r="W121" i="20"/>
  <c r="U121" i="20"/>
  <c r="P121" i="20"/>
  <c r="K121" i="20"/>
  <c r="V121" i="20"/>
  <c r="H121" i="20"/>
  <c r="Z121" i="20"/>
  <c r="X121" i="20"/>
  <c r="I121" i="20"/>
  <c r="P120" i="20"/>
  <c r="N120" i="20"/>
  <c r="K120" i="20"/>
  <c r="M120" i="20"/>
  <c r="AA120" i="20"/>
  <c r="Q120" i="20"/>
  <c r="H120" i="20"/>
  <c r="I120" i="20"/>
  <c r="Y120" i="20"/>
  <c r="W120" i="20"/>
  <c r="R120" i="20"/>
  <c r="X120" i="20"/>
  <c r="Q121" i="20"/>
  <c r="U120" i="20"/>
  <c r="O120" i="20"/>
  <c r="S120" i="20"/>
  <c r="J120" i="20"/>
  <c r="T120" i="20"/>
  <c r="F79" i="20"/>
  <c r="E79" i="20"/>
  <c r="G80" i="20"/>
  <c r="H56" i="20"/>
  <c r="G56" i="20" s="1"/>
  <c r="J49" i="20" s="1"/>
  <c r="J204" i="20"/>
  <c r="K2" i="20"/>
  <c r="L2" i="20" s="1"/>
  <c r="H138" i="23"/>
  <c r="H143" i="23" s="1"/>
  <c r="Q135" i="23"/>
  <c r="Q136" i="23" s="1"/>
  <c r="Q138" i="23" s="1"/>
  <c r="Q143" i="23" s="1"/>
  <c r="P138" i="23"/>
  <c r="P143" i="23" s="1"/>
  <c r="G146" i="19"/>
  <c r="L129" i="19"/>
  <c r="L130" i="19" s="1"/>
  <c r="L134" i="19" s="1"/>
  <c r="M129" i="19"/>
  <c r="M130" i="19" s="1"/>
  <c r="N129" i="19"/>
  <c r="N130" i="19" s="1"/>
  <c r="N134" i="19" s="1"/>
  <c r="O129" i="19"/>
  <c r="O130" i="19" s="1"/>
  <c r="H129" i="19"/>
  <c r="H130" i="19" s="1"/>
  <c r="G129" i="19"/>
  <c r="I129" i="19"/>
  <c r="I130" i="19" s="1"/>
  <c r="J129" i="19"/>
  <c r="J130" i="19" s="1"/>
  <c r="J134" i="19" s="1"/>
  <c r="K129" i="19"/>
  <c r="K130" i="19" s="1"/>
  <c r="I135" i="23"/>
  <c r="I136" i="23" s="1"/>
  <c r="I138" i="23" s="1"/>
  <c r="I143" i="23" s="1"/>
  <c r="F114" i="23"/>
  <c r="E114" i="23"/>
  <c r="G115" i="23"/>
  <c r="N135" i="23"/>
  <c r="N136" i="23" s="1"/>
  <c r="N138" i="23" s="1"/>
  <c r="N143" i="23" s="1"/>
  <c r="M135" i="23"/>
  <c r="M136" i="23" s="1"/>
  <c r="M138" i="23" s="1"/>
  <c r="M143" i="23" s="1"/>
  <c r="J1" i="23"/>
  <c r="J207" i="23"/>
  <c r="K2" i="23"/>
  <c r="J125" i="21"/>
  <c r="J130" i="21" s="1"/>
  <c r="G104" i="21"/>
  <c r="E103" i="21"/>
  <c r="F103" i="21"/>
  <c r="K194" i="21"/>
  <c r="K1" i="21"/>
  <c r="L2" i="21"/>
  <c r="K1" i="20"/>
  <c r="Q194" i="6"/>
  <c r="Q169" i="6"/>
  <c r="I194" i="6"/>
  <c r="I195" i="6"/>
  <c r="I170" i="6"/>
  <c r="I173" i="6" s="1"/>
  <c r="H194" i="6"/>
  <c r="H195" i="6"/>
  <c r="E165" i="6"/>
  <c r="P170" i="6"/>
  <c r="P173" i="6" s="1"/>
  <c r="H173" i="6"/>
  <c r="K158" i="6"/>
  <c r="K195" i="6" s="1"/>
  <c r="O169" i="6"/>
  <c r="O173" i="6" s="1"/>
  <c r="O194" i="6"/>
  <c r="O195" i="6"/>
  <c r="N158" i="6"/>
  <c r="L170" i="6"/>
  <c r="E104" i="6"/>
  <c r="F104" i="6"/>
  <c r="E172" i="6"/>
  <c r="M169" i="6"/>
  <c r="M173" i="6" s="1"/>
  <c r="M194" i="6"/>
  <c r="M195" i="6"/>
  <c r="G133" i="6"/>
  <c r="G154" i="6" s="1"/>
  <c r="F109" i="6"/>
  <c r="E109" i="6"/>
  <c r="F115" i="6"/>
  <c r="G133" i="19"/>
  <c r="F122" i="19"/>
  <c r="E122" i="19"/>
  <c r="H133" i="19"/>
  <c r="M51" i="19"/>
  <c r="L51" i="19"/>
  <c r="M134" i="19"/>
  <c r="K96" i="19"/>
  <c r="K105" i="19" s="1"/>
  <c r="K109" i="19" s="1"/>
  <c r="K134" i="19"/>
  <c r="K133" i="19"/>
  <c r="I134" i="19"/>
  <c r="O96" i="19"/>
  <c r="O105" i="19" s="1"/>
  <c r="O109" i="19" s="1"/>
  <c r="O134" i="19"/>
  <c r="O137" i="19" s="1"/>
  <c r="N137" i="19"/>
  <c r="I106" i="19"/>
  <c r="I110" i="19"/>
  <c r="I133" i="19"/>
  <c r="G110" i="19"/>
  <c r="M106" i="19"/>
  <c r="M110" i="19"/>
  <c r="H96" i="19"/>
  <c r="H105" i="19" s="1"/>
  <c r="H109" i="19" s="1"/>
  <c r="H134" i="19"/>
  <c r="H137" i="19" s="1"/>
  <c r="E123" i="19"/>
  <c r="F123" i="19"/>
  <c r="N106" i="19"/>
  <c r="N110" i="19"/>
  <c r="J96" i="19"/>
  <c r="J105" i="19" s="1"/>
  <c r="J109" i="19" s="1"/>
  <c r="J133" i="19"/>
  <c r="L137" i="19"/>
  <c r="L139" i="19"/>
  <c r="L144" i="19" s="1"/>
  <c r="L146" i="19" s="1"/>
  <c r="L147" i="19" s="1"/>
  <c r="L149" i="19" s="1"/>
  <c r="L154" i="19" s="1"/>
  <c r="M133" i="19"/>
  <c r="J51" i="19"/>
  <c r="O51" i="19"/>
  <c r="I51" i="19"/>
  <c r="H51" i="19"/>
  <c r="K51" i="19"/>
  <c r="N51" i="19"/>
  <c r="G51" i="19"/>
  <c r="E93" i="19"/>
  <c r="F96" i="19"/>
  <c r="E87" i="19"/>
  <c r="J218" i="19"/>
  <c r="K2" i="19"/>
  <c r="K218" i="19" s="1"/>
  <c r="G35" i="19"/>
  <c r="G106" i="19"/>
  <c r="F105" i="19"/>
  <c r="E105" i="19"/>
  <c r="R158" i="6"/>
  <c r="L122" i="17"/>
  <c r="L123" i="17" s="1"/>
  <c r="L259" i="17"/>
  <c r="L261" i="17" s="1"/>
  <c r="E115" i="6"/>
  <c r="J267" i="17"/>
  <c r="M267" i="17"/>
  <c r="N267" i="17"/>
  <c r="O267" i="17"/>
  <c r="G267" i="17"/>
  <c r="P267" i="17"/>
  <c r="H267" i="17"/>
  <c r="Q267" i="17"/>
  <c r="I267" i="17"/>
  <c r="R267" i="17"/>
  <c r="K267" i="17"/>
  <c r="L267" i="17"/>
  <c r="G214" i="17"/>
  <c r="E205" i="17"/>
  <c r="F205" i="17"/>
  <c r="M247" i="17"/>
  <c r="M252" i="17"/>
  <c r="M254" i="17" s="1"/>
  <c r="M291" i="17"/>
  <c r="M273" i="17"/>
  <c r="H251" i="17"/>
  <c r="H247" i="17"/>
  <c r="E253" i="17"/>
  <c r="F253" i="17"/>
  <c r="N291" i="17"/>
  <c r="R252" i="17"/>
  <c r="R254" i="17" s="1"/>
  <c r="R247" i="17"/>
  <c r="L247" i="17"/>
  <c r="L252" i="17"/>
  <c r="L254" i="17" s="1"/>
  <c r="L273" i="17" s="1"/>
  <c r="K227" i="17"/>
  <c r="K228" i="17" s="1"/>
  <c r="K223" i="17"/>
  <c r="K224" i="17" s="1"/>
  <c r="R170" i="6"/>
  <c r="R180" i="6"/>
  <c r="R206" i="6" s="1"/>
  <c r="M122" i="17"/>
  <c r="M123" i="17" s="1"/>
  <c r="M259" i="17"/>
  <c r="M261" i="17" s="1"/>
  <c r="J166" i="6"/>
  <c r="F163" i="6"/>
  <c r="E163" i="6"/>
  <c r="Q173" i="6"/>
  <c r="Q122" i="17"/>
  <c r="Q123" i="17" s="1"/>
  <c r="Q259" i="17"/>
  <c r="Q261" i="17" s="1"/>
  <c r="F65" i="6"/>
  <c r="I122" i="17"/>
  <c r="I123" i="17" s="1"/>
  <c r="I259" i="17"/>
  <c r="I261" i="17" s="1"/>
  <c r="G122" i="17"/>
  <c r="G259" i="17"/>
  <c r="O252" i="17"/>
  <c r="O254" i="17" s="1"/>
  <c r="O247" i="17"/>
  <c r="P291" i="17"/>
  <c r="J1" i="18"/>
  <c r="K2" i="18"/>
  <c r="J193" i="18"/>
  <c r="H168" i="17"/>
  <c r="P252" i="17"/>
  <c r="P254" i="17" s="1"/>
  <c r="P273" i="17" s="1"/>
  <c r="P247" i="17"/>
  <c r="E102" i="18"/>
  <c r="F102" i="18"/>
  <c r="G103" i="18"/>
  <c r="G114" i="18" s="1"/>
  <c r="G119" i="18" s="1"/>
  <c r="H164" i="17"/>
  <c r="P122" i="17"/>
  <c r="P123" i="17" s="1"/>
  <c r="P259" i="17"/>
  <c r="P261" i="17" s="1"/>
  <c r="E172" i="17"/>
  <c r="F172" i="17"/>
  <c r="G252" i="17"/>
  <c r="G254" i="17" s="1"/>
  <c r="E241" i="17"/>
  <c r="G247" i="17"/>
  <c r="H94" i="6"/>
  <c r="H291" i="17"/>
  <c r="Q252" i="17"/>
  <c r="Q254" i="17" s="1"/>
  <c r="Q247" i="17"/>
  <c r="E242" i="17"/>
  <c r="I236" i="17"/>
  <c r="I89" i="17"/>
  <c r="I102" i="17" s="1"/>
  <c r="K252" i="17"/>
  <c r="K254" i="17" s="1"/>
  <c r="K247" i="17"/>
  <c r="J252" i="17"/>
  <c r="J254" i="17" s="1"/>
  <c r="J247" i="17"/>
  <c r="L291" i="17"/>
  <c r="N247" i="17"/>
  <c r="N252" i="17"/>
  <c r="N254" i="17" s="1"/>
  <c r="L195" i="6" l="1"/>
  <c r="G206" i="6"/>
  <c r="L194" i="6"/>
  <c r="M2" i="6"/>
  <c r="L282" i="6"/>
  <c r="L1" i="6"/>
  <c r="N122" i="17"/>
  <c r="N123" i="17" s="1"/>
  <c r="N259" i="17"/>
  <c r="N261" i="17" s="1"/>
  <c r="R122" i="17"/>
  <c r="R123" i="17" s="1"/>
  <c r="R260" i="17"/>
  <c r="R261" i="17" s="1"/>
  <c r="H254" i="17"/>
  <c r="H273" i="17" s="1"/>
  <c r="O122" i="17"/>
  <c r="O123" i="17" s="1"/>
  <c r="O259" i="17"/>
  <c r="O261" i="17" s="1"/>
  <c r="E250" i="17"/>
  <c r="K122" i="17"/>
  <c r="K123" i="17" s="1"/>
  <c r="K259" i="17"/>
  <c r="K261" i="17" s="1"/>
  <c r="H122" i="17"/>
  <c r="H123" i="17" s="1"/>
  <c r="H259" i="17"/>
  <c r="H261" i="17" s="1"/>
  <c r="L1" i="17"/>
  <c r="M2" i="17"/>
  <c r="L380" i="17"/>
  <c r="J122" i="17"/>
  <c r="J123" i="17" s="1"/>
  <c r="J260" i="17"/>
  <c r="K1" i="27"/>
  <c r="L2" i="27"/>
  <c r="K197" i="27"/>
  <c r="F107" i="27"/>
  <c r="F118" i="27" s="1"/>
  <c r="E107" i="27"/>
  <c r="K178" i="25"/>
  <c r="L2" i="25"/>
  <c r="K1" i="25"/>
  <c r="E90" i="25"/>
  <c r="G99" i="25"/>
  <c r="F90" i="25"/>
  <c r="F99" i="25" s="1"/>
  <c r="F80" i="20"/>
  <c r="G88" i="20"/>
  <c r="G106" i="20"/>
  <c r="K204" i="20"/>
  <c r="Y94" i="20" a="1"/>
  <c r="Y94" i="20" s="1"/>
  <c r="Y103" i="20" s="1"/>
  <c r="Y112" i="20" s="1"/>
  <c r="Y113" i="20" s="1"/>
  <c r="N122" i="20"/>
  <c r="N123" i="20" s="1"/>
  <c r="T122" i="20"/>
  <c r="Y122" i="20"/>
  <c r="Y123" i="20" s="1"/>
  <c r="AA122" i="20"/>
  <c r="AA123" i="20" s="1"/>
  <c r="Z122" i="20"/>
  <c r="Z123" i="20" s="1"/>
  <c r="O122" i="20"/>
  <c r="O123" i="20" s="1"/>
  <c r="F89" i="20"/>
  <c r="T123" i="20"/>
  <c r="AA94" i="20" a="1"/>
  <c r="AA94" i="20" s="1"/>
  <c r="AA103" i="20" s="1"/>
  <c r="AA112" i="20" s="1"/>
  <c r="AA113" i="20" s="1"/>
  <c r="F87" i="20"/>
  <c r="G120" i="20"/>
  <c r="E87" i="20"/>
  <c r="G122" i="20"/>
  <c r="E89" i="20"/>
  <c r="G121" i="20"/>
  <c r="F88" i="20"/>
  <c r="E88" i="20"/>
  <c r="F106" i="20"/>
  <c r="E106" i="20"/>
  <c r="E80" i="20"/>
  <c r="G130" i="19"/>
  <c r="F129" i="19"/>
  <c r="E129" i="19"/>
  <c r="J137" i="19"/>
  <c r="F115" i="23"/>
  <c r="F128" i="23" s="1"/>
  <c r="E115" i="23"/>
  <c r="K1" i="23"/>
  <c r="L2" i="23"/>
  <c r="K207" i="23"/>
  <c r="L194" i="21"/>
  <c r="L1" i="21"/>
  <c r="M2" i="21"/>
  <c r="F104" i="21"/>
  <c r="F115" i="21" s="1"/>
  <c r="E104" i="21"/>
  <c r="M2" i="20"/>
  <c r="L204" i="20"/>
  <c r="L1" i="20"/>
  <c r="L173" i="6"/>
  <c r="F112" i="6"/>
  <c r="K169" i="6"/>
  <c r="K173" i="6" s="1"/>
  <c r="K194" i="6"/>
  <c r="N195" i="6"/>
  <c r="N194" i="6"/>
  <c r="N169" i="6"/>
  <c r="N173" i="6" s="1"/>
  <c r="G157" i="6"/>
  <c r="G156" i="6"/>
  <c r="G155" i="6"/>
  <c r="F133" i="6"/>
  <c r="E133" i="6"/>
  <c r="K137" i="19"/>
  <c r="F109" i="19"/>
  <c r="M137" i="19"/>
  <c r="I137" i="19"/>
  <c r="O106" i="19"/>
  <c r="O110" i="19"/>
  <c r="H106" i="19"/>
  <c r="J106" i="19"/>
  <c r="J110" i="19"/>
  <c r="M139" i="19"/>
  <c r="M144" i="19" s="1"/>
  <c r="M146" i="19" s="1"/>
  <c r="M147" i="19" s="1"/>
  <c r="M149" i="19" s="1"/>
  <c r="M154" i="19" s="1"/>
  <c r="I139" i="19"/>
  <c r="I144" i="19" s="1"/>
  <c r="I146" i="19" s="1"/>
  <c r="I147" i="19" s="1"/>
  <c r="I149" i="19" s="1"/>
  <c r="I154" i="19" s="1"/>
  <c r="K106" i="19"/>
  <c r="K110" i="19"/>
  <c r="E133" i="19"/>
  <c r="N139" i="19"/>
  <c r="N144" i="19" s="1"/>
  <c r="N146" i="19" s="1"/>
  <c r="N147" i="19" s="1"/>
  <c r="N149" i="19" s="1"/>
  <c r="N154" i="19" s="1"/>
  <c r="F51" i="19"/>
  <c r="K1" i="19"/>
  <c r="L2" i="19"/>
  <c r="L1" i="19" s="1"/>
  <c r="F106" i="19"/>
  <c r="E106" i="19"/>
  <c r="G293" i="17"/>
  <c r="G264" i="17"/>
  <c r="G292" i="17"/>
  <c r="O293" i="17"/>
  <c r="O264" i="17"/>
  <c r="O292" i="17"/>
  <c r="O273" i="17"/>
  <c r="Q278" i="17"/>
  <c r="Q304" i="17" s="1"/>
  <c r="Q265" i="17"/>
  <c r="G123" i="17"/>
  <c r="L265" i="17"/>
  <c r="L278" i="17"/>
  <c r="L304" i="17" s="1"/>
  <c r="E252" i="17"/>
  <c r="F252" i="17"/>
  <c r="P265" i="17"/>
  <c r="P278" i="17"/>
  <c r="P304" i="17" s="1"/>
  <c r="R264" i="17"/>
  <c r="R292" i="17"/>
  <c r="R294" i="17" s="1"/>
  <c r="R293" i="17"/>
  <c r="R273" i="17"/>
  <c r="I92" i="6"/>
  <c r="L293" i="17"/>
  <c r="L264" i="17"/>
  <c r="L268" i="17" s="1"/>
  <c r="L292" i="17"/>
  <c r="L294" i="17" s="1"/>
  <c r="N293" i="17"/>
  <c r="N264" i="17"/>
  <c r="N292" i="17"/>
  <c r="N273" i="17"/>
  <c r="R195" i="6"/>
  <c r="R169" i="6"/>
  <c r="R173" i="6" s="1"/>
  <c r="R194" i="6"/>
  <c r="J264" i="17"/>
  <c r="J292" i="17"/>
  <c r="J293" i="17"/>
  <c r="J273" i="17"/>
  <c r="Q264" i="17"/>
  <c r="Q292" i="17"/>
  <c r="Q293" i="17"/>
  <c r="Q273" i="17"/>
  <c r="I166" i="17"/>
  <c r="K273" i="17"/>
  <c r="K291" i="17"/>
  <c r="E214" i="17"/>
  <c r="G223" i="17"/>
  <c r="F214" i="17"/>
  <c r="G227" i="17"/>
  <c r="I251" i="17"/>
  <c r="I247" i="17"/>
  <c r="E247" i="17" s="1"/>
  <c r="I278" i="17"/>
  <c r="I304" i="17" s="1"/>
  <c r="I265" i="17"/>
  <c r="J170" i="6"/>
  <c r="J173" i="6" s="1"/>
  <c r="J180" i="6"/>
  <c r="F166" i="6"/>
  <c r="E166" i="6"/>
  <c r="K264" i="17"/>
  <c r="K292" i="17"/>
  <c r="K293" i="17"/>
  <c r="I162" i="17"/>
  <c r="P292" i="17"/>
  <c r="P293" i="17"/>
  <c r="P264" i="17"/>
  <c r="P268" i="17" s="1"/>
  <c r="L2" i="18"/>
  <c r="K193" i="18"/>
  <c r="K1" i="18"/>
  <c r="M278" i="17"/>
  <c r="M304" i="17" s="1"/>
  <c r="M265" i="17"/>
  <c r="H292" i="17"/>
  <c r="F121" i="6"/>
  <c r="G130" i="6"/>
  <c r="E121" i="6"/>
  <c r="E236" i="17"/>
  <c r="F103" i="18"/>
  <c r="F114" i="18" s="1"/>
  <c r="E103" i="18"/>
  <c r="G261" i="17"/>
  <c r="G183" i="6"/>
  <c r="M293" i="17"/>
  <c r="M264" i="17"/>
  <c r="M292" i="17"/>
  <c r="E267" i="17"/>
  <c r="M1" i="6" l="1"/>
  <c r="N2" i="6"/>
  <c r="M282" i="6"/>
  <c r="E259" i="17"/>
  <c r="H264" i="17"/>
  <c r="M294" i="17"/>
  <c r="R278" i="17"/>
  <c r="R304" i="17" s="1"/>
  <c r="R265" i="17"/>
  <c r="R268" i="17" s="1"/>
  <c r="N268" i="17"/>
  <c r="H265" i="17"/>
  <c r="H268" i="17" s="1"/>
  <c r="H278" i="17"/>
  <c r="H304" i="17" s="1"/>
  <c r="F260" i="17"/>
  <c r="E260" i="17"/>
  <c r="H294" i="17"/>
  <c r="F122" i="17"/>
  <c r="F123" i="17" s="1"/>
  <c r="K278" i="17"/>
  <c r="K304" i="17" s="1"/>
  <c r="K265" i="17"/>
  <c r="K268" i="17" s="1"/>
  <c r="P294" i="17"/>
  <c r="Q294" i="17"/>
  <c r="Q296" i="17" s="1"/>
  <c r="Q306" i="17" s="1"/>
  <c r="J261" i="17"/>
  <c r="N278" i="17"/>
  <c r="N304" i="17" s="1"/>
  <c r="N265" i="17"/>
  <c r="F259" i="17"/>
  <c r="Q268" i="17"/>
  <c r="M1" i="17"/>
  <c r="N2" i="17"/>
  <c r="M380" i="17"/>
  <c r="H293" i="17"/>
  <c r="N294" i="17"/>
  <c r="N296" i="17" s="1"/>
  <c r="N306" i="17" s="1"/>
  <c r="O265" i="17"/>
  <c r="O268" i="17" s="1"/>
  <c r="O278" i="17"/>
  <c r="O304" i="17" s="1"/>
  <c r="L1" i="27"/>
  <c r="M2" i="27"/>
  <c r="L197" i="27"/>
  <c r="E118" i="27"/>
  <c r="G123" i="27"/>
  <c r="L178" i="25"/>
  <c r="L1" i="25"/>
  <c r="M2" i="25"/>
  <c r="G104" i="25"/>
  <c r="E99" i="25"/>
  <c r="AA125" i="20"/>
  <c r="AA130" i="20" s="1"/>
  <c r="AA132" i="20" s="1"/>
  <c r="AA133" i="20" s="1"/>
  <c r="AA135" i="20" s="1"/>
  <c r="AA140" i="20" s="1"/>
  <c r="Y125" i="20"/>
  <c r="Y130" i="20" s="1"/>
  <c r="Y132" i="20" s="1"/>
  <c r="Y133" i="20" s="1"/>
  <c r="Y135" i="20" s="1"/>
  <c r="Y140" i="20" s="1"/>
  <c r="I122" i="20"/>
  <c r="I123" i="20" s="1"/>
  <c r="I94" i="20" a="1"/>
  <c r="I94" i="20" s="1"/>
  <c r="I103" i="20" s="1"/>
  <c r="I112" i="20" s="1"/>
  <c r="I113" i="20" s="1"/>
  <c r="I125" i="20" s="1"/>
  <c r="I130" i="20" s="1"/>
  <c r="I132" i="20" s="1"/>
  <c r="I133" i="20" s="1"/>
  <c r="I135" i="20" s="1"/>
  <c r="I140" i="20" s="1"/>
  <c r="H122" i="20"/>
  <c r="H123" i="20" s="1"/>
  <c r="H94" i="20" a="1"/>
  <c r="H94" i="20" s="1"/>
  <c r="H103" i="20" s="1"/>
  <c r="H112" i="20" s="1"/>
  <c r="H113" i="20" s="1"/>
  <c r="H125" i="20" s="1"/>
  <c r="H130" i="20" s="1"/>
  <c r="H132" i="20" s="1"/>
  <c r="H133" i="20" s="1"/>
  <c r="H135" i="20" s="1"/>
  <c r="H140" i="20" s="1"/>
  <c r="V122" i="20"/>
  <c r="V123" i="20" s="1"/>
  <c r="V94" i="20" a="1"/>
  <c r="V94" i="20" s="1"/>
  <c r="V103" i="20" s="1"/>
  <c r="V112" i="20" s="1"/>
  <c r="V113" i="20" s="1"/>
  <c r="V125" i="20" s="1"/>
  <c r="V130" i="20" s="1"/>
  <c r="V132" i="20" s="1"/>
  <c r="V133" i="20" s="1"/>
  <c r="V135" i="20" s="1"/>
  <c r="V140" i="20" s="1"/>
  <c r="N94" i="20" a="1"/>
  <c r="N94" i="20" s="1"/>
  <c r="N103" i="20" s="1"/>
  <c r="N112" i="20" s="1"/>
  <c r="N113" i="20" s="1"/>
  <c r="N125" i="20" s="1"/>
  <c r="N130" i="20" s="1"/>
  <c r="N132" i="20" s="1"/>
  <c r="N133" i="20" s="1"/>
  <c r="N135" i="20" s="1"/>
  <c r="N140" i="20" s="1"/>
  <c r="W122" i="20"/>
  <c r="W123" i="20" s="1"/>
  <c r="W94" i="20" a="1"/>
  <c r="W94" i="20" s="1"/>
  <c r="W103" i="20" s="1"/>
  <c r="W112" i="20" s="1"/>
  <c r="W113" i="20" s="1"/>
  <c r="G94" i="20" a="1"/>
  <c r="G94" i="20" s="1"/>
  <c r="G103" i="20" s="1"/>
  <c r="P122" i="20"/>
  <c r="P123" i="20" s="1"/>
  <c r="P94" i="20" a="1"/>
  <c r="P94" i="20" s="1"/>
  <c r="P103" i="20" s="1"/>
  <c r="P112" i="20" s="1"/>
  <c r="P113" i="20" s="1"/>
  <c r="P125" i="20" s="1"/>
  <c r="P130" i="20" s="1"/>
  <c r="P132" i="20" s="1"/>
  <c r="P133" i="20" s="1"/>
  <c r="P135" i="20" s="1"/>
  <c r="P140" i="20" s="1"/>
  <c r="O94" i="20" a="1"/>
  <c r="O94" i="20" s="1"/>
  <c r="O103" i="20" s="1"/>
  <c r="O112" i="20" s="1"/>
  <c r="O113" i="20" s="1"/>
  <c r="O125" i="20" s="1"/>
  <c r="O130" i="20" s="1"/>
  <c r="O132" i="20" s="1"/>
  <c r="O133" i="20" s="1"/>
  <c r="O135" i="20" s="1"/>
  <c r="O140" i="20" s="1"/>
  <c r="K122" i="20"/>
  <c r="K123" i="20" s="1"/>
  <c r="K94" i="20" a="1"/>
  <c r="K94" i="20" s="1"/>
  <c r="K103" i="20" s="1"/>
  <c r="K112" i="20" s="1"/>
  <c r="K113" i="20" s="1"/>
  <c r="R122" i="20"/>
  <c r="R123" i="20" s="1"/>
  <c r="R94" i="20" a="1"/>
  <c r="R94" i="20" s="1"/>
  <c r="R103" i="20" s="1"/>
  <c r="R112" i="20" s="1"/>
  <c r="R113" i="20" s="1"/>
  <c r="J122" i="20"/>
  <c r="J123" i="20" s="1"/>
  <c r="J94" i="20" a="1"/>
  <c r="J94" i="20" s="1"/>
  <c r="J103" i="20" s="1"/>
  <c r="J112" i="20" s="1"/>
  <c r="J113" i="20" s="1"/>
  <c r="Q122" i="20"/>
  <c r="Q123" i="20" s="1"/>
  <c r="Q94" i="20" a="1"/>
  <c r="Q94" i="20" s="1"/>
  <c r="Q103" i="20" s="1"/>
  <c r="Q112" i="20" s="1"/>
  <c r="Q113" i="20" s="1"/>
  <c r="S122" i="20"/>
  <c r="S123" i="20" s="1"/>
  <c r="S94" i="20" a="1"/>
  <c r="S94" i="20" s="1"/>
  <c r="S103" i="20" s="1"/>
  <c r="S112" i="20" s="1"/>
  <c r="S113" i="20" s="1"/>
  <c r="U122" i="20"/>
  <c r="U123" i="20" s="1"/>
  <c r="U94" i="20" a="1"/>
  <c r="U94" i="20" s="1"/>
  <c r="U103" i="20" s="1"/>
  <c r="U112" i="20" s="1"/>
  <c r="U113" i="20" s="1"/>
  <c r="L122" i="20"/>
  <c r="L123" i="20" s="1"/>
  <c r="L94" i="20" a="1"/>
  <c r="L94" i="20" s="1"/>
  <c r="L103" i="20" s="1"/>
  <c r="L112" i="20" s="1"/>
  <c r="L113" i="20" s="1"/>
  <c r="L125" i="20" s="1"/>
  <c r="L130" i="20" s="1"/>
  <c r="L132" i="20" s="1"/>
  <c r="L133" i="20" s="1"/>
  <c r="L135" i="20" s="1"/>
  <c r="L140" i="20" s="1"/>
  <c r="M122" i="20"/>
  <c r="M123" i="20" s="1"/>
  <c r="M94" i="20" a="1"/>
  <c r="M94" i="20" s="1"/>
  <c r="M103" i="20" s="1"/>
  <c r="M112" i="20" s="1"/>
  <c r="M113" i="20" s="1"/>
  <c r="M125" i="20" s="1"/>
  <c r="M130" i="20" s="1"/>
  <c r="M132" i="20" s="1"/>
  <c r="M133" i="20" s="1"/>
  <c r="M135" i="20" s="1"/>
  <c r="M140" i="20" s="1"/>
  <c r="T94" i="20" a="1"/>
  <c r="T94" i="20" s="1"/>
  <c r="T103" i="20" s="1"/>
  <c r="T112" i="20" s="1"/>
  <c r="T113" i="20" s="1"/>
  <c r="T125" i="20" s="1"/>
  <c r="T130" i="20" s="1"/>
  <c r="T132" i="20" s="1"/>
  <c r="T133" i="20" s="1"/>
  <c r="T135" i="20" s="1"/>
  <c r="T140" i="20" s="1"/>
  <c r="X122" i="20"/>
  <c r="X123" i="20" s="1"/>
  <c r="X94" i="20" a="1"/>
  <c r="X94" i="20" s="1"/>
  <c r="X103" i="20" s="1"/>
  <c r="X112" i="20" s="1"/>
  <c r="X113" i="20" s="1"/>
  <c r="Z94" i="20" a="1"/>
  <c r="Z94" i="20" s="1"/>
  <c r="Z103" i="20" s="1"/>
  <c r="Z112" i="20" s="1"/>
  <c r="Z113" i="20" s="1"/>
  <c r="Z125" i="20" s="1"/>
  <c r="Z130" i="20" s="1"/>
  <c r="Z132" i="20" s="1"/>
  <c r="Z133" i="20" s="1"/>
  <c r="Z135" i="20" s="1"/>
  <c r="Z140" i="20" s="1"/>
  <c r="E121" i="20"/>
  <c r="F121" i="20"/>
  <c r="F120" i="20"/>
  <c r="E120" i="20"/>
  <c r="G123" i="20"/>
  <c r="G134" i="19"/>
  <c r="E130" i="19"/>
  <c r="F130" i="19"/>
  <c r="L1" i="23"/>
  <c r="M2" i="23"/>
  <c r="L207" i="23"/>
  <c r="E128" i="23"/>
  <c r="G133" i="23"/>
  <c r="N2" i="21"/>
  <c r="M194" i="21"/>
  <c r="M1" i="21"/>
  <c r="E115" i="21"/>
  <c r="G120" i="21"/>
  <c r="M1" i="20"/>
  <c r="N2" i="20"/>
  <c r="M204" i="20"/>
  <c r="E170" i="6"/>
  <c r="E155" i="6"/>
  <c r="F155" i="6"/>
  <c r="G158" i="6"/>
  <c r="G169" i="6" s="1"/>
  <c r="F154" i="6"/>
  <c r="E154" i="6"/>
  <c r="F156" i="6"/>
  <c r="E156" i="6"/>
  <c r="F157" i="6"/>
  <c r="E157" i="6"/>
  <c r="L218" i="19"/>
  <c r="M2" i="19"/>
  <c r="K139" i="19"/>
  <c r="K144" i="19" s="1"/>
  <c r="K146" i="19" s="1"/>
  <c r="K147" i="19" s="1"/>
  <c r="K149" i="19" s="1"/>
  <c r="K154" i="19" s="1"/>
  <c r="H139" i="19"/>
  <c r="H144" i="19" s="1"/>
  <c r="H146" i="19" s="1"/>
  <c r="H147" i="19" s="1"/>
  <c r="H149" i="19" s="1"/>
  <c r="H154" i="19" s="1"/>
  <c r="J139" i="19"/>
  <c r="J144" i="19" s="1"/>
  <c r="J146" i="19" s="1"/>
  <c r="J147" i="19" s="1"/>
  <c r="J149" i="19" s="1"/>
  <c r="J154" i="19" s="1"/>
  <c r="H110" i="19"/>
  <c r="O139" i="19"/>
  <c r="O144" i="19" s="1"/>
  <c r="O146" i="19" s="1"/>
  <c r="O147" i="19" s="1"/>
  <c r="O149" i="19" s="1"/>
  <c r="O154" i="19" s="1"/>
  <c r="M218" i="19"/>
  <c r="N2" i="19"/>
  <c r="M1" i="19"/>
  <c r="M296" i="17"/>
  <c r="M306" i="17" s="1"/>
  <c r="E130" i="6"/>
  <c r="F130" i="6"/>
  <c r="M268" i="17"/>
  <c r="H179" i="6"/>
  <c r="G265" i="17"/>
  <c r="G278" i="17"/>
  <c r="E114" i="18"/>
  <c r="F227" i="17"/>
  <c r="G228" i="17"/>
  <c r="J294" i="17"/>
  <c r="E223" i="17"/>
  <c r="F223" i="17"/>
  <c r="G224" i="17"/>
  <c r="I168" i="17"/>
  <c r="I164" i="17"/>
  <c r="J206" i="6"/>
  <c r="E180" i="6"/>
  <c r="F180" i="6"/>
  <c r="I94" i="6"/>
  <c r="L1" i="18"/>
  <c r="M2" i="18"/>
  <c r="L193" i="18"/>
  <c r="I254" i="17"/>
  <c r="F251" i="17"/>
  <c r="E251" i="17"/>
  <c r="K294" i="17"/>
  <c r="O294" i="17"/>
  <c r="N282" i="6" l="1"/>
  <c r="O2" i="6"/>
  <c r="N1" i="6"/>
  <c r="O296" i="17"/>
  <c r="O306" i="17" s="1"/>
  <c r="R296" i="17"/>
  <c r="R306" i="17" s="1"/>
  <c r="J265" i="17"/>
  <c r="J268" i="17" s="1"/>
  <c r="J278" i="17"/>
  <c r="J304" i="17" s="1"/>
  <c r="F261" i="17"/>
  <c r="E265" i="17"/>
  <c r="E261" i="17"/>
  <c r="G268" i="17"/>
  <c r="O2" i="17"/>
  <c r="N1" i="17"/>
  <c r="N380" i="17"/>
  <c r="M197" i="27"/>
  <c r="M1" i="27"/>
  <c r="N2" i="27"/>
  <c r="F123" i="27"/>
  <c r="E123" i="27"/>
  <c r="G125" i="27"/>
  <c r="N2" i="25"/>
  <c r="M178" i="25"/>
  <c r="M1" i="25"/>
  <c r="E104" i="25"/>
  <c r="F104" i="25"/>
  <c r="G106" i="25"/>
  <c r="S125" i="20"/>
  <c r="S130" i="20" s="1"/>
  <c r="S132" i="20" s="1"/>
  <c r="S133" i="20" s="1"/>
  <c r="S135" i="20" s="1"/>
  <c r="S140" i="20" s="1"/>
  <c r="E122" i="20"/>
  <c r="X125" i="20"/>
  <c r="X130" i="20" s="1"/>
  <c r="K125" i="20"/>
  <c r="K130" i="20" s="1"/>
  <c r="K132" i="20" s="1"/>
  <c r="K133" i="20" s="1"/>
  <c r="K135" i="20" s="1"/>
  <c r="K140" i="20" s="1"/>
  <c r="X132" i="20"/>
  <c r="X133" i="20" s="1"/>
  <c r="X135" i="20"/>
  <c r="X140" i="20" s="1"/>
  <c r="E94" i="20"/>
  <c r="J125" i="20"/>
  <c r="J130" i="20" s="1"/>
  <c r="J132" i="20" s="1"/>
  <c r="J133" i="20" s="1"/>
  <c r="J135" i="20" s="1"/>
  <c r="J140" i="20" s="1"/>
  <c r="F94" i="20"/>
  <c r="F122" i="20"/>
  <c r="Q125" i="20"/>
  <c r="Q130" i="20" s="1"/>
  <c r="Q132" i="20" s="1"/>
  <c r="Q133" i="20" s="1"/>
  <c r="Q135" i="20" s="1"/>
  <c r="Q140" i="20" s="1"/>
  <c r="U125" i="20"/>
  <c r="U130" i="20" s="1"/>
  <c r="U132" i="20" s="1"/>
  <c r="U133" i="20" s="1"/>
  <c r="U135" i="20" s="1"/>
  <c r="U140" i="20" s="1"/>
  <c r="R125" i="20"/>
  <c r="R130" i="20" s="1"/>
  <c r="R132" i="20" s="1"/>
  <c r="R133" i="20" s="1"/>
  <c r="R135" i="20" s="1"/>
  <c r="R140" i="20" s="1"/>
  <c r="W125" i="20"/>
  <c r="W130" i="20" s="1"/>
  <c r="W132" i="20" s="1"/>
  <c r="W133" i="20" s="1"/>
  <c r="W135" i="20" s="1"/>
  <c r="W140" i="20" s="1"/>
  <c r="G112" i="20"/>
  <c r="F103" i="20"/>
  <c r="E103" i="20"/>
  <c r="F123" i="20"/>
  <c r="E123" i="20"/>
  <c r="F144" i="19"/>
  <c r="G137" i="19"/>
  <c r="E137" i="19" s="1"/>
  <c r="E134" i="19"/>
  <c r="N2" i="23"/>
  <c r="M207" i="23"/>
  <c r="M1" i="23"/>
  <c r="F133" i="23"/>
  <c r="E133" i="23"/>
  <c r="G135" i="23"/>
  <c r="F120" i="21"/>
  <c r="E120" i="21"/>
  <c r="G122" i="21"/>
  <c r="N1" i="21"/>
  <c r="O2" i="21"/>
  <c r="N194" i="21"/>
  <c r="N1" i="20"/>
  <c r="O2" i="20"/>
  <c r="N204" i="20"/>
  <c r="G195" i="6"/>
  <c r="F158" i="6"/>
  <c r="G194" i="6"/>
  <c r="E158" i="6"/>
  <c r="E139" i="19"/>
  <c r="F110" i="19"/>
  <c r="F139" i="19" s="1"/>
  <c r="E110" i="19"/>
  <c r="O2" i="19"/>
  <c r="N218" i="19"/>
  <c r="N1" i="19"/>
  <c r="E144" i="19"/>
  <c r="J92" i="6"/>
  <c r="J162" i="17"/>
  <c r="E224" i="17"/>
  <c r="F224" i="17"/>
  <c r="G291" i="17"/>
  <c r="G294" i="17" s="1"/>
  <c r="G273" i="17"/>
  <c r="H181" i="6"/>
  <c r="E119" i="18"/>
  <c r="F119" i="18"/>
  <c r="G121" i="18"/>
  <c r="M1" i="18"/>
  <c r="N2" i="18"/>
  <c r="M193" i="18"/>
  <c r="K296" i="17"/>
  <c r="K306" i="17" s="1"/>
  <c r="G304" i="17"/>
  <c r="G279" i="17"/>
  <c r="E206" i="6"/>
  <c r="F206" i="6"/>
  <c r="E228" i="17"/>
  <c r="F228" i="17"/>
  <c r="P296" i="17"/>
  <c r="P306" i="17" s="1"/>
  <c r="I264" i="17"/>
  <c r="I292" i="17"/>
  <c r="I293" i="17"/>
  <c r="I273" i="17"/>
  <c r="E254" i="17"/>
  <c r="F254" i="17"/>
  <c r="J166" i="17"/>
  <c r="L296" i="17"/>
  <c r="L306" i="17" s="1"/>
  <c r="P2" i="6" l="1"/>
  <c r="O1" i="6"/>
  <c r="O282" i="6"/>
  <c r="F278" i="17"/>
  <c r="E278" i="17"/>
  <c r="I294" i="17"/>
  <c r="I296" i="17" s="1"/>
  <c r="I306" i="17" s="1"/>
  <c r="P2" i="17"/>
  <c r="O380" i="17"/>
  <c r="O1" i="17"/>
  <c r="N197" i="27"/>
  <c r="N1" i="27"/>
  <c r="O2" i="27"/>
  <c r="E125" i="27"/>
  <c r="G126" i="27"/>
  <c r="F125" i="27"/>
  <c r="N1" i="25"/>
  <c r="N178" i="25"/>
  <c r="O2" i="25"/>
  <c r="E106" i="25"/>
  <c r="F106" i="25"/>
  <c r="G107" i="25"/>
  <c r="F112" i="20"/>
  <c r="E112" i="20"/>
  <c r="G113" i="20"/>
  <c r="F135" i="23"/>
  <c r="E135" i="23"/>
  <c r="G136" i="23"/>
  <c r="N207" i="23"/>
  <c r="O2" i="23"/>
  <c r="N1" i="23"/>
  <c r="P2" i="21"/>
  <c r="O194" i="21"/>
  <c r="O1" i="21"/>
  <c r="E122" i="21"/>
  <c r="G123" i="21"/>
  <c r="F122" i="21"/>
  <c r="P2" i="20"/>
  <c r="Q2" i="20" s="1"/>
  <c r="O204" i="20"/>
  <c r="O1" i="20"/>
  <c r="E169" i="6"/>
  <c r="G173" i="6"/>
  <c r="E173" i="6" s="1"/>
  <c r="F146" i="19"/>
  <c r="E146" i="19"/>
  <c r="G147" i="19"/>
  <c r="O218" i="19"/>
  <c r="O1" i="19"/>
  <c r="G296" i="17"/>
  <c r="G306" i="17" s="1"/>
  <c r="H296" i="17"/>
  <c r="H306" i="17" s="1"/>
  <c r="I268" i="17"/>
  <c r="E268" i="17" s="1"/>
  <c r="E264" i="17"/>
  <c r="G280" i="17"/>
  <c r="G281" i="17" s="1"/>
  <c r="F273" i="17"/>
  <c r="E121" i="18"/>
  <c r="F121" i="18"/>
  <c r="G122" i="18"/>
  <c r="H182" i="6"/>
  <c r="H183" i="6" s="1"/>
  <c r="J168" i="17"/>
  <c r="J164" i="17"/>
  <c r="J94" i="6"/>
  <c r="E304" i="17"/>
  <c r="F304" i="17"/>
  <c r="N1" i="18"/>
  <c r="O2" i="18"/>
  <c r="N193" i="18"/>
  <c r="E273" i="17"/>
  <c r="P1" i="6" l="1"/>
  <c r="Q2" i="6"/>
  <c r="P282" i="6"/>
  <c r="J296" i="17"/>
  <c r="J306" i="17" s="1"/>
  <c r="F306" i="17" s="1"/>
  <c r="Q2" i="17"/>
  <c r="P1" i="17"/>
  <c r="P380" i="17"/>
  <c r="G283" i="17"/>
  <c r="G286" i="17" s="1"/>
  <c r="P2" i="27"/>
  <c r="O197" i="27"/>
  <c r="O1" i="27"/>
  <c r="F126" i="27"/>
  <c r="E126" i="27"/>
  <c r="G128" i="27"/>
  <c r="P2" i="25"/>
  <c r="O178" i="25"/>
  <c r="O1" i="25"/>
  <c r="F107" i="25"/>
  <c r="E107" i="25"/>
  <c r="G109" i="25"/>
  <c r="G125" i="20"/>
  <c r="F113" i="20"/>
  <c r="F125" i="20" s="1"/>
  <c r="E113" i="20"/>
  <c r="Q1" i="20"/>
  <c r="R2" i="20"/>
  <c r="O207" i="23"/>
  <c r="P2" i="23"/>
  <c r="O1" i="23"/>
  <c r="F136" i="23"/>
  <c r="E136" i="23"/>
  <c r="G138" i="23"/>
  <c r="F123" i="21"/>
  <c r="E123" i="21"/>
  <c r="G125" i="21"/>
  <c r="P194" i="21"/>
  <c r="P1" i="21"/>
  <c r="P204" i="20"/>
  <c r="P1" i="20"/>
  <c r="F147" i="19"/>
  <c r="E147" i="19"/>
  <c r="G149" i="19"/>
  <c r="H277" i="17"/>
  <c r="I179" i="6"/>
  <c r="P2" i="18"/>
  <c r="O1" i="18"/>
  <c r="O193" i="18"/>
  <c r="K162" i="17"/>
  <c r="E306" i="17"/>
  <c r="G303" i="17"/>
  <c r="H205" i="6"/>
  <c r="K166" i="17"/>
  <c r="E122" i="18"/>
  <c r="F122" i="18"/>
  <c r="G124" i="18"/>
  <c r="K92" i="6"/>
  <c r="Q1" i="6" l="1"/>
  <c r="R2" i="6"/>
  <c r="Q282" i="6"/>
  <c r="I209" i="6"/>
  <c r="N209" i="6"/>
  <c r="P209" i="6"/>
  <c r="G301" i="17"/>
  <c r="G288" i="17"/>
  <c r="G305" i="17"/>
  <c r="Q1" i="17"/>
  <c r="Q380" i="17"/>
  <c r="R2" i="17"/>
  <c r="O307" i="17" s="1"/>
  <c r="P197" i="27"/>
  <c r="P1" i="27"/>
  <c r="E128" i="27"/>
  <c r="G133" i="27"/>
  <c r="E133" i="27" s="1"/>
  <c r="E149" i="27" s="1"/>
  <c r="E153" i="27" s="1"/>
  <c r="E156" i="27" s="1"/>
  <c r="E159" i="27" s="1"/>
  <c r="F128" i="27"/>
  <c r="P178" i="25"/>
  <c r="Q2" i="25"/>
  <c r="P1" i="25"/>
  <c r="G114" i="25"/>
  <c r="E114" i="25" s="1"/>
  <c r="E130" i="25" s="1"/>
  <c r="E134" i="25" s="1"/>
  <c r="E137" i="25" s="1"/>
  <c r="F109" i="25"/>
  <c r="E109" i="25"/>
  <c r="G130" i="20"/>
  <c r="E125" i="20"/>
  <c r="S2" i="20"/>
  <c r="R1" i="20"/>
  <c r="P207" i="23"/>
  <c r="Q2" i="23"/>
  <c r="P1" i="23"/>
  <c r="F138" i="23"/>
  <c r="E138" i="23"/>
  <c r="G143" i="23"/>
  <c r="E143" i="23" s="1"/>
  <c r="E159" i="23" s="1"/>
  <c r="E163" i="23" s="1"/>
  <c r="E166" i="23" s="1"/>
  <c r="E125" i="21"/>
  <c r="G130" i="21"/>
  <c r="E146" i="21" s="1"/>
  <c r="E150" i="21" s="1"/>
  <c r="F125" i="21"/>
  <c r="F149" i="19"/>
  <c r="E149" i="19"/>
  <c r="G154" i="19"/>
  <c r="K164" i="17"/>
  <c r="E164" i="17" s="1"/>
  <c r="E162" i="17"/>
  <c r="E124" i="18"/>
  <c r="F124" i="18"/>
  <c r="G129" i="18"/>
  <c r="I181" i="6"/>
  <c r="H279" i="17"/>
  <c r="P1" i="18"/>
  <c r="P193" i="18"/>
  <c r="K94" i="6"/>
  <c r="K168" i="17"/>
  <c r="R209" i="6" l="1"/>
  <c r="G209" i="6"/>
  <c r="H209" i="6"/>
  <c r="K209" i="6"/>
  <c r="R282" i="6"/>
  <c r="R1" i="6"/>
  <c r="L209" i="6"/>
  <c r="O209" i="6"/>
  <c r="M209" i="6"/>
  <c r="J209" i="6"/>
  <c r="Q209" i="6"/>
  <c r="M307" i="17"/>
  <c r="Q307" i="17"/>
  <c r="R307" i="17"/>
  <c r="G307" i="17"/>
  <c r="I307" i="17"/>
  <c r="K307" i="17"/>
  <c r="J307" i="17"/>
  <c r="R1" i="17"/>
  <c r="R380" i="17"/>
  <c r="H307" i="17"/>
  <c r="N307" i="17"/>
  <c r="L307" i="17"/>
  <c r="P307" i="17"/>
  <c r="E140" i="25"/>
  <c r="Q24" i="11"/>
  <c r="X24" i="11" s="1"/>
  <c r="R2" i="25"/>
  <c r="Q1" i="25"/>
  <c r="E130" i="20"/>
  <c r="G132" i="20"/>
  <c r="F130" i="20"/>
  <c r="E169" i="23"/>
  <c r="Q14" i="11"/>
  <c r="X14" i="11" s="1"/>
  <c r="T2" i="20"/>
  <c r="S1" i="20"/>
  <c r="Q1" i="23"/>
  <c r="R2" i="23"/>
  <c r="E156" i="21"/>
  <c r="Q23" i="11"/>
  <c r="X23" i="11" s="1"/>
  <c r="E154" i="19"/>
  <c r="E170" i="19" s="1"/>
  <c r="E129" i="18"/>
  <c r="E145" i="18" s="1"/>
  <c r="E149" i="18" s="1"/>
  <c r="E152" i="18" s="1"/>
  <c r="H280" i="17"/>
  <c r="H281" i="17" s="1"/>
  <c r="L166" i="17"/>
  <c r="L92" i="6"/>
  <c r="L94" i="6" s="1"/>
  <c r="M92" i="6" s="1"/>
  <c r="M94" i="6" s="1"/>
  <c r="N92" i="6" s="1"/>
  <c r="N94" i="6" s="1"/>
  <c r="O92" i="6" s="1"/>
  <c r="O94" i="6" s="1"/>
  <c r="P92" i="6" s="1"/>
  <c r="P94" i="6" s="1"/>
  <c r="Q92" i="6" s="1"/>
  <c r="Q94" i="6" s="1"/>
  <c r="R92" i="6" s="1"/>
  <c r="I182" i="6"/>
  <c r="I183" i="6" s="1"/>
  <c r="F209" i="6" l="1"/>
  <c r="E209" i="6"/>
  <c r="F307" i="17"/>
  <c r="E307" i="17"/>
  <c r="G308" i="17"/>
  <c r="G310" i="17" s="1"/>
  <c r="G315" i="17" s="1"/>
  <c r="Q15" i="11"/>
  <c r="X15" i="11" s="1"/>
  <c r="E155" i="18"/>
  <c r="S2" i="25"/>
  <c r="R1" i="25"/>
  <c r="G133" i="20"/>
  <c r="E132" i="20"/>
  <c r="F132" i="20"/>
  <c r="T1" i="20"/>
  <c r="U2" i="20"/>
  <c r="R1" i="23"/>
  <c r="S2" i="23"/>
  <c r="E174" i="19"/>
  <c r="E177" i="19" s="1"/>
  <c r="I277" i="17"/>
  <c r="L168" i="17"/>
  <c r="M166" i="17" s="1"/>
  <c r="M168" i="17" s="1"/>
  <c r="N166" i="17" s="1"/>
  <c r="N168" i="17" s="1"/>
  <c r="O166" i="17" s="1"/>
  <c r="O168" i="17" s="1"/>
  <c r="P166" i="17" s="1"/>
  <c r="P168" i="17" s="1"/>
  <c r="Q166" i="17" s="1"/>
  <c r="Q168" i="17" s="1"/>
  <c r="R166" i="17" s="1"/>
  <c r="R168" i="17" s="1"/>
  <c r="E168" i="17" s="1"/>
  <c r="I205" i="6"/>
  <c r="J179" i="6"/>
  <c r="H303" i="17"/>
  <c r="H283" i="17"/>
  <c r="R94" i="6"/>
  <c r="E94" i="6" s="1"/>
  <c r="E92" i="6"/>
  <c r="T2" i="25" l="1"/>
  <c r="S1" i="25"/>
  <c r="E133" i="20"/>
  <c r="F133" i="20"/>
  <c r="G135" i="20"/>
  <c r="U1" i="20"/>
  <c r="V2" i="20"/>
  <c r="S1" i="23"/>
  <c r="T2" i="23"/>
  <c r="E180" i="19"/>
  <c r="Q22" i="11"/>
  <c r="X22" i="11" s="1"/>
  <c r="E166" i="17"/>
  <c r="H301" i="17"/>
  <c r="H286" i="17"/>
  <c r="H305" i="17"/>
  <c r="H288" i="17"/>
  <c r="J181" i="6"/>
  <c r="I279" i="17"/>
  <c r="X28" i="11" l="1"/>
  <c r="X27" i="11"/>
  <c r="T1" i="25"/>
  <c r="U2" i="25"/>
  <c r="E135" i="20"/>
  <c r="G140" i="20"/>
  <c r="F135" i="20"/>
  <c r="V1" i="20"/>
  <c r="W2" i="20"/>
  <c r="U2" i="23"/>
  <c r="T1" i="23"/>
  <c r="J182" i="6"/>
  <c r="I280" i="17"/>
  <c r="I281" i="17"/>
  <c r="H308" i="17"/>
  <c r="H310" i="17" s="1"/>
  <c r="V2" i="25" l="1"/>
  <c r="U1" i="25"/>
  <c r="X2" i="20"/>
  <c r="W1" i="20"/>
  <c r="V2" i="23"/>
  <c r="U1" i="23"/>
  <c r="H315" i="17"/>
  <c r="J205" i="6"/>
  <c r="J277" i="17"/>
  <c r="I303" i="17"/>
  <c r="I283" i="17"/>
  <c r="J183" i="6"/>
  <c r="W2" i="25" l="1"/>
  <c r="V1" i="25"/>
  <c r="X1" i="20"/>
  <c r="Y2" i="20"/>
  <c r="V1" i="23"/>
  <c r="W2" i="23"/>
  <c r="K179" i="6"/>
  <c r="I301" i="17"/>
  <c r="I286" i="17"/>
  <c r="I305" i="17"/>
  <c r="I288" i="17"/>
  <c r="J279" i="17"/>
  <c r="I308" i="17"/>
  <c r="X2" i="25" l="1"/>
  <c r="W1" i="25"/>
  <c r="Y1" i="20"/>
  <c r="Z2" i="20"/>
  <c r="W1" i="23"/>
  <c r="X2" i="23"/>
  <c r="K181" i="6"/>
  <c r="I310" i="17"/>
  <c r="J280" i="17"/>
  <c r="J281" i="17"/>
  <c r="X1" i="25" l="1"/>
  <c r="Y2" i="25"/>
  <c r="Z1" i="20"/>
  <c r="AA2" i="20"/>
  <c r="Y2" i="23"/>
  <c r="X1" i="23"/>
  <c r="J303" i="17"/>
  <c r="J283" i="17"/>
  <c r="I315" i="17"/>
  <c r="K277" i="17"/>
  <c r="K182" i="6"/>
  <c r="K183" i="6"/>
  <c r="Z2" i="25" l="1"/>
  <c r="Y1" i="25"/>
  <c r="AA1" i="20"/>
  <c r="E140" i="20" s="1"/>
  <c r="E156" i="20" s="1"/>
  <c r="E160" i="20" s="1"/>
  <c r="E163" i="20" s="1"/>
  <c r="Z2" i="23"/>
  <c r="Y1" i="23"/>
  <c r="L179" i="6"/>
  <c r="J288" i="17"/>
  <c r="J301" i="17"/>
  <c r="J286" i="17"/>
  <c r="J305" i="17"/>
  <c r="J308" i="17"/>
  <c r="K279" i="17"/>
  <c r="K205" i="6"/>
  <c r="Z1" i="25" l="1"/>
  <c r="AA2" i="25"/>
  <c r="Q16" i="11"/>
  <c r="X16" i="11" s="1"/>
  <c r="E166" i="20"/>
  <c r="Z1" i="23"/>
  <c r="AA2" i="23"/>
  <c r="J310" i="17"/>
  <c r="L181" i="6"/>
  <c r="K280" i="17"/>
  <c r="K281" i="17"/>
  <c r="AB2" i="25" l="1"/>
  <c r="AA1" i="25"/>
  <c r="AA1" i="23"/>
  <c r="AB2" i="23"/>
  <c r="L182" i="6"/>
  <c r="L183" i="6"/>
  <c r="M179" i="6" s="1"/>
  <c r="M181" i="6" s="1"/>
  <c r="J315" i="17"/>
  <c r="K303" i="17"/>
  <c r="K283" i="17"/>
  <c r="L277" i="17"/>
  <c r="AB1" i="25" l="1"/>
  <c r="AC2" i="25"/>
  <c r="AB1" i="23"/>
  <c r="AC2" i="23"/>
  <c r="K301" i="17"/>
  <c r="K286" i="17"/>
  <c r="K288" i="17" s="1"/>
  <c r="K305" i="17"/>
  <c r="K308" i="17" s="1"/>
  <c r="M182" i="6"/>
  <c r="M183" i="6" s="1"/>
  <c r="N179" i="6" s="1"/>
  <c r="N181" i="6" s="1"/>
  <c r="L279" i="17"/>
  <c r="L205" i="6"/>
  <c r="AD2" i="25" l="1"/>
  <c r="AC1" i="25"/>
  <c r="AC1" i="23"/>
  <c r="AD2" i="23"/>
  <c r="K310" i="17"/>
  <c r="M205" i="6"/>
  <c r="L280" i="17"/>
  <c r="L281" i="17"/>
  <c r="M277" i="17" s="1"/>
  <c r="M279" i="17" s="1"/>
  <c r="N182" i="6"/>
  <c r="AE2" i="25" l="1"/>
  <c r="AD1" i="25"/>
  <c r="AD1" i="23"/>
  <c r="AE2" i="23"/>
  <c r="M280" i="17"/>
  <c r="L303" i="17"/>
  <c r="L283" i="17"/>
  <c r="N205" i="6"/>
  <c r="N183" i="6"/>
  <c r="O179" i="6" s="1"/>
  <c r="O181" i="6" s="1"/>
  <c r="K315" i="17"/>
  <c r="AF2" i="25" l="1"/>
  <c r="AE1" i="25"/>
  <c r="AF2" i="23"/>
  <c r="AE1" i="23"/>
  <c r="M303" i="17"/>
  <c r="M283" i="17"/>
  <c r="M281" i="17"/>
  <c r="N277" i="17" s="1"/>
  <c r="N279" i="17" s="1"/>
  <c r="L288" i="17"/>
  <c r="L301" i="17"/>
  <c r="L286" i="17"/>
  <c r="L305" i="17"/>
  <c r="L308" i="17" s="1"/>
  <c r="O182" i="6"/>
  <c r="O183" i="6" s="1"/>
  <c r="P179" i="6" s="1"/>
  <c r="P181" i="6" s="1"/>
  <c r="AF1" i="25" l="1"/>
  <c r="AG2" i="25"/>
  <c r="AG2" i="23"/>
  <c r="AF1" i="23"/>
  <c r="P182" i="6"/>
  <c r="P183" i="6"/>
  <c r="Q179" i="6" s="1"/>
  <c r="Q181" i="6" s="1"/>
  <c r="N280" i="17"/>
  <c r="N281" i="17"/>
  <c r="O277" i="17" s="1"/>
  <c r="O279" i="17" s="1"/>
  <c r="O205" i="6"/>
  <c r="L310" i="17"/>
  <c r="L315" i="17" s="1"/>
  <c r="M301" i="17"/>
  <c r="M286" i="17"/>
  <c r="M288" i="17" s="1"/>
  <c r="M305" i="17"/>
  <c r="M308" i="17"/>
  <c r="AG1" i="25" l="1"/>
  <c r="AH2" i="25"/>
  <c r="AH2" i="23"/>
  <c r="AG1" i="23"/>
  <c r="O280" i="17"/>
  <c r="O281" i="17" s="1"/>
  <c r="P277" i="17" s="1"/>
  <c r="P279" i="17" s="1"/>
  <c r="N303" i="17"/>
  <c r="N283" i="17"/>
  <c r="M310" i="17"/>
  <c r="M315" i="17" s="1"/>
  <c r="Q182" i="6"/>
  <c r="P205" i="6"/>
  <c r="AI2" i="25" l="1"/>
  <c r="AH1" i="25"/>
  <c r="AI2" i="23"/>
  <c r="AH1" i="23"/>
  <c r="P280" i="17"/>
  <c r="P281" i="17"/>
  <c r="Q277" i="17" s="1"/>
  <c r="Q279" i="17" s="1"/>
  <c r="Q205" i="6"/>
  <c r="Q183" i="6"/>
  <c r="R179" i="6" s="1"/>
  <c r="N301" i="17"/>
  <c r="N286" i="17"/>
  <c r="N288" i="17" s="1"/>
  <c r="N305" i="17"/>
  <c r="O303" i="17"/>
  <c r="O283" i="17"/>
  <c r="N308" i="17"/>
  <c r="AJ2" i="25" l="1"/>
  <c r="AI1" i="25"/>
  <c r="AJ2" i="23"/>
  <c r="AI1" i="23"/>
  <c r="O286" i="17"/>
  <c r="O305" i="17"/>
  <c r="O308" i="17" s="1"/>
  <c r="O288" i="17"/>
  <c r="O301" i="17"/>
  <c r="N310" i="17"/>
  <c r="N315" i="17" s="1"/>
  <c r="Q280" i="17"/>
  <c r="Q281" i="17"/>
  <c r="R277" i="17" s="1"/>
  <c r="R181" i="6"/>
  <c r="E179" i="6"/>
  <c r="P303" i="17"/>
  <c r="P283" i="17"/>
  <c r="AJ1" i="25" l="1"/>
  <c r="AK2" i="25"/>
  <c r="AJ1" i="23"/>
  <c r="AK2" i="23"/>
  <c r="P301" i="17"/>
  <c r="P286" i="17"/>
  <c r="P305" i="17"/>
  <c r="P308" i="17" s="1"/>
  <c r="P288" i="17"/>
  <c r="R279" i="17"/>
  <c r="E277" i="17"/>
  <c r="O310" i="17"/>
  <c r="O315" i="17" s="1"/>
  <c r="R182" i="6"/>
  <c r="R183" i="6" s="1"/>
  <c r="E183" i="6" s="1"/>
  <c r="E181" i="6"/>
  <c r="Q303" i="17"/>
  <c r="Q283" i="17"/>
  <c r="AK1" i="25" l="1"/>
  <c r="AL2" i="25"/>
  <c r="AL1" i="25" s="1"/>
  <c r="AK1" i="23"/>
  <c r="AL2" i="23"/>
  <c r="AL1" i="23" s="1"/>
  <c r="R280" i="17"/>
  <c r="R281" i="17" s="1"/>
  <c r="E281" i="17" s="1"/>
  <c r="E279" i="17"/>
  <c r="P310" i="17"/>
  <c r="P315" i="17" s="1"/>
  <c r="Q301" i="17"/>
  <c r="Q286" i="17"/>
  <c r="Q288" i="17" s="1"/>
  <c r="Q305" i="17"/>
  <c r="Q308" i="17"/>
  <c r="R205" i="6"/>
  <c r="F182" i="6"/>
  <c r="E182" i="6"/>
  <c r="Q310" i="17" l="1"/>
  <c r="Q315" i="17" s="1"/>
  <c r="F205" i="6"/>
  <c r="R303" i="17"/>
  <c r="R283" i="17"/>
  <c r="F280" i="17"/>
  <c r="E280" i="17"/>
  <c r="F303" i="17" l="1"/>
  <c r="R301" i="17"/>
  <c r="R286" i="17"/>
  <c r="F286" i="17" s="1"/>
  <c r="R305" i="17"/>
  <c r="F283" i="17"/>
  <c r="E283" i="17"/>
  <c r="R288" i="17" l="1"/>
  <c r="F301" i="17"/>
  <c r="E301" i="17"/>
  <c r="E288" i="17"/>
  <c r="F288" i="17"/>
  <c r="F305" i="17"/>
  <c r="E305" i="17"/>
  <c r="R308" i="17"/>
  <c r="E308" i="17" l="1"/>
  <c r="F308" i="17"/>
  <c r="R310" i="17"/>
  <c r="R315" i="17" l="1"/>
  <c r="E315" i="17" s="1"/>
  <c r="E331" i="17" s="1"/>
  <c r="F310" i="17"/>
  <c r="E310" i="17"/>
  <c r="E335" i="17" l="1"/>
  <c r="E338" i="17" l="1"/>
  <c r="G352" i="17"/>
  <c r="Q13" i="11"/>
  <c r="X13" i="11" s="1"/>
  <c r="X36" i="11" s="1"/>
  <c r="E341" i="17"/>
  <c r="X33" i="11"/>
  <c r="X19" i="11"/>
  <c r="X35" i="11" l="1"/>
  <c r="X32" i="11"/>
  <c r="X18" i="11"/>
  <c r="I22" i="6"/>
  <c r="I127" i="6" s="1"/>
  <c r="I139" i="6" s="1"/>
  <c r="P22" i="6"/>
  <c r="P127" i="6" s="1"/>
  <c r="P139" i="6" s="1"/>
  <c r="Q22" i="6"/>
  <c r="Q127" i="6" s="1"/>
  <c r="Q139" i="6" s="1"/>
  <c r="J22" i="6"/>
  <c r="J127" i="6" s="1"/>
  <c r="J139" i="6" s="1"/>
  <c r="M22" i="6"/>
  <c r="M127" i="6" s="1"/>
  <c r="M139" i="6" s="1"/>
  <c r="O22" i="6"/>
  <c r="O127" i="6" s="1"/>
  <c r="O139" i="6" s="1"/>
  <c r="R22" i="6"/>
  <c r="R127" i="6" s="1"/>
  <c r="R139" i="6" s="1"/>
  <c r="K22" i="6"/>
  <c r="K127" i="6" s="1"/>
  <c r="K139" i="6" s="1"/>
  <c r="N22" i="6"/>
  <c r="N127" i="6" s="1"/>
  <c r="N139" i="6" s="1"/>
  <c r="G22" i="6"/>
  <c r="G127" i="6" s="1"/>
  <c r="G139" i="6" s="1"/>
  <c r="H22" i="6"/>
  <c r="H127" i="6" s="1"/>
  <c r="H139" i="6" s="1"/>
  <c r="L22" i="6"/>
  <c r="L127" i="6" s="1"/>
  <c r="L139" i="6" s="1"/>
  <c r="L143" i="6" s="1"/>
  <c r="L144" i="6" s="1"/>
  <c r="C2" i="6"/>
  <c r="F139" i="6" l="1"/>
  <c r="I143" i="6"/>
  <c r="I144" i="6" s="1"/>
  <c r="I140" i="6"/>
  <c r="E127" i="6"/>
  <c r="R140" i="6"/>
  <c r="R143" i="6"/>
  <c r="R144" i="6" s="1"/>
  <c r="M143" i="6"/>
  <c r="M144" i="6" s="1"/>
  <c r="M140" i="6"/>
  <c r="J143" i="6"/>
  <c r="J144" i="6" s="1"/>
  <c r="J140" i="6"/>
  <c r="K143" i="6"/>
  <c r="K144" i="6" s="1"/>
  <c r="K140" i="6"/>
  <c r="Q140" i="6"/>
  <c r="Q143" i="6"/>
  <c r="Q144" i="6" s="1"/>
  <c r="P143" i="6"/>
  <c r="P144" i="6" s="1"/>
  <c r="P140" i="6"/>
  <c r="H140" i="6"/>
  <c r="H143" i="6"/>
  <c r="H144" i="6" s="1"/>
  <c r="O143" i="6"/>
  <c r="O144" i="6" s="1"/>
  <c r="O140" i="6"/>
  <c r="N143" i="6"/>
  <c r="N144" i="6" s="1"/>
  <c r="N140" i="6"/>
  <c r="L140" i="6"/>
  <c r="L193" i="6" l="1"/>
  <c r="L196" i="6" s="1"/>
  <c r="L175" i="6"/>
  <c r="L185" i="6" s="1"/>
  <c r="N193" i="6"/>
  <c r="N196" i="6" s="1"/>
  <c r="N175" i="6"/>
  <c r="N185" i="6" s="1"/>
  <c r="Q175" i="6"/>
  <c r="Q185" i="6" s="1"/>
  <c r="Q193" i="6"/>
  <c r="Q196" i="6" s="1"/>
  <c r="R175" i="6"/>
  <c r="R185" i="6" s="1"/>
  <c r="R193" i="6"/>
  <c r="R196" i="6" s="1"/>
  <c r="O193" i="6"/>
  <c r="O196" i="6" s="1"/>
  <c r="O175" i="6"/>
  <c r="O185" i="6" s="1"/>
  <c r="K193" i="6"/>
  <c r="K196" i="6" s="1"/>
  <c r="K175" i="6"/>
  <c r="K185" i="6" s="1"/>
  <c r="G140" i="6"/>
  <c r="E139" i="6"/>
  <c r="G143" i="6"/>
  <c r="M193" i="6"/>
  <c r="M196" i="6" s="1"/>
  <c r="M198" i="6" s="1"/>
  <c r="M208" i="6" s="1"/>
  <c r="M175" i="6"/>
  <c r="M185" i="6" s="1"/>
  <c r="P175" i="6"/>
  <c r="P185" i="6" s="1"/>
  <c r="P193" i="6"/>
  <c r="P196" i="6" s="1"/>
  <c r="J175" i="6"/>
  <c r="J185" i="6" s="1"/>
  <c r="J193" i="6"/>
  <c r="J196" i="6" s="1"/>
  <c r="I175" i="6"/>
  <c r="I185" i="6" s="1"/>
  <c r="I193" i="6"/>
  <c r="I196" i="6" s="1"/>
  <c r="H193" i="6"/>
  <c r="H196" i="6" s="1"/>
  <c r="H175" i="6"/>
  <c r="H185" i="6" s="1"/>
  <c r="P198" i="6" l="1"/>
  <c r="P208" i="6" s="1"/>
  <c r="H207" i="6"/>
  <c r="N198" i="6"/>
  <c r="N208" i="6" s="1"/>
  <c r="I198" i="6"/>
  <c r="I208" i="6" s="1"/>
  <c r="R198" i="6"/>
  <c r="R208" i="6" s="1"/>
  <c r="R188" i="6"/>
  <c r="R203" i="6"/>
  <c r="R190" i="6"/>
  <c r="R210" i="6"/>
  <c r="J198" i="6"/>
  <c r="J208" i="6" s="1"/>
  <c r="F140" i="6"/>
  <c r="G193" i="6"/>
  <c r="G196" i="6" s="1"/>
  <c r="G198" i="6" s="1"/>
  <c r="G208" i="6" s="1"/>
  <c r="E140" i="6"/>
  <c r="Q198" i="6"/>
  <c r="Q208" i="6" s="1"/>
  <c r="G144" i="6"/>
  <c r="G175" i="6" s="1"/>
  <c r="F143" i="6"/>
  <c r="I188" i="6"/>
  <c r="I190" i="6" s="1"/>
  <c r="I203" i="6"/>
  <c r="N210" i="6"/>
  <c r="N203" i="6"/>
  <c r="N188" i="6"/>
  <c r="N190" i="6" s="1"/>
  <c r="O203" i="6"/>
  <c r="O188" i="6"/>
  <c r="O190" i="6" s="1"/>
  <c r="J188" i="6"/>
  <c r="J190" i="6" s="1"/>
  <c r="J203" i="6"/>
  <c r="Q188" i="6"/>
  <c r="Q203" i="6"/>
  <c r="Q210" i="6"/>
  <c r="Q190" i="6"/>
  <c r="K203" i="6"/>
  <c r="K188" i="6"/>
  <c r="K190" i="6" s="1"/>
  <c r="P188" i="6"/>
  <c r="P190" i="6" s="1"/>
  <c r="P210" i="6"/>
  <c r="P203" i="6"/>
  <c r="K198" i="6"/>
  <c r="K208" i="6" s="1"/>
  <c r="H188" i="6"/>
  <c r="H190" i="6" s="1"/>
  <c r="H203" i="6"/>
  <c r="M210" i="6"/>
  <c r="M188" i="6"/>
  <c r="M190" i="6" s="1"/>
  <c r="M203" i="6"/>
  <c r="L203" i="6"/>
  <c r="L188" i="6"/>
  <c r="L190" i="6" s="1"/>
  <c r="O198" i="6"/>
  <c r="O208" i="6" s="1"/>
  <c r="L198" i="6"/>
  <c r="L208" i="6" s="1"/>
  <c r="F207" i="6" l="1"/>
  <c r="I210" i="6"/>
  <c r="I212" i="6" s="1"/>
  <c r="I217" i="6" s="1"/>
  <c r="P212" i="6"/>
  <c r="P217" i="6" s="1"/>
  <c r="N212" i="6"/>
  <c r="N217" i="6" s="1"/>
  <c r="K210" i="6"/>
  <c r="K212" i="6" s="1"/>
  <c r="K217" i="6" s="1"/>
  <c r="H198" i="6"/>
  <c r="H208" i="6" s="1"/>
  <c r="F208" i="6" s="1"/>
  <c r="Q212" i="6"/>
  <c r="Q217" i="6" s="1"/>
  <c r="E175" i="6"/>
  <c r="G185" i="6"/>
  <c r="L210" i="6"/>
  <c r="L212" i="6" s="1"/>
  <c r="L217" i="6" s="1"/>
  <c r="E144" i="6"/>
  <c r="F144" i="6"/>
  <c r="F175" i="6" s="1"/>
  <c r="J210" i="6"/>
  <c r="J212" i="6" s="1"/>
  <c r="J217" i="6" s="1"/>
  <c r="R212" i="6"/>
  <c r="R217" i="6" s="1"/>
  <c r="O210" i="6"/>
  <c r="O212" i="6" s="1"/>
  <c r="O217" i="6" s="1"/>
  <c r="M212" i="6"/>
  <c r="M217" i="6" s="1"/>
  <c r="H210" i="6" l="1"/>
  <c r="E208" i="6"/>
  <c r="F185" i="6"/>
  <c r="E185" i="6"/>
  <c r="G188" i="6"/>
  <c r="F188" i="6" s="1"/>
  <c r="G203" i="6"/>
  <c r="H212" i="6"/>
  <c r="H217" i="6" s="1"/>
  <c r="E217" i="6" s="1"/>
  <c r="E233" i="6" s="1"/>
  <c r="E237" i="6" s="1"/>
  <c r="E240" i="6" l="1"/>
  <c r="G268" i="6" s="1"/>
  <c r="F203" i="6"/>
  <c r="E203" i="6"/>
  <c r="G190" i="6"/>
  <c r="G210" i="6"/>
  <c r="G212" i="6" s="1"/>
  <c r="E207" i="6"/>
  <c r="Q10" i="11" l="1"/>
  <c r="X10" i="11" s="1"/>
  <c r="X41" i="11" s="1"/>
  <c r="E243" i="6"/>
  <c r="F212" i="6"/>
  <c r="G217" i="6"/>
  <c r="E212" i="6"/>
  <c r="E210" i="6"/>
  <c r="F210" i="6"/>
  <c r="F190" i="6"/>
  <c r="E190" i="6"/>
  <c r="X39" i="11" l="1"/>
  <c r="X48" i="11" s="1"/>
  <c r="V53" i="11" s="1"/>
  <c r="X50" i="11"/>
  <c r="V55" i="11" s="1"/>
  <c r="X40" i="11" l="1"/>
  <c r="X49" i="11" s="1"/>
  <c r="V54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00000000-0006-0000-0000-000001000000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00000000-0006-0000-0000-000002000000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G57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I'll just assume it's dispersed and included in both operating G&amp;A and capital G&amp;A
</t>
        </r>
      </text>
    </comment>
    <comment ref="F71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I take the 2023 number so depreciation match up
</t>
        </r>
      </text>
    </comment>
    <comment ref="F81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  <comment ref="E188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Tim Vipond: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Detailed tax modeling is not covered in this course.</t>
        </r>
      </text>
    </comment>
    <comment ref="F196" authorId="1" shapeId="0" xr:uid="{EFAA60DC-3E60-D046-85C9-1C365365EE0E}">
      <text>
        <r>
          <rPr>
            <b/>
            <sz val="10"/>
            <color rgb="FF000000"/>
            <rFont val="Tahoma"/>
            <family val="2"/>
          </rPr>
          <t>Assumption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257503FB-2ED3-074D-AC56-220D300D9A5E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1A5803A1-5869-6749-9BC5-C63B941C2DD8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G104" authorId="0" shapeId="0" xr:uid="{151B41A1-D080-204C-ADAE-6BD66E622EF6}">
      <text>
        <r>
          <rPr>
            <sz val="9"/>
            <color rgb="FF000000"/>
            <rFont val="Tahoma"/>
            <family val="2"/>
          </rPr>
          <t xml:space="preserve">I'll just assume it's dispersed and included in both operating G&amp;A and capital G&amp;A
</t>
        </r>
      </text>
    </comment>
    <comment ref="F130" authorId="0" shapeId="0" xr:uid="{15BFB842-561D-794D-BD3D-0351F0DBDBE2}">
      <text>
        <r>
          <rPr>
            <sz val="9"/>
            <color rgb="FF000000"/>
            <rFont val="Tahoma"/>
            <family val="2"/>
          </rPr>
          <t xml:space="preserve">I take the 2023 number so depreciation match up
</t>
        </r>
      </text>
    </comment>
    <comment ref="F143" authorId="1" shapeId="0" xr:uid="{6CF4C435-0C63-7641-81B6-5AEBFBD5761D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146" authorId="0" shapeId="0" xr:uid="{4BC0B9CB-4FD3-9E44-A6FB-A8E2AACD09ED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  <comment ref="E286" authorId="0" shapeId="0" xr:uid="{746F826C-B9D2-7444-B5E8-ED84DF8DA0FE}">
      <text>
        <r>
          <rPr>
            <b/>
            <sz val="9"/>
            <color rgb="FF000000"/>
            <rFont val="Tahoma"/>
            <family val="2"/>
          </rPr>
          <t>Tim Vipond: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Detailed tax modeling is not covered in this course.</t>
        </r>
      </text>
    </comment>
    <comment ref="F294" authorId="1" shapeId="0" xr:uid="{CB3DB81A-8C77-0F42-BB4D-94B8CB0D5DD5}">
      <text>
        <r>
          <rPr>
            <b/>
            <sz val="10"/>
            <color rgb="FF000000"/>
            <rFont val="Tahoma"/>
            <family val="2"/>
          </rPr>
          <t>Assumption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D277DDB0-0898-2146-9980-9AA1F230EC10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AA006C19-C137-DA49-88EA-BEF060D8A6CD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56" authorId="1" shapeId="0" xr:uid="{6758D1EA-73F5-E748-83A5-3488F2CFC5BB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59" authorId="0" shapeId="0" xr:uid="{38154046-FA1C-B541-979D-DFAF80FB3E65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9B66FF55-7DFD-B747-992A-50BFD1DD6ADB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B9F2D99A-B9CA-D344-971F-E6E7BEC86B69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62" authorId="1" shapeId="0" xr:uid="{8310E788-5A07-B641-9E0A-9F87EB316E9D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65" authorId="0" shapeId="0" xr:uid="{5C6D77A9-1911-5B4E-A843-A7117C507F2E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B50BA439-C315-9549-A32E-BB194E806658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C19C19C7-710E-614D-B1EA-43481C9C0FAD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57" authorId="1" shapeId="0" xr:uid="{5E2D10BB-6FD6-3A41-9F62-A036C02295DD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60" authorId="0" shapeId="0" xr:uid="{588EDB52-8AA9-B74D-9DB0-03EFBC835C68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CA7DFCE0-4CE7-4F48-A51D-625F4F4B431A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C0F6A927-1BC5-F04C-9FDE-6048F0616C12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66" authorId="1" shapeId="0" xr:uid="{A699C70E-FE05-A74B-BEAA-E916D4BC2924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69" authorId="0" shapeId="0" xr:uid="{40AD69FD-D50A-924B-8DC8-25DB3981B8A1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FAAD1F1F-D3DA-B145-B84D-AD73D94D12DD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55299519-F7BC-EC40-AA8A-CE3BE6F71015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66" authorId="1" shapeId="0" xr:uid="{53075C4C-7524-0243-B312-8EABF04AED46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69" authorId="0" shapeId="0" xr:uid="{AEF42AFA-F7DD-2F4E-90CA-FFE8F410BBE0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9830C294-C5A4-FE4F-B2BC-80A3546BB7EB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1" authorId="0" shapeId="0" xr:uid="{6C2698D5-8BF3-E342-923E-AE4B3F8A1E6C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47" authorId="1" shapeId="0" xr:uid="{633854A0-1F28-054D-8884-06847872EF07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50" authorId="0" shapeId="0" xr:uid="{6E9C2109-728F-4144-B767-8E91AF87C5C3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Vipond</author>
    <author>Lê Thái Thảo Nghi</author>
  </authors>
  <commentList>
    <comment ref="C2" authorId="0" shapeId="0" xr:uid="{94AFCE1D-5B12-7143-902A-AC565F1C3BE6}">
      <text>
        <r>
          <rPr>
            <sz val="9"/>
            <color rgb="FF000000"/>
            <rFont val="Tahoma"/>
            <family val="2"/>
          </rPr>
          <t>Select price deck in Assumptions section</t>
        </r>
      </text>
    </comment>
    <comment ref="F24" authorId="0" shapeId="0" xr:uid="{126F061A-377E-A648-A520-2FF445B91AF3}">
      <text>
        <r>
          <rPr>
            <sz val="9"/>
            <color rgb="FF000000"/>
            <rFont val="Tahoma"/>
            <family val="2"/>
          </rPr>
          <t>Select Price Deck</t>
        </r>
      </text>
    </comment>
    <comment ref="F59" authorId="1" shapeId="0" xr:uid="{F2FC2585-BF25-064B-949F-BFE3B78FEE2F}">
      <text>
        <r>
          <rPr>
            <b/>
            <sz val="10"/>
            <color rgb="FF000000"/>
            <rFont val="Tahoma"/>
            <family val="2"/>
          </rPr>
          <t xml:space="preserve">?
</t>
        </r>
      </text>
    </comment>
    <comment ref="F62" authorId="0" shapeId="0" xr:uid="{8A9BAAB8-E7CF-1E44-A6D2-890F94E49E6B}">
      <text>
        <r>
          <rPr>
            <sz val="9"/>
            <color rgb="FF000000"/>
            <rFont val="Tahoma"/>
            <family val="2"/>
          </rPr>
          <t xml:space="preserve">Real terms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<sst xmlns="http://schemas.openxmlformats.org/spreadsheetml/2006/main" count="2488" uniqueCount="322">
  <si>
    <t>Comparable Companies Analysis</t>
  </si>
  <si>
    <t>(Currency in USD, in millions except per share data)</t>
  </si>
  <si>
    <t>Current</t>
  </si>
  <si>
    <t>Operations</t>
  </si>
  <si>
    <t>Financials</t>
  </si>
  <si>
    <t>Enterprise Value /</t>
  </si>
  <si>
    <t>Price /</t>
  </si>
  <si>
    <t>Share</t>
  </si>
  <si>
    <t>52-week</t>
  </si>
  <si>
    <t>Equity</t>
  </si>
  <si>
    <t>Enterprise</t>
  </si>
  <si>
    <t>LTM</t>
  </si>
  <si>
    <t>NAV</t>
  </si>
  <si>
    <t>Company</t>
  </si>
  <si>
    <t>Ticker</t>
  </si>
  <si>
    <t>Price</t>
  </si>
  <si>
    <t>High</t>
  </si>
  <si>
    <t>Value</t>
  </si>
  <si>
    <t>ROE</t>
  </si>
  <si>
    <t>Gold Reserves</t>
  </si>
  <si>
    <t>Revenue</t>
  </si>
  <si>
    <t>EBITDA</t>
  </si>
  <si>
    <t>EBIT</t>
  </si>
  <si>
    <t>EPS</t>
  </si>
  <si>
    <t>Per Share</t>
  </si>
  <si>
    <t>Orezone Gold Corp</t>
  </si>
  <si>
    <t>TSX:ORE</t>
  </si>
  <si>
    <t xml:space="preserve">Perseus Mining Limited </t>
  </si>
  <si>
    <t>ASX:PRU</t>
  </si>
  <si>
    <t xml:space="preserve">West African Resources Limited </t>
  </si>
  <si>
    <t>ASX:WAF</t>
  </si>
  <si>
    <t xml:space="preserve">Harmony Gold Mining Company Limited </t>
  </si>
  <si>
    <t>JSE:HAR</t>
  </si>
  <si>
    <t xml:space="preserve">Pan African Resources PLC </t>
  </si>
  <si>
    <t>AIM:PAF</t>
  </si>
  <si>
    <t>Mean</t>
  </si>
  <si>
    <t>Median</t>
  </si>
  <si>
    <t xml:space="preserve">Apex Mining Co., Inc. </t>
  </si>
  <si>
    <t>PSE:APX</t>
  </si>
  <si>
    <t>Mineros S.A.</t>
  </si>
  <si>
    <t>BVC:MINEROS</t>
  </si>
  <si>
    <t xml:space="preserve">Ramelius Resources Limited </t>
  </si>
  <si>
    <t>ASX:RMS</t>
  </si>
  <si>
    <t>Overall</t>
  </si>
  <si>
    <t>Low</t>
  </si>
  <si>
    <t>EV</t>
  </si>
  <si>
    <t>Max</t>
  </si>
  <si>
    <t>Range</t>
  </si>
  <si>
    <t>Min</t>
  </si>
  <si>
    <t>Net debt</t>
  </si>
  <si>
    <t>Share outstanding</t>
  </si>
  <si>
    <t>Share price according to:</t>
  </si>
  <si>
    <t>EV/Revenue</t>
  </si>
  <si>
    <t>EV/EBITDA</t>
  </si>
  <si>
    <t>EV/EBIT</t>
  </si>
  <si>
    <t>P/E</t>
  </si>
  <si>
    <t>P/NAV</t>
  </si>
  <si>
    <t>Share price from regression:</t>
  </si>
  <si>
    <t>Implied price</t>
  </si>
  <si>
    <t>Implied PE</t>
  </si>
  <si>
    <t>x</t>
  </si>
  <si>
    <t>LIVE SCENARIO</t>
  </si>
  <si>
    <t>Units</t>
  </si>
  <si>
    <t>Avg.</t>
  </si>
  <si>
    <t>Total</t>
  </si>
  <si>
    <t>Balance Sheet Check</t>
  </si>
  <si>
    <t>-</t>
  </si>
  <si>
    <t>Assumptions</t>
  </si>
  <si>
    <t>Source</t>
  </si>
  <si>
    <t>Assumption</t>
  </si>
  <si>
    <t>Conversions</t>
  </si>
  <si>
    <t>Curencies</t>
  </si>
  <si>
    <t>Displayed in USD</t>
  </si>
  <si>
    <t>Grams - &gt; Troy Ounces</t>
  </si>
  <si>
    <t>USD -&gt; CAD</t>
  </si>
  <si>
    <t>Pounds - &gt; Metric Tonnes</t>
  </si>
  <si>
    <t>Troy Ounces - &gt; Grams</t>
  </si>
  <si>
    <t>Price Deck</t>
  </si>
  <si>
    <t>Metal Prices</t>
  </si>
  <si>
    <t>Management</t>
  </si>
  <si>
    <t>Consensus</t>
  </si>
  <si>
    <t>Gold</t>
  </si>
  <si>
    <t>Spot</t>
  </si>
  <si>
    <t>Active Price Deck in Model</t>
  </si>
  <si>
    <t>Silver</t>
  </si>
  <si>
    <t>Production Schedule</t>
  </si>
  <si>
    <t>Tech Report 2023</t>
  </si>
  <si>
    <t>Ore Milled</t>
  </si>
  <si>
    <t>tonnes</t>
  </si>
  <si>
    <t>p 55</t>
  </si>
  <si>
    <t>Grade</t>
  </si>
  <si>
    <t>g/t</t>
  </si>
  <si>
    <t>Recovery</t>
  </si>
  <si>
    <t>%</t>
  </si>
  <si>
    <t>% of mine life</t>
  </si>
  <si>
    <t>Reserves &amp; Resources</t>
  </si>
  <si>
    <t>Tonnes</t>
  </si>
  <si>
    <t>Grade (g/t)</t>
  </si>
  <si>
    <t>Contained (oz)</t>
  </si>
  <si>
    <t>R&amp;R statement March 2023</t>
  </si>
  <si>
    <t>Proven</t>
  </si>
  <si>
    <t>Probable</t>
  </si>
  <si>
    <t>2P</t>
  </si>
  <si>
    <t>Strip Ratio</t>
  </si>
  <si>
    <t>Tech Report</t>
  </si>
  <si>
    <t>Mill Capacity</t>
  </si>
  <si>
    <t>p 593</t>
  </si>
  <si>
    <t>Tonnes/day</t>
  </si>
  <si>
    <t>Tonnes/year</t>
  </si>
  <si>
    <t>Royalties</t>
  </si>
  <si>
    <t>Royal Gold</t>
  </si>
  <si>
    <t>p 457</t>
  </si>
  <si>
    <t>Private</t>
  </si>
  <si>
    <t>$/tonne</t>
  </si>
  <si>
    <t>Payability</t>
  </si>
  <si>
    <t>p 56</t>
  </si>
  <si>
    <t>Mine Operating Costs</t>
  </si>
  <si>
    <t>New Cost</t>
  </si>
  <si>
    <t>Mining</t>
  </si>
  <si>
    <t>$/t milled</t>
  </si>
  <si>
    <t>p. 591</t>
  </si>
  <si>
    <t>Processing</t>
  </si>
  <si>
    <t>Transport &amp; Refining</t>
  </si>
  <si>
    <t>General &amp; Admin</t>
  </si>
  <si>
    <t>Corporate G&amp;A</t>
  </si>
  <si>
    <t>$/oz</t>
  </si>
  <si>
    <t>p 625</t>
  </si>
  <si>
    <t>Exploration</t>
  </si>
  <si>
    <t>Capital Costs</t>
  </si>
  <si>
    <t>Expansion Capital</t>
  </si>
  <si>
    <t>p 53</t>
  </si>
  <si>
    <t>Sustaining Capital</t>
  </si>
  <si>
    <t>Weights</t>
  </si>
  <si>
    <t>Growth Capital</t>
  </si>
  <si>
    <t>Reclamation</t>
  </si>
  <si>
    <t>p 54</t>
  </si>
  <si>
    <t>Total Reclamation Costs</t>
  </si>
  <si>
    <t>Financial</t>
  </si>
  <si>
    <t>Filings</t>
  </si>
  <si>
    <t>PP&amp;E Opening Balance</t>
  </si>
  <si>
    <t>Q1 2023</t>
  </si>
  <si>
    <t>Taxes</t>
  </si>
  <si>
    <t xml:space="preserve">Working Capital </t>
  </si>
  <si>
    <t xml:space="preserve">Accounts Receivable days </t>
  </si>
  <si>
    <t>Days in period</t>
  </si>
  <si>
    <t>Accounts Payable days</t>
  </si>
  <si>
    <t>Inventory Days</t>
  </si>
  <si>
    <t>WACC</t>
  </si>
  <si>
    <t>Inflation</t>
  </si>
  <si>
    <t>Discount Rate</t>
  </si>
  <si>
    <t>Stock price</t>
  </si>
  <si>
    <t>Asset Acquisition Cost</t>
  </si>
  <si>
    <t xml:space="preserve">Mining </t>
  </si>
  <si>
    <t>Mining Schedule</t>
  </si>
  <si>
    <t>Mineral Inventory</t>
  </si>
  <si>
    <t>Opening Balance</t>
  </si>
  <si>
    <t>t</t>
  </si>
  <si>
    <t>na</t>
  </si>
  <si>
    <t>Less: Ore Mined/Milled</t>
  </si>
  <si>
    <t>Closing Ore Balance</t>
  </si>
  <si>
    <t>Waste Mined</t>
  </si>
  <si>
    <t>Total Material Moved</t>
  </si>
  <si>
    <t>Ore mined</t>
  </si>
  <si>
    <t>Gold Grade</t>
  </si>
  <si>
    <t>Contained Gold</t>
  </si>
  <si>
    <t>oz</t>
  </si>
  <si>
    <t>Milling Schedule</t>
  </si>
  <si>
    <t>Mill Feed</t>
  </si>
  <si>
    <t>Production</t>
  </si>
  <si>
    <t>Payable Metal</t>
  </si>
  <si>
    <t>Tonnage</t>
  </si>
  <si>
    <t>Financial Statements</t>
  </si>
  <si>
    <t>Gross Revenue</t>
  </si>
  <si>
    <t>$</t>
  </si>
  <si>
    <t>Total Revenue</t>
  </si>
  <si>
    <t>Average</t>
  </si>
  <si>
    <t>Total Royalties</t>
  </si>
  <si>
    <t>Unit Operating Costs</t>
  </si>
  <si>
    <t>Total Operating Costs</t>
  </si>
  <si>
    <t>Total Operating Costs (By-Product)</t>
  </si>
  <si>
    <t>Total Capital Costs</t>
  </si>
  <si>
    <t>All-In Costs</t>
  </si>
  <si>
    <t>By-Product Cash Cost</t>
  </si>
  <si>
    <t>Total Capital</t>
  </si>
  <si>
    <t>Depreciation</t>
  </si>
  <si>
    <t>% of production</t>
  </si>
  <si>
    <t>Add: Capital Expenditures</t>
  </si>
  <si>
    <t>Subtotal</t>
  </si>
  <si>
    <t>Less: Depreciation</t>
  </si>
  <si>
    <t>Closing Balance</t>
  </si>
  <si>
    <t>Interest</t>
  </si>
  <si>
    <t>Net Income</t>
  </si>
  <si>
    <t>Asset Level Balance Sheet Items</t>
  </si>
  <si>
    <t>Accounts Receivable</t>
  </si>
  <si>
    <t>Inventory</t>
  </si>
  <si>
    <t>Accounts Payable</t>
  </si>
  <si>
    <t>Non-cash working capital</t>
  </si>
  <si>
    <t>Change in non-cash working capital</t>
  </si>
  <si>
    <t>Model</t>
  </si>
  <si>
    <t>Free Cash Flow</t>
  </si>
  <si>
    <t>Adjustments:</t>
  </si>
  <si>
    <t>Plus:</t>
  </si>
  <si>
    <t>Less:</t>
  </si>
  <si>
    <t>Capex</t>
  </si>
  <si>
    <t>Increase in NWC</t>
  </si>
  <si>
    <t>Total Adjustments</t>
  </si>
  <si>
    <t>Discount Rate/Factor</t>
  </si>
  <si>
    <t>Discounted Cash Flow</t>
  </si>
  <si>
    <r>
      <rPr>
        <i/>
        <sz val="11"/>
        <color theme="1"/>
        <rFont val="Arial Narrow"/>
        <family val="2"/>
      </rPr>
      <t xml:space="preserve">Asset NPV </t>
    </r>
    <r>
      <rPr>
        <b/>
        <i/>
        <sz val="11"/>
        <color theme="1"/>
        <rFont val="Arial Narrow"/>
        <family val="2"/>
      </rPr>
      <t>November 2024</t>
    </r>
  </si>
  <si>
    <t>Asset IRR</t>
  </si>
  <si>
    <t>Transaction NPV</t>
  </si>
  <si>
    <t>Purchase Price</t>
  </si>
  <si>
    <t>Undiscounted Cash Flow</t>
  </si>
  <si>
    <t>Transaction IRR</t>
  </si>
  <si>
    <t>Net Cash Flow</t>
  </si>
  <si>
    <t>Payback</t>
  </si>
  <si>
    <t>Free Cash Flow (undiscounted)</t>
  </si>
  <si>
    <t>Cumulative</t>
  </si>
  <si>
    <t>Years</t>
  </si>
  <si>
    <t>Asset NPV</t>
  </si>
  <si>
    <t>Minority interest</t>
  </si>
  <si>
    <t>Cash &amp; Cash equivalent</t>
  </si>
  <si>
    <t>Debt</t>
  </si>
  <si>
    <t>Asset NAV November 2024</t>
  </si>
  <si>
    <t>Shares Out.</t>
  </si>
  <si>
    <t>NAV/Shares</t>
  </si>
  <si>
    <t>Sensitivity Analysis</t>
  </si>
  <si>
    <t>Mine NPV</t>
  </si>
  <si>
    <t>Breakeven Gold</t>
  </si>
  <si>
    <t>IRR</t>
  </si>
  <si>
    <t>Gold Price</t>
  </si>
  <si>
    <t>NPV $M</t>
  </si>
  <si>
    <t>Charts &amp; Graphs</t>
  </si>
  <si>
    <t>Operating Cash Flow</t>
  </si>
  <si>
    <t>Cumulative Free Cash Flow</t>
  </si>
  <si>
    <t>Gold Production</t>
  </si>
  <si>
    <t>All-In Cost</t>
  </si>
  <si>
    <t>USD -&gt; AUD</t>
  </si>
  <si>
    <t>FS 2015</t>
  </si>
  <si>
    <t>Sissingué</t>
  </si>
  <si>
    <t>Assumptions made</t>
  </si>
  <si>
    <t>Tech Report 2021</t>
  </si>
  <si>
    <t>Edikan</t>
  </si>
  <si>
    <t>Yaouré</t>
  </si>
  <si>
    <t>R&amp;R statement June 2024</t>
  </si>
  <si>
    <t>Tech Reports</t>
  </si>
  <si>
    <t>Sissingue LOMP 2018</t>
  </si>
  <si>
    <t>p12</t>
  </si>
  <si>
    <t>p 203</t>
  </si>
  <si>
    <t>p48</t>
  </si>
  <si>
    <t>Percentage</t>
  </si>
  <si>
    <t>CAGR</t>
  </si>
  <si>
    <t xml:space="preserve">Sissingue FS </t>
  </si>
  <si>
    <t>p 5</t>
  </si>
  <si>
    <t>Annual Report 2024</t>
  </si>
  <si>
    <t>Eidkan Tech Report 2021</t>
  </si>
  <si>
    <t>p 236</t>
  </si>
  <si>
    <t>Yaoure Tech Report 2023</t>
  </si>
  <si>
    <t>Development Capital</t>
  </si>
  <si>
    <t>p 41</t>
  </si>
  <si>
    <t>Annual Report FY2024</t>
  </si>
  <si>
    <t>p 37</t>
  </si>
  <si>
    <t>Risk-free rate</t>
  </si>
  <si>
    <t>Beta</t>
  </si>
  <si>
    <t>Risk premium</t>
  </si>
  <si>
    <t>Cost of equity</t>
  </si>
  <si>
    <t>D/E+D</t>
  </si>
  <si>
    <t>Cost of debt</t>
  </si>
  <si>
    <t>Kiaka</t>
  </si>
  <si>
    <t>Sanbrado</t>
  </si>
  <si>
    <t>(Weighted average)</t>
  </si>
  <si>
    <t>All-In Costs per unit</t>
  </si>
  <si>
    <t>Updates on Production Target</t>
  </si>
  <si>
    <t>Annual Reports</t>
  </si>
  <si>
    <t>F5Y</t>
  </si>
  <si>
    <t>L5Y</t>
  </si>
  <si>
    <t>Annual Reports 2023</t>
  </si>
  <si>
    <t>Assumption based on mill capacity</t>
  </si>
  <si>
    <t>Operating cost</t>
  </si>
  <si>
    <t>G&amp;A</t>
  </si>
  <si>
    <t>$/t</t>
  </si>
  <si>
    <t>Earnings</t>
  </si>
  <si>
    <t>Hemco</t>
  </si>
  <si>
    <t>Nechi Alluvial</t>
  </si>
  <si>
    <t>Barberton</t>
  </si>
  <si>
    <t>Evander</t>
  </si>
  <si>
    <t>West Rand</t>
  </si>
  <si>
    <t>\</t>
  </si>
  <si>
    <t>Grade (oz/t)</t>
  </si>
  <si>
    <t>South Africa Underground</t>
  </si>
  <si>
    <t>South Africa Surface</t>
  </si>
  <si>
    <t>Papua New Guinea</t>
  </si>
  <si>
    <t>Lundin Gold Inc.</t>
  </si>
  <si>
    <t>Earnings (Gold only)</t>
  </si>
  <si>
    <t>Free Cash Flow (Gold only)</t>
  </si>
  <si>
    <t>Oct 25th 2024</t>
  </si>
  <si>
    <t>2P ('000 oz)</t>
  </si>
  <si>
    <t>TSX:LUG</t>
  </si>
  <si>
    <t>Tier 1: Primary mines in Africa</t>
  </si>
  <si>
    <t xml:space="preserve">Tier 2:  Worldwide/non-African mines </t>
  </si>
  <si>
    <t>NAV $M</t>
  </si>
  <si>
    <t>NAVPS $</t>
  </si>
  <si>
    <r>
      <t xml:space="preserve">Asset NPV </t>
    </r>
    <r>
      <rPr>
        <b/>
        <i/>
        <sz val="11"/>
        <color theme="1"/>
        <rFont val="Arial"/>
        <family val="2"/>
      </rPr>
      <t>November 2024</t>
    </r>
  </si>
  <si>
    <t>Minority Interest</t>
  </si>
  <si>
    <t xml:space="preserve"> Asset NAV</t>
  </si>
  <si>
    <t xml:space="preserve"> Net Asset Value</t>
  </si>
  <si>
    <t xml:space="preserve"> Net Present Value of Free Cash Flow</t>
  </si>
  <si>
    <t xml:space="preserve"> AISC (USD/oz)</t>
  </si>
  <si>
    <t xml:space="preserve"> Tax</t>
  </si>
  <si>
    <t xml:space="preserve"> P&amp;P Reserves (oz)</t>
  </si>
  <si>
    <t xml:space="preserve"> Total Revenue (USD)</t>
  </si>
  <si>
    <t>Gold price</t>
  </si>
  <si>
    <t xml:space="preserve"> Mining</t>
  </si>
  <si>
    <t xml:space="preserve"> Processing</t>
  </si>
  <si>
    <t xml:space="preserve"> Transport &amp; Refining</t>
  </si>
  <si>
    <t xml:space="preserve"> General &amp; Admin</t>
  </si>
  <si>
    <t xml:space="preserve"> Depreciation</t>
  </si>
  <si>
    <t xml:space="preserve"> EBIT</t>
  </si>
  <si>
    <t>Discount rate</t>
  </si>
  <si>
    <t xml:space="preserve"> Present Value of Free Cash Flow</t>
  </si>
  <si>
    <t xml:space="preserve">  Asset NAV</t>
  </si>
  <si>
    <t>PV of Free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</si>
</sst>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#,##0.0_);\(#,##0.0\)"/>
    <numFmt numFmtId="167" formatCode="0.0\x"/>
    <numFmt numFmtId="168" formatCode="_-* #,##0_-;\(#,##0\)_-;_-* &quot;-&quot;_-;_-@_-"/>
    <numFmt numFmtId="169" formatCode="_(* #,##0_);_(* \(#,##0\);_(* &quot;-&quot;??_);_(@_)"/>
    <numFmt numFmtId="170" formatCode="_(* #,##0.00000_);_(* \(#,##0.00000\);_(* &quot;-&quot;??_);_(@_)"/>
    <numFmt numFmtId="171" formatCode="_(* #,##0.0000_);_(* \(#,##0.0000\);_(* &quot;-&quot;??_);_(@_)"/>
    <numFmt numFmtId="172" formatCode="_(* #,##0.000_);_(* \(#,##0.000\);_(* &quot;-&quot;??_);_(@_)"/>
    <numFmt numFmtId="173" formatCode="0&quot;E&quot;"/>
    <numFmt numFmtId="174" formatCode="* _(##,##0_);[Red]* \(##,##0\);* _(&quot;-&quot;?_);_(@_)"/>
    <numFmt numFmtId="175" formatCode="* _(###,#00.0_);[Red]* \(###,#00.0\);* _(&quot;-&quot;?_);_(@_)"/>
    <numFmt numFmtId="176" formatCode="0.00\x"/>
    <numFmt numFmtId="177" formatCode="_(* #,##0.0_);_(* \(#,##0.0\);_(* &quot;-&quot;??_);_(@_)"/>
    <numFmt numFmtId="178" formatCode="0.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6"/>
      <color theme="0"/>
      <name val="Arial Narrow"/>
      <family val="2"/>
    </font>
    <font>
      <b/>
      <sz val="14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i/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color theme="0"/>
      <name val="Arial Narrow"/>
      <family val="2"/>
    </font>
    <font>
      <sz val="11"/>
      <color rgb="FF2007B9"/>
      <name val="Arial Narrow"/>
      <family val="2"/>
    </font>
    <font>
      <b/>
      <sz val="11"/>
      <color rgb="FF2007B9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rgb="FF132E57"/>
      <name val="Calibri"/>
      <family val="2"/>
      <scheme val="minor"/>
    </font>
    <font>
      <b/>
      <i/>
      <sz val="11"/>
      <color theme="1"/>
      <name val="Arial Narrow"/>
      <family val="2"/>
    </font>
    <font>
      <sz val="11"/>
      <color theme="0"/>
      <name val="Arial"/>
      <family val="2"/>
    </font>
    <font>
      <b/>
      <sz val="10"/>
      <color rgb="FF132E57"/>
      <name val="Arial"/>
      <family val="2"/>
    </font>
    <font>
      <i/>
      <sz val="11"/>
      <color theme="0"/>
      <name val="Arial"/>
      <family val="2"/>
    </font>
    <font>
      <b/>
      <sz val="16"/>
      <color theme="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2007B9"/>
      <name val="Arial"/>
      <family val="2"/>
    </font>
    <font>
      <sz val="11"/>
      <name val="Arial"/>
      <family val="2"/>
    </font>
    <font>
      <b/>
      <sz val="11"/>
      <color rgb="FF2007B9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b/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5"/>
      <color theme="0"/>
      <name val="Arial"/>
      <family val="2"/>
    </font>
    <font>
      <i/>
      <sz val="8"/>
      <color theme="0"/>
      <name val="Arial"/>
      <family val="2"/>
    </font>
    <font>
      <sz val="8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u/>
      <sz val="11"/>
      <color theme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44669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</cellStyleXfs>
  <cellXfs count="530">
    <xf numFmtId="0" fontId="0" fillId="0" borderId="0" xfId="0"/>
    <xf numFmtId="168" fontId="6" fillId="0" borderId="0" xfId="3" applyNumberFormat="1" applyFont="1" applyProtection="1">
      <protection locked="0"/>
    </xf>
    <xf numFmtId="168" fontId="10" fillId="0" borderId="0" xfId="3" applyNumberFormat="1" applyFont="1" applyProtection="1">
      <protection locked="0"/>
    </xf>
    <xf numFmtId="168" fontId="10" fillId="0" borderId="0" xfId="3" applyNumberFormat="1" applyFont="1" applyAlignment="1" applyProtection="1">
      <alignment horizontal="center"/>
      <protection locked="0"/>
    </xf>
    <xf numFmtId="168" fontId="10" fillId="0" borderId="0" xfId="3" applyNumberFormat="1" applyFont="1" applyAlignment="1">
      <alignment horizontal="right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170" fontId="14" fillId="0" borderId="1" xfId="2" applyNumberFormat="1" applyFont="1" applyBorder="1" applyProtection="1">
      <protection hidden="1"/>
    </xf>
    <xf numFmtId="170" fontId="14" fillId="0" borderId="0" xfId="2" applyNumberFormat="1" applyFont="1" applyProtection="1">
      <protection hidden="1"/>
    </xf>
    <xf numFmtId="0" fontId="14" fillId="0" borderId="0" xfId="0" applyFont="1" applyProtection="1">
      <protection hidden="1"/>
    </xf>
    <xf numFmtId="0" fontId="8" fillId="0" borderId="1" xfId="0" applyFont="1" applyBorder="1" applyProtection="1">
      <protection hidden="1"/>
    </xf>
    <xf numFmtId="169" fontId="14" fillId="0" borderId="1" xfId="2" applyNumberFormat="1" applyFont="1" applyBorder="1" applyProtection="1">
      <protection hidden="1"/>
    </xf>
    <xf numFmtId="169" fontId="12" fillId="0" borderId="1" xfId="2" applyNumberFormat="1" applyFont="1" applyBorder="1" applyProtection="1">
      <protection hidden="1"/>
    </xf>
    <xf numFmtId="169" fontId="14" fillId="0" borderId="0" xfId="2" applyNumberFormat="1" applyFont="1" applyProtection="1">
      <protection hidden="1"/>
    </xf>
    <xf numFmtId="169" fontId="12" fillId="0" borderId="0" xfId="2" applyNumberFormat="1" applyFont="1" applyProtection="1">
      <protection hidden="1"/>
    </xf>
    <xf numFmtId="0" fontId="14" fillId="0" borderId="2" xfId="0" applyFont="1" applyBorder="1" applyAlignment="1" applyProtection="1">
      <alignment horizontal="center"/>
      <protection hidden="1"/>
    </xf>
    <xf numFmtId="43" fontId="14" fillId="0" borderId="0" xfId="2" applyFont="1" applyProtection="1">
      <protection hidden="1"/>
    </xf>
    <xf numFmtId="165" fontId="14" fillId="0" borderId="0" xfId="1" applyNumberFormat="1" applyFont="1" applyProtection="1">
      <protection hidden="1"/>
    </xf>
    <xf numFmtId="43" fontId="14" fillId="0" borderId="1" xfId="2" applyFont="1" applyBorder="1" applyProtection="1">
      <protection hidden="1"/>
    </xf>
    <xf numFmtId="43" fontId="12" fillId="0" borderId="1" xfId="2" applyFont="1" applyBorder="1" applyProtection="1">
      <protection hidden="1"/>
    </xf>
    <xf numFmtId="169" fontId="12" fillId="0" borderId="1" xfId="0" applyNumberFormat="1" applyFont="1" applyBorder="1" applyProtection="1"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165" fontId="14" fillId="0" borderId="0" xfId="0" applyNumberFormat="1" applyFont="1" applyProtection="1">
      <protection hidden="1"/>
    </xf>
    <xf numFmtId="43" fontId="12" fillId="0" borderId="1" xfId="2" applyFont="1" applyBorder="1" applyAlignment="1" applyProtection="1">
      <alignment horizontal="right"/>
      <protection hidden="1"/>
    </xf>
    <xf numFmtId="169" fontId="14" fillId="0" borderId="0" xfId="2" applyNumberFormat="1" applyFont="1"/>
    <xf numFmtId="169" fontId="14" fillId="0" borderId="1" xfId="2" applyNumberFormat="1" applyFont="1" applyBorder="1"/>
    <xf numFmtId="9" fontId="14" fillId="0" borderId="0" xfId="0" applyNumberFormat="1" applyFont="1" applyProtection="1">
      <protection hidden="1"/>
    </xf>
    <xf numFmtId="0" fontId="14" fillId="0" borderId="1" xfId="0" applyFont="1" applyBorder="1" applyProtection="1">
      <protection hidden="1"/>
    </xf>
    <xf numFmtId="0" fontId="8" fillId="0" borderId="0" xfId="0" applyFont="1"/>
    <xf numFmtId="0" fontId="6" fillId="0" borderId="0" xfId="0" applyFont="1"/>
    <xf numFmtId="37" fontId="12" fillId="0" borderId="0" xfId="2" applyNumberFormat="1" applyFont="1"/>
    <xf numFmtId="169" fontId="12" fillId="0" borderId="0" xfId="0" applyNumberFormat="1" applyFont="1" applyProtection="1">
      <protection hidden="1"/>
    </xf>
    <xf numFmtId="166" fontId="12" fillId="0" borderId="0" xfId="2" applyNumberFormat="1" applyFont="1"/>
    <xf numFmtId="169" fontId="6" fillId="0" borderId="0" xfId="2" applyNumberFormat="1" applyFont="1"/>
    <xf numFmtId="39" fontId="12" fillId="0" borderId="0" xfId="2" applyNumberFormat="1" applyFont="1"/>
    <xf numFmtId="169" fontId="12" fillId="0" borderId="0" xfId="2" quotePrefix="1" applyNumberFormat="1" applyFont="1"/>
    <xf numFmtId="165" fontId="12" fillId="0" borderId="0" xfId="1" applyNumberFormat="1" applyFont="1"/>
    <xf numFmtId="169" fontId="8" fillId="0" borderId="0" xfId="2" applyNumberFormat="1" applyFont="1"/>
    <xf numFmtId="169" fontId="8" fillId="0" borderId="0" xfId="2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37" fontId="8" fillId="0" borderId="0" xfId="0" applyNumberFormat="1" applyFont="1" applyAlignment="1">
      <alignment horizontal="center"/>
    </xf>
    <xf numFmtId="169" fontId="8" fillId="0" borderId="1" xfId="2" applyNumberFormat="1" applyFont="1" applyBorder="1"/>
    <xf numFmtId="171" fontId="12" fillId="0" borderId="0" xfId="2" applyNumberFormat="1" applyFont="1"/>
    <xf numFmtId="37" fontId="8" fillId="0" borderId="0" xfId="2" applyNumberFormat="1" applyFont="1" applyAlignment="1">
      <alignment horizontal="center"/>
    </xf>
    <xf numFmtId="9" fontId="8" fillId="0" borderId="0" xfId="1" applyFont="1" applyAlignment="1">
      <alignment horizontal="center"/>
    </xf>
    <xf numFmtId="0" fontId="8" fillId="0" borderId="0" xfId="0" applyFont="1" applyAlignment="1" applyProtection="1">
      <alignment horizontal="centerContinuous"/>
      <protection hidden="1"/>
    </xf>
    <xf numFmtId="9" fontId="3" fillId="0" borderId="0" xfId="0" applyNumberFormat="1" applyFont="1" applyProtection="1">
      <protection hidden="1"/>
    </xf>
    <xf numFmtId="0" fontId="11" fillId="0" borderId="0" xfId="0" applyFont="1"/>
    <xf numFmtId="0" fontId="3" fillId="0" borderId="0" xfId="0" applyFont="1"/>
    <xf numFmtId="0" fontId="6" fillId="0" borderId="0" xfId="0" applyFont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Continuous" vertical="center"/>
      <protection hidden="1"/>
    </xf>
    <xf numFmtId="0" fontId="3" fillId="2" borderId="0" xfId="0" applyFont="1" applyFill="1" applyAlignment="1" applyProtection="1">
      <alignment horizontal="centerContinuous" vertical="center"/>
      <protection hidden="1"/>
    </xf>
    <xf numFmtId="37" fontId="15" fillId="0" borderId="0" xfId="2" applyNumberFormat="1" applyFont="1" applyAlignment="1">
      <alignment horizontal="right"/>
    </xf>
    <xf numFmtId="43" fontId="3" fillId="0" borderId="0" xfId="0" applyNumberFormat="1" applyFont="1" applyProtection="1">
      <protection hidden="1"/>
    </xf>
    <xf numFmtId="37" fontId="12" fillId="0" borderId="0" xfId="0" applyNumberFormat="1" applyFont="1"/>
    <xf numFmtId="173" fontId="16" fillId="0" borderId="0" xfId="0" applyNumberFormat="1" applyFont="1"/>
    <xf numFmtId="37" fontId="12" fillId="0" borderId="1" xfId="2" applyNumberFormat="1" applyFont="1" applyBorder="1"/>
    <xf numFmtId="37" fontId="12" fillId="0" borderId="1" xfId="0" applyNumberFormat="1" applyFont="1" applyBorder="1"/>
    <xf numFmtId="9" fontId="12" fillId="0" borderId="0" xfId="1" applyFont="1" applyProtection="1">
      <protection hidden="1"/>
    </xf>
    <xf numFmtId="37" fontId="9" fillId="0" borderId="0" xfId="0" applyNumberFormat="1" applyFont="1" applyProtection="1">
      <protection hidden="1"/>
    </xf>
    <xf numFmtId="43" fontId="9" fillId="0" borderId="5" xfId="2" applyFont="1" applyBorder="1" applyProtection="1">
      <protection hidden="1"/>
    </xf>
    <xf numFmtId="3" fontId="9" fillId="0" borderId="4" xfId="0" applyNumberFormat="1" applyFont="1" applyBorder="1" applyProtection="1">
      <protection hidden="1"/>
    </xf>
    <xf numFmtId="165" fontId="9" fillId="0" borderId="5" xfId="1" applyNumberFormat="1" applyFont="1" applyBorder="1" applyProtection="1">
      <protection hidden="1"/>
    </xf>
    <xf numFmtId="0" fontId="8" fillId="0" borderId="1" xfId="0" applyFont="1" applyBorder="1"/>
    <xf numFmtId="37" fontId="8" fillId="0" borderId="1" xfId="0" applyNumberFormat="1" applyFont="1" applyBorder="1" applyAlignment="1">
      <alignment horizontal="center"/>
    </xf>
    <xf numFmtId="169" fontId="8" fillId="0" borderId="1" xfId="2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center"/>
    </xf>
    <xf numFmtId="43" fontId="12" fillId="0" borderId="0" xfId="2" applyFont="1" applyProtection="1">
      <protection hidden="1"/>
    </xf>
    <xf numFmtId="43" fontId="12" fillId="0" borderId="0" xfId="2" applyFont="1" applyAlignment="1" applyProtection="1">
      <alignment horizontal="right"/>
      <protection hidden="1"/>
    </xf>
    <xf numFmtId="0" fontId="11" fillId="3" borderId="0" xfId="0" applyFont="1" applyFill="1"/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9" fontId="11" fillId="3" borderId="0" xfId="2" applyNumberFormat="1" applyFont="1" applyFill="1"/>
    <xf numFmtId="169" fontId="12" fillId="3" borderId="0" xfId="2" applyNumberFormat="1" applyFont="1" applyFill="1"/>
    <xf numFmtId="169" fontId="12" fillId="3" borderId="0" xfId="2" applyNumberFormat="1" applyFont="1" applyFill="1" applyAlignment="1">
      <alignment horizontal="center"/>
    </xf>
    <xf numFmtId="0" fontId="8" fillId="3" borderId="0" xfId="0" applyFont="1" applyFill="1" applyProtection="1">
      <protection hidden="1"/>
    </xf>
    <xf numFmtId="0" fontId="1" fillId="0" borderId="0" xfId="0" applyFont="1" applyProtection="1">
      <protection hidden="1"/>
    </xf>
    <xf numFmtId="169" fontId="1" fillId="0" borderId="0" xfId="2" applyNumberFormat="1" applyFont="1"/>
    <xf numFmtId="169" fontId="1" fillId="0" borderId="0" xfId="2" applyNumberFormat="1" applyFont="1" applyAlignment="1">
      <alignment horizontal="center"/>
    </xf>
    <xf numFmtId="0" fontId="1" fillId="0" borderId="0" xfId="0" applyFont="1"/>
    <xf numFmtId="169" fontId="12" fillId="0" borderId="0" xfId="2" applyNumberFormat="1" applyFont="1" applyBorder="1" applyProtection="1">
      <protection hidden="1"/>
    </xf>
    <xf numFmtId="169" fontId="14" fillId="0" borderId="0" xfId="2" applyNumberFormat="1" applyFont="1" applyBorder="1" applyProtection="1">
      <protection hidden="1"/>
    </xf>
    <xf numFmtId="10" fontId="14" fillId="0" borderId="0" xfId="1" applyNumberFormat="1" applyFont="1" applyProtection="1">
      <protection hidden="1"/>
    </xf>
    <xf numFmtId="10" fontId="14" fillId="0" borderId="1" xfId="0" applyNumberFormat="1" applyFont="1" applyBorder="1" applyProtection="1">
      <protection hidden="1"/>
    </xf>
    <xf numFmtId="10" fontId="12" fillId="0" borderId="0" xfId="1" applyNumberFormat="1" applyFont="1"/>
    <xf numFmtId="0" fontId="8" fillId="0" borderId="3" xfId="0" applyFont="1" applyBorder="1" applyProtection="1">
      <protection hidden="1"/>
    </xf>
    <xf numFmtId="43" fontId="14" fillId="0" borderId="0" xfId="2" applyFont="1" applyFill="1" applyProtection="1">
      <protection hidden="1"/>
    </xf>
    <xf numFmtId="43" fontId="8" fillId="0" borderId="1" xfId="2" applyFont="1" applyBorder="1"/>
    <xf numFmtId="17" fontId="1" fillId="0" borderId="0" xfId="0" applyNumberFormat="1" applyFont="1" applyProtection="1">
      <protection hidden="1"/>
    </xf>
    <xf numFmtId="169" fontId="1" fillId="4" borderId="0" xfId="2" applyNumberFormat="1" applyFont="1" applyFill="1"/>
    <xf numFmtId="169" fontId="1" fillId="4" borderId="0" xfId="2" applyNumberFormat="1" applyFont="1" applyFill="1" applyAlignment="1">
      <alignment horizontal="center"/>
    </xf>
    <xf numFmtId="0" fontId="1" fillId="0" borderId="1" xfId="0" applyFont="1" applyBorder="1" applyProtection="1">
      <protection hidden="1"/>
    </xf>
    <xf numFmtId="169" fontId="9" fillId="0" borderId="1" xfId="2" applyNumberFormat="1" applyFont="1" applyBorder="1" applyAlignment="1">
      <alignment horizontal="center"/>
    </xf>
    <xf numFmtId="10" fontId="12" fillId="0" borderId="0" xfId="1" applyNumberFormat="1" applyFont="1" applyAlignment="1">
      <alignment horizontal="center"/>
    </xf>
    <xf numFmtId="2" fontId="14" fillId="0" borderId="0" xfId="1" applyNumberFormat="1" applyFont="1" applyProtection="1">
      <protection hidden="1"/>
    </xf>
    <xf numFmtId="0" fontId="1" fillId="0" borderId="0" xfId="0" applyFont="1" applyAlignment="1" applyProtection="1">
      <alignment horizontal="right"/>
      <protection hidden="1"/>
    </xf>
    <xf numFmtId="0" fontId="1" fillId="0" borderId="3" xfId="0" applyFont="1" applyBorder="1" applyAlignment="1" applyProtection="1">
      <alignment horizontal="right"/>
      <protection hidden="1"/>
    </xf>
    <xf numFmtId="175" fontId="22" fillId="5" borderId="0" xfId="0" applyNumberFormat="1" applyFont="1" applyFill="1" applyAlignment="1">
      <alignment horizontal="right"/>
    </xf>
    <xf numFmtId="0" fontId="23" fillId="5" borderId="0" xfId="0" applyFont="1" applyFill="1"/>
    <xf numFmtId="37" fontId="3" fillId="5" borderId="0" xfId="0" applyNumberFormat="1" applyFont="1" applyFill="1" applyAlignment="1">
      <alignment vertical="top"/>
    </xf>
    <xf numFmtId="14" fontId="3" fillId="5" borderId="0" xfId="0" applyNumberFormat="1" applyFont="1" applyFill="1" applyAlignment="1">
      <alignment vertical="top"/>
    </xf>
    <xf numFmtId="168" fontId="13" fillId="5" borderId="0" xfId="3" applyNumberFormat="1" applyFont="1" applyFill="1" applyAlignment="1" applyProtection="1">
      <alignment horizontal="left"/>
      <protection locked="0"/>
    </xf>
    <xf numFmtId="168" fontId="3" fillId="5" borderId="0" xfId="3" applyNumberFormat="1" applyFont="1" applyFill="1" applyProtection="1">
      <protection locked="0"/>
    </xf>
    <xf numFmtId="37" fontId="13" fillId="5" borderId="2" xfId="3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Alignment="1">
      <alignment horizontal="center"/>
    </xf>
    <xf numFmtId="173" fontId="4" fillId="5" borderId="0" xfId="0" applyNumberFormat="1" applyFont="1" applyFill="1"/>
    <xf numFmtId="37" fontId="5" fillId="5" borderId="0" xfId="0" applyNumberFormat="1" applyFont="1" applyFill="1" applyAlignment="1">
      <alignment vertical="center"/>
    </xf>
    <xf numFmtId="37" fontId="7" fillId="5" borderId="0" xfId="2" applyNumberFormat="1" applyFont="1" applyFill="1" applyAlignment="1">
      <alignment horizontal="center"/>
    </xf>
    <xf numFmtId="37" fontId="7" fillId="5" borderId="0" xfId="2" applyNumberFormat="1" applyFont="1" applyFill="1" applyAlignment="1">
      <alignment horizontal="right"/>
    </xf>
    <xf numFmtId="39" fontId="7" fillId="5" borderId="0" xfId="2" applyNumberFormat="1" applyFont="1" applyFill="1" applyAlignment="1">
      <alignment horizontal="right"/>
    </xf>
    <xf numFmtId="37" fontId="7" fillId="0" borderId="0" xfId="2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9" fontId="10" fillId="0" borderId="0" xfId="2" applyNumberFormat="1" applyFont="1" applyFill="1"/>
    <xf numFmtId="0" fontId="24" fillId="0" borderId="0" xfId="0" applyFont="1" applyProtection="1">
      <protection hidden="1"/>
    </xf>
    <xf numFmtId="43" fontId="14" fillId="0" borderId="0" xfId="2" applyFont="1" applyBorder="1" applyProtection="1">
      <protection hidden="1"/>
    </xf>
    <xf numFmtId="43" fontId="12" fillId="0" borderId="0" xfId="2" applyFont="1" applyBorder="1" applyAlignment="1" applyProtection="1">
      <alignment horizontal="right"/>
      <protection hidden="1"/>
    </xf>
    <xf numFmtId="43" fontId="12" fillId="0" borderId="0" xfId="2" applyFont="1" applyBorder="1" applyProtection="1">
      <protection hidden="1"/>
    </xf>
    <xf numFmtId="9" fontId="14" fillId="0" borderId="0" xfId="1" applyFont="1" applyProtection="1">
      <protection hidden="1"/>
    </xf>
    <xf numFmtId="43" fontId="12" fillId="0" borderId="3" xfId="2" applyFont="1" applyBorder="1" applyProtection="1">
      <protection hidden="1"/>
    </xf>
    <xf numFmtId="0" fontId="0" fillId="0" borderId="3" xfId="0" applyBorder="1"/>
    <xf numFmtId="0" fontId="1" fillId="0" borderId="3" xfId="0" applyFont="1" applyBorder="1" applyProtection="1">
      <protection hidden="1"/>
    </xf>
    <xf numFmtId="169" fontId="12" fillId="0" borderId="3" xfId="2" applyNumberFormat="1" applyFont="1" applyBorder="1" applyProtection="1">
      <protection hidden="1"/>
    </xf>
    <xf numFmtId="169" fontId="1" fillId="0" borderId="0" xfId="2" applyNumberFormat="1" applyFont="1" applyBorder="1" applyProtection="1">
      <protection hidden="1"/>
    </xf>
    <xf numFmtId="10" fontId="12" fillId="0" borderId="0" xfId="1" applyNumberFormat="1" applyFont="1" applyProtection="1">
      <protection hidden="1"/>
    </xf>
    <xf numFmtId="43" fontId="1" fillId="0" borderId="0" xfId="2" applyFont="1" applyProtection="1">
      <protection hidden="1"/>
    </xf>
    <xf numFmtId="169" fontId="8" fillId="0" borderId="1" xfId="0" applyNumberFormat="1" applyFont="1" applyBorder="1"/>
    <xf numFmtId="169" fontId="11" fillId="0" borderId="1" xfId="2" quotePrefix="1" applyNumberFormat="1" applyFont="1" applyBorder="1"/>
    <xf numFmtId="39" fontId="12" fillId="0" borderId="3" xfId="2" applyNumberFormat="1" applyFont="1" applyBorder="1"/>
    <xf numFmtId="169" fontId="12" fillId="0" borderId="3" xfId="2" quotePrefix="1" applyNumberFormat="1" applyFont="1" applyBorder="1"/>
    <xf numFmtId="169" fontId="8" fillId="0" borderId="0" xfId="2" applyNumberFormat="1" applyFont="1" applyBorder="1"/>
    <xf numFmtId="169" fontId="8" fillId="0" borderId="0" xfId="2" applyNumberFormat="1" applyFont="1" applyBorder="1" applyAlignment="1">
      <alignment horizontal="center"/>
    </xf>
    <xf numFmtId="169" fontId="8" fillId="0" borderId="0" xfId="0" applyNumberFormat="1" applyFont="1" applyAlignment="1">
      <alignment horizontal="center"/>
    </xf>
    <xf numFmtId="43" fontId="8" fillId="0" borderId="0" xfId="2" applyFont="1" applyBorder="1"/>
    <xf numFmtId="43" fontId="12" fillId="0" borderId="3" xfId="2" applyFont="1" applyBorder="1" applyAlignment="1" applyProtection="1">
      <alignment horizontal="right"/>
      <protection hidden="1"/>
    </xf>
    <xf numFmtId="165" fontId="14" fillId="0" borderId="3" xfId="0" applyNumberFormat="1" applyFont="1" applyBorder="1" applyProtection="1">
      <protection hidden="1"/>
    </xf>
    <xf numFmtId="169" fontId="9" fillId="0" borderId="0" xfId="2" applyNumberFormat="1" applyFont="1" applyAlignment="1">
      <alignment horizontal="center"/>
    </xf>
    <xf numFmtId="0" fontId="1" fillId="3" borderId="0" xfId="0" applyFont="1" applyFill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169" fontId="1" fillId="0" borderId="1" xfId="0" applyNumberFormat="1" applyFont="1" applyBorder="1" applyProtection="1">
      <protection hidden="1"/>
    </xf>
    <xf numFmtId="165" fontId="1" fillId="0" borderId="0" xfId="1" applyNumberFormat="1" applyFont="1" applyProtection="1">
      <protection hidden="1"/>
    </xf>
    <xf numFmtId="0" fontId="1" fillId="0" borderId="0" xfId="0" applyFont="1" applyAlignment="1" applyProtection="1">
      <alignment horizontal="left"/>
      <protection hidden="1"/>
    </xf>
    <xf numFmtId="169" fontId="1" fillId="0" borderId="1" xfId="2" applyNumberFormat="1" applyFont="1" applyBorder="1" applyProtection="1">
      <protection hidden="1"/>
    </xf>
    <xf numFmtId="169" fontId="1" fillId="0" borderId="0" xfId="2" applyNumberFormat="1" applyFont="1" applyAlignment="1" applyProtection="1">
      <alignment horizontal="right"/>
      <protection hidden="1"/>
    </xf>
    <xf numFmtId="169" fontId="1" fillId="0" borderId="0" xfId="2" applyNumberFormat="1" applyFont="1" applyProtection="1">
      <protection hidden="1"/>
    </xf>
    <xf numFmtId="43" fontId="1" fillId="0" borderId="0" xfId="0" applyNumberFormat="1" applyFont="1" applyProtection="1">
      <protection hidden="1"/>
    </xf>
    <xf numFmtId="169" fontId="1" fillId="0" borderId="0" xfId="0" applyNumberFormat="1" applyFont="1" applyProtection="1">
      <protection hidden="1"/>
    </xf>
    <xf numFmtId="0" fontId="1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16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/>
    <xf numFmtId="2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right"/>
    </xf>
    <xf numFmtId="9" fontId="1" fillId="0" borderId="0" xfId="1" applyFont="1" applyAlignment="1">
      <alignment horizontal="center"/>
    </xf>
    <xf numFmtId="9" fontId="1" fillId="0" borderId="0" xfId="1" applyFont="1" applyAlignment="1">
      <alignment horizontal="right"/>
    </xf>
    <xf numFmtId="169" fontId="1" fillId="0" borderId="0" xfId="0" applyNumberFormat="1" applyFont="1" applyAlignment="1">
      <alignment horizontal="center"/>
    </xf>
    <xf numFmtId="37" fontId="1" fillId="0" borderId="0" xfId="2" applyNumberFormat="1" applyFont="1"/>
    <xf numFmtId="169" fontId="1" fillId="0" borderId="1" xfId="2" applyNumberFormat="1" applyFont="1" applyBorder="1"/>
    <xf numFmtId="169" fontId="1" fillId="0" borderId="1" xfId="2" applyNumberFormat="1" applyFon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43" fontId="1" fillId="0" borderId="0" xfId="2" applyFont="1"/>
    <xf numFmtId="39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43" fontId="1" fillId="0" borderId="1" xfId="2" applyFont="1" applyBorder="1"/>
    <xf numFmtId="165" fontId="1" fillId="0" borderId="0" xfId="1" applyNumberFormat="1" applyFont="1"/>
    <xf numFmtId="169" fontId="1" fillId="0" borderId="0" xfId="2" applyNumberFormat="1" applyFont="1" applyBorder="1"/>
    <xf numFmtId="169" fontId="1" fillId="0" borderId="0" xfId="2" applyNumberFormat="1" applyFont="1" applyFill="1"/>
    <xf numFmtId="169" fontId="1" fillId="0" borderId="0" xfId="2" applyNumberFormat="1" applyFont="1" applyFill="1" applyAlignment="1">
      <alignment horizontal="center"/>
    </xf>
    <xf numFmtId="169" fontId="1" fillId="0" borderId="0" xfId="2" applyNumberFormat="1" applyFont="1" applyAlignment="1">
      <alignment horizontal="left"/>
    </xf>
    <xf numFmtId="169" fontId="1" fillId="0" borderId="1" xfId="2" applyNumberFormat="1" applyFont="1" applyBorder="1" applyAlignment="1">
      <alignment horizontal="left"/>
    </xf>
    <xf numFmtId="172" fontId="1" fillId="0" borderId="0" xfId="2" applyNumberFormat="1" applyFont="1"/>
    <xf numFmtId="43" fontId="1" fillId="0" borderId="0" xfId="2" applyFont="1" applyAlignment="1">
      <alignment horizontal="center"/>
    </xf>
    <xf numFmtId="37" fontId="1" fillId="0" borderId="0" xfId="0" applyNumberFormat="1" applyFont="1" applyProtection="1">
      <protection hidden="1"/>
    </xf>
    <xf numFmtId="165" fontId="1" fillId="0" borderId="0" xfId="0" applyNumberFormat="1" applyFont="1" applyProtection="1">
      <protection hidden="1"/>
    </xf>
    <xf numFmtId="0" fontId="1" fillId="0" borderId="0" xfId="0" applyFont="1" applyAlignment="1" applyProtection="1">
      <alignment horizontal="centerContinuous"/>
      <protection hidden="1"/>
    </xf>
    <xf numFmtId="3" fontId="1" fillId="0" borderId="4" xfId="0" applyNumberFormat="1" applyFont="1" applyBorder="1" applyProtection="1">
      <protection hidden="1"/>
    </xf>
    <xf numFmtId="165" fontId="1" fillId="0" borderId="1" xfId="1" applyNumberFormat="1" applyFont="1" applyBorder="1" applyProtection="1">
      <protection hidden="1"/>
    </xf>
    <xf numFmtId="43" fontId="1" fillId="0" borderId="5" xfId="2" applyFont="1" applyBorder="1" applyProtection="1">
      <protection hidden="1"/>
    </xf>
    <xf numFmtId="165" fontId="1" fillId="3" borderId="0" xfId="1" applyNumberFormat="1" applyFont="1" applyFill="1" applyProtection="1">
      <protection hidden="1"/>
    </xf>
    <xf numFmtId="169" fontId="1" fillId="0" borderId="6" xfId="2" applyNumberFormat="1" applyFont="1" applyBorder="1" applyProtection="1">
      <protection hidden="1"/>
    </xf>
    <xf numFmtId="165" fontId="1" fillId="0" borderId="5" xfId="1" applyNumberFormat="1" applyFont="1" applyBorder="1" applyProtection="1">
      <protection hidden="1"/>
    </xf>
    <xf numFmtId="169" fontId="1" fillId="3" borderId="0" xfId="2" applyNumberFormat="1" applyFont="1" applyFill="1" applyProtection="1">
      <protection hidden="1"/>
    </xf>
    <xf numFmtId="9" fontId="1" fillId="0" borderId="0" xfId="1" applyFont="1" applyProtection="1">
      <protection hidden="1"/>
    </xf>
    <xf numFmtId="169" fontId="1" fillId="0" borderId="1" xfId="2" applyNumberFormat="1" applyFont="1" applyBorder="1" applyAlignment="1" applyProtection="1">
      <alignment horizontal="right"/>
      <protection hidden="1"/>
    </xf>
    <xf numFmtId="9" fontId="1" fillId="0" borderId="0" xfId="0" applyNumberFormat="1" applyFont="1" applyProtection="1">
      <protection hidden="1"/>
    </xf>
    <xf numFmtId="10" fontId="1" fillId="0" borderId="0" xfId="0" applyNumberFormat="1" applyFont="1" applyProtection="1">
      <protection hidden="1"/>
    </xf>
    <xf numFmtId="10" fontId="1" fillId="0" borderId="3" xfId="1" applyNumberFormat="1" applyFont="1" applyBorder="1" applyProtection="1">
      <protection hidden="1"/>
    </xf>
    <xf numFmtId="169" fontId="1" fillId="0" borderId="3" xfId="0" applyNumberFormat="1" applyFont="1" applyBorder="1" applyProtection="1">
      <protection hidden="1"/>
    </xf>
    <xf numFmtId="10" fontId="1" fillId="0" borderId="0" xfId="1" applyNumberFormat="1" applyFont="1" applyProtection="1">
      <protection hidden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right"/>
    </xf>
    <xf numFmtId="169" fontId="1" fillId="0" borderId="3" xfId="2" applyNumberFormat="1" applyFont="1" applyBorder="1"/>
    <xf numFmtId="169" fontId="1" fillId="0" borderId="3" xfId="2" applyNumberFormat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169" fontId="1" fillId="0" borderId="3" xfId="0" applyNumberFormat="1" applyFont="1" applyBorder="1"/>
    <xf numFmtId="2" fontId="1" fillId="0" borderId="0" xfId="1" applyNumberFormat="1" applyFont="1" applyAlignment="1">
      <alignment horizontal="center"/>
    </xf>
    <xf numFmtId="0" fontId="10" fillId="0" borderId="0" xfId="0" applyFont="1" applyAlignment="1" applyProtection="1">
      <alignment horizontal="right"/>
      <protection hidden="1"/>
    </xf>
    <xf numFmtId="169" fontId="1" fillId="0" borderId="0" xfId="2" applyNumberFormat="1" applyFont="1" applyBorder="1" applyAlignment="1">
      <alignment horizontal="center"/>
    </xf>
    <xf numFmtId="43" fontId="1" fillId="0" borderId="0" xfId="2" applyFont="1" applyBorder="1"/>
    <xf numFmtId="177" fontId="14" fillId="0" borderId="0" xfId="2" applyNumberFormat="1" applyFont="1" applyProtection="1">
      <protection hidden="1"/>
    </xf>
    <xf numFmtId="169" fontId="1" fillId="0" borderId="3" xfId="2" applyNumberFormat="1" applyFont="1" applyBorder="1" applyAlignment="1" applyProtection="1">
      <alignment horizontal="right"/>
      <protection hidden="1"/>
    </xf>
    <xf numFmtId="169" fontId="1" fillId="0" borderId="3" xfId="0" applyNumberFormat="1" applyFont="1" applyBorder="1" applyAlignment="1">
      <alignment horizontal="center"/>
    </xf>
    <xf numFmtId="1" fontId="14" fillId="0" borderId="0" xfId="1" applyNumberFormat="1" applyFont="1" applyProtection="1">
      <protection hidden="1"/>
    </xf>
    <xf numFmtId="169" fontId="8" fillId="0" borderId="3" xfId="2" applyNumberFormat="1" applyFont="1" applyBorder="1"/>
    <xf numFmtId="0" fontId="24" fillId="0" borderId="3" xfId="0" applyFont="1" applyBorder="1" applyProtection="1">
      <protection hidden="1"/>
    </xf>
    <xf numFmtId="43" fontId="6" fillId="0" borderId="0" xfId="0" applyNumberFormat="1" applyFont="1" applyProtection="1">
      <protection hidden="1"/>
    </xf>
    <xf numFmtId="43" fontId="1" fillId="0" borderId="0" xfId="2" applyFont="1" applyBorder="1" applyProtection="1">
      <protection hidden="1"/>
    </xf>
    <xf numFmtId="10" fontId="9" fillId="0" borderId="4" xfId="1" applyNumberFormat="1" applyFont="1" applyBorder="1" applyProtection="1">
      <protection hidden="1"/>
    </xf>
    <xf numFmtId="10" fontId="1" fillId="0" borderId="4" xfId="1" applyNumberFormat="1" applyFont="1" applyBorder="1" applyProtection="1">
      <protection hidden="1"/>
    </xf>
    <xf numFmtId="169" fontId="1" fillId="8" borderId="0" xfId="2" applyNumberFormat="1" applyFont="1" applyFill="1" applyProtection="1">
      <protection hidden="1"/>
    </xf>
    <xf numFmtId="169" fontId="1" fillId="7" borderId="0" xfId="2" applyNumberFormat="1" applyFont="1" applyFill="1" applyProtection="1">
      <protection hidden="1"/>
    </xf>
    <xf numFmtId="169" fontId="1" fillId="9" borderId="0" xfId="2" applyNumberFormat="1" applyFont="1" applyFill="1" applyProtection="1">
      <protection hidden="1"/>
    </xf>
    <xf numFmtId="37" fontId="25" fillId="5" borderId="0" xfId="0" applyNumberFormat="1" applyFont="1" applyFill="1" applyAlignment="1">
      <alignment vertical="top"/>
    </xf>
    <xf numFmtId="0" fontId="26" fillId="5" borderId="0" xfId="0" applyFont="1" applyFill="1"/>
    <xf numFmtId="14" fontId="25" fillId="5" borderId="0" xfId="0" applyNumberFormat="1" applyFont="1" applyFill="1" applyAlignment="1">
      <alignment vertical="top"/>
    </xf>
    <xf numFmtId="0" fontId="25" fillId="0" borderId="0" xfId="0" applyFont="1"/>
    <xf numFmtId="168" fontId="27" fillId="5" borderId="0" xfId="3" applyNumberFormat="1" applyFont="1" applyFill="1" applyAlignment="1" applyProtection="1">
      <alignment horizontal="left"/>
      <protection locked="0"/>
    </xf>
    <xf numFmtId="168" fontId="25" fillId="5" borderId="0" xfId="3" applyNumberFormat="1" applyFont="1" applyFill="1" applyProtection="1">
      <protection locked="0"/>
    </xf>
    <xf numFmtId="37" fontId="27" fillId="5" borderId="2" xfId="3" applyNumberFormat="1" applyFont="1" applyFill="1" applyBorder="1" applyAlignment="1" applyProtection="1">
      <alignment horizontal="center"/>
      <protection locked="0"/>
    </xf>
    <xf numFmtId="0" fontId="25" fillId="5" borderId="0" xfId="0" applyFont="1" applyFill="1" applyAlignment="1">
      <alignment horizontal="center"/>
    </xf>
    <xf numFmtId="173" fontId="28" fillId="5" borderId="0" xfId="0" applyNumberFormat="1" applyFont="1" applyFill="1"/>
    <xf numFmtId="168" fontId="29" fillId="0" borderId="0" xfId="3" applyNumberFormat="1" applyFont="1" applyProtection="1">
      <protection locked="0"/>
    </xf>
    <xf numFmtId="168" fontId="29" fillId="0" borderId="0" xfId="3" applyNumberFormat="1" applyFont="1" applyAlignment="1" applyProtection="1">
      <alignment horizontal="center"/>
      <protection locked="0"/>
    </xf>
    <xf numFmtId="168" fontId="29" fillId="0" borderId="0" xfId="3" applyNumberFormat="1" applyFont="1" applyAlignment="1">
      <alignment horizontal="right"/>
    </xf>
    <xf numFmtId="168" fontId="30" fillId="0" borderId="0" xfId="3" applyNumberFormat="1" applyFont="1" applyProtection="1">
      <protection locked="0"/>
    </xf>
    <xf numFmtId="37" fontId="31" fillId="5" borderId="0" xfId="0" applyNumberFormat="1" applyFont="1" applyFill="1" applyAlignment="1">
      <alignment vertical="center"/>
    </xf>
    <xf numFmtId="175" fontId="32" fillId="5" borderId="0" xfId="0" applyNumberFormat="1" applyFont="1" applyFill="1" applyAlignment="1">
      <alignment horizontal="right"/>
    </xf>
    <xf numFmtId="0" fontId="30" fillId="0" borderId="0" xfId="0" applyFont="1" applyAlignment="1" applyProtection="1">
      <alignment vertical="center"/>
      <protection hidden="1"/>
    </xf>
    <xf numFmtId="0" fontId="33" fillId="0" borderId="0" xfId="0" applyFont="1" applyProtection="1">
      <protection hidden="1"/>
    </xf>
    <xf numFmtId="0" fontId="30" fillId="0" borderId="0" xfId="0" applyFont="1" applyProtection="1">
      <protection hidden="1"/>
    </xf>
    <xf numFmtId="0" fontId="33" fillId="3" borderId="0" xfId="0" applyFont="1" applyFill="1" applyProtection="1">
      <protection hidden="1"/>
    </xf>
    <xf numFmtId="0" fontId="30" fillId="3" borderId="0" xfId="0" applyFont="1" applyFill="1" applyProtection="1">
      <protection hidden="1"/>
    </xf>
    <xf numFmtId="0" fontId="33" fillId="0" borderId="3" xfId="0" applyFont="1" applyBorder="1" applyProtection="1">
      <protection hidden="1"/>
    </xf>
    <xf numFmtId="0" fontId="30" fillId="0" borderId="3" xfId="0" applyFont="1" applyBorder="1" applyAlignment="1" applyProtection="1">
      <alignment horizontal="right"/>
      <protection hidden="1"/>
    </xf>
    <xf numFmtId="0" fontId="30" fillId="0" borderId="1" xfId="0" applyFont="1" applyBorder="1" applyProtection="1">
      <protection hidden="1"/>
    </xf>
    <xf numFmtId="170" fontId="34" fillId="0" borderId="1" xfId="2" applyNumberFormat="1" applyFont="1" applyBorder="1" applyProtection="1">
      <protection hidden="1"/>
    </xf>
    <xf numFmtId="43" fontId="34" fillId="0" borderId="1" xfId="2" applyFont="1" applyBorder="1" applyProtection="1">
      <protection hidden="1"/>
    </xf>
    <xf numFmtId="170" fontId="34" fillId="0" borderId="0" xfId="2" applyNumberFormat="1" applyFont="1" applyProtection="1">
      <protection hidden="1"/>
    </xf>
    <xf numFmtId="0" fontId="34" fillId="0" borderId="0" xfId="0" applyFont="1" applyProtection="1">
      <protection hidden="1"/>
    </xf>
    <xf numFmtId="0" fontId="30" fillId="0" borderId="3" xfId="0" applyFont="1" applyBorder="1" applyProtection="1">
      <protection hidden="1"/>
    </xf>
    <xf numFmtId="0" fontId="33" fillId="0" borderId="1" xfId="0" applyFont="1" applyBorder="1" applyProtection="1">
      <protection hidden="1"/>
    </xf>
    <xf numFmtId="0" fontId="30" fillId="0" borderId="1" xfId="0" applyFont="1" applyBorder="1" applyAlignment="1" applyProtection="1">
      <alignment horizontal="center"/>
      <protection hidden="1"/>
    </xf>
    <xf numFmtId="169" fontId="35" fillId="0" borderId="1" xfId="2" applyNumberFormat="1" applyFont="1" applyBorder="1" applyProtection="1">
      <protection hidden="1"/>
    </xf>
    <xf numFmtId="0" fontId="30" fillId="0" borderId="0" xfId="0" applyFont="1" applyAlignment="1" applyProtection="1">
      <alignment horizontal="center"/>
      <protection hidden="1"/>
    </xf>
    <xf numFmtId="169" fontId="34" fillId="0" borderId="0" xfId="2" applyNumberFormat="1" applyFont="1" applyProtection="1">
      <protection hidden="1"/>
    </xf>
    <xf numFmtId="169" fontId="35" fillId="0" borderId="0" xfId="2" applyNumberFormat="1" applyFont="1" applyProtection="1">
      <protection hidden="1"/>
    </xf>
    <xf numFmtId="0" fontId="34" fillId="0" borderId="2" xfId="0" applyFont="1" applyBorder="1" applyAlignment="1" applyProtection="1">
      <alignment horizontal="center"/>
      <protection hidden="1"/>
    </xf>
    <xf numFmtId="0" fontId="30" fillId="0" borderId="2" xfId="0" applyFont="1" applyBorder="1" applyAlignment="1" applyProtection="1">
      <alignment horizontal="center"/>
      <protection hidden="1"/>
    </xf>
    <xf numFmtId="169" fontId="30" fillId="0" borderId="1" xfId="0" applyNumberFormat="1" applyFont="1" applyBorder="1" applyProtection="1">
      <protection hidden="1"/>
    </xf>
    <xf numFmtId="43" fontId="34" fillId="0" borderId="0" xfId="2" applyFont="1" applyProtection="1">
      <protection hidden="1"/>
    </xf>
    <xf numFmtId="165" fontId="34" fillId="0" borderId="0" xfId="1" applyNumberFormat="1" applyFont="1" applyProtection="1">
      <protection hidden="1"/>
    </xf>
    <xf numFmtId="165" fontId="30" fillId="0" borderId="0" xfId="1" applyNumberFormat="1" applyFont="1" applyProtection="1">
      <protection hidden="1"/>
    </xf>
    <xf numFmtId="0" fontId="30" fillId="0" borderId="0" xfId="0" applyFont="1" applyAlignment="1" applyProtection="1">
      <alignment horizontal="right"/>
      <protection hidden="1"/>
    </xf>
    <xf numFmtId="169" fontId="34" fillId="0" borderId="1" xfId="2" applyNumberFormat="1" applyFont="1" applyBorder="1" applyProtection="1">
      <protection hidden="1"/>
    </xf>
    <xf numFmtId="169" fontId="35" fillId="0" borderId="0" xfId="2" applyNumberFormat="1" applyFont="1" applyBorder="1" applyProtection="1">
      <protection hidden="1"/>
    </xf>
    <xf numFmtId="0" fontId="30" fillId="0" borderId="0" xfId="0" applyFont="1" applyAlignment="1" applyProtection="1">
      <alignment horizontal="left"/>
      <protection hidden="1"/>
    </xf>
    <xf numFmtId="169" fontId="30" fillId="0" borderId="1" xfId="2" applyNumberFormat="1" applyFont="1" applyBorder="1" applyProtection="1">
      <protection hidden="1"/>
    </xf>
    <xf numFmtId="43" fontId="35" fillId="0" borderId="1" xfId="2" applyFont="1" applyBorder="1" applyProtection="1">
      <protection hidden="1"/>
    </xf>
    <xf numFmtId="167" fontId="34" fillId="0" borderId="0" xfId="0" applyNumberFormat="1" applyFont="1" applyAlignment="1" applyProtection="1">
      <alignment horizontal="center"/>
      <protection hidden="1"/>
    </xf>
    <xf numFmtId="169" fontId="30" fillId="0" borderId="0" xfId="2" applyNumberFormat="1" applyFont="1" applyAlignment="1" applyProtection="1">
      <alignment horizontal="right"/>
      <protection hidden="1"/>
    </xf>
    <xf numFmtId="169" fontId="30" fillId="0" borderId="0" xfId="2" applyNumberFormat="1" applyFont="1" applyProtection="1">
      <protection hidden="1"/>
    </xf>
    <xf numFmtId="165" fontId="34" fillId="0" borderId="1" xfId="0" applyNumberFormat="1" applyFont="1" applyBorder="1" applyProtection="1">
      <protection hidden="1"/>
    </xf>
    <xf numFmtId="165" fontId="34" fillId="0" borderId="0" xfId="0" applyNumberFormat="1" applyFont="1" applyProtection="1">
      <protection hidden="1"/>
    </xf>
    <xf numFmtId="10" fontId="34" fillId="0" borderId="1" xfId="0" applyNumberFormat="1" applyFont="1" applyBorder="1" applyProtection="1">
      <protection hidden="1"/>
    </xf>
    <xf numFmtId="0" fontId="30" fillId="0" borderId="0" xfId="0" applyFont="1"/>
    <xf numFmtId="43" fontId="35" fillId="0" borderId="0" xfId="2" applyFont="1" applyProtection="1">
      <protection hidden="1"/>
    </xf>
    <xf numFmtId="43" fontId="35" fillId="0" borderId="1" xfId="2" applyFont="1" applyBorder="1" applyAlignment="1" applyProtection="1">
      <alignment horizontal="right"/>
      <protection hidden="1"/>
    </xf>
    <xf numFmtId="43" fontId="35" fillId="0" borderId="0" xfId="2" applyFont="1" applyAlignment="1" applyProtection="1">
      <alignment horizontal="right"/>
      <protection hidden="1"/>
    </xf>
    <xf numFmtId="43" fontId="30" fillId="0" borderId="0" xfId="2" applyFont="1" applyProtection="1">
      <protection hidden="1"/>
    </xf>
    <xf numFmtId="43" fontId="34" fillId="0" borderId="0" xfId="2" applyFont="1" applyFill="1" applyProtection="1">
      <protection hidden="1"/>
    </xf>
    <xf numFmtId="169" fontId="34" fillId="0" borderId="0" xfId="2" applyNumberFormat="1" applyFont="1" applyBorder="1" applyProtection="1">
      <protection hidden="1"/>
    </xf>
    <xf numFmtId="43" fontId="30" fillId="0" borderId="0" xfId="0" applyNumberFormat="1" applyFont="1" applyProtection="1">
      <protection hidden="1"/>
    </xf>
    <xf numFmtId="9" fontId="35" fillId="0" borderId="0" xfId="1" applyFont="1" applyProtection="1">
      <protection hidden="1"/>
    </xf>
    <xf numFmtId="169" fontId="30" fillId="0" borderId="0" xfId="0" applyNumberFormat="1" applyFont="1" applyProtection="1">
      <protection hidden="1"/>
    </xf>
    <xf numFmtId="169" fontId="34" fillId="0" borderId="0" xfId="2" applyNumberFormat="1" applyFont="1"/>
    <xf numFmtId="169" fontId="34" fillId="0" borderId="1" xfId="2" applyNumberFormat="1" applyFont="1" applyBorder="1"/>
    <xf numFmtId="17" fontId="30" fillId="0" borderId="0" xfId="0" applyNumberFormat="1" applyFont="1" applyProtection="1">
      <protection hidden="1"/>
    </xf>
    <xf numFmtId="9" fontId="34" fillId="0" borderId="0" xfId="0" applyNumberFormat="1" applyFont="1" applyProtection="1">
      <protection hidden="1"/>
    </xf>
    <xf numFmtId="0" fontId="34" fillId="0" borderId="1" xfId="0" applyFont="1" applyBorder="1" applyProtection="1">
      <protection hidden="1"/>
    </xf>
    <xf numFmtId="10" fontId="34" fillId="0" borderId="0" xfId="1" applyNumberFormat="1" applyFont="1" applyProtection="1">
      <protection hidden="1"/>
    </xf>
    <xf numFmtId="2" fontId="34" fillId="0" borderId="0" xfId="1" applyNumberFormat="1" applyFont="1" applyProtection="1">
      <protection hidden="1"/>
    </xf>
    <xf numFmtId="37" fontId="36" fillId="0" borderId="0" xfId="2" applyNumberFormat="1" applyFont="1" applyAlignment="1">
      <alignment horizontal="right"/>
    </xf>
    <xf numFmtId="0" fontId="33" fillId="0" borderId="0" xfId="0" applyFont="1"/>
    <xf numFmtId="0" fontId="30" fillId="0" borderId="0" xfId="0" applyFont="1" applyAlignment="1">
      <alignment horizontal="center"/>
    </xf>
    <xf numFmtId="0" fontId="37" fillId="3" borderId="0" xfId="0" applyFont="1" applyFill="1"/>
    <xf numFmtId="0" fontId="35" fillId="3" borderId="0" xfId="0" applyFont="1" applyFill="1"/>
    <xf numFmtId="0" fontId="35" fillId="3" borderId="0" xfId="0" applyFont="1" applyFill="1" applyAlignment="1">
      <alignment horizontal="center"/>
    </xf>
    <xf numFmtId="37" fontId="30" fillId="0" borderId="0" xfId="0" applyNumberFormat="1" applyFont="1" applyAlignment="1">
      <alignment horizontal="center"/>
    </xf>
    <xf numFmtId="169" fontId="30" fillId="0" borderId="0" xfId="0" applyNumberFormat="1" applyFont="1" applyAlignment="1">
      <alignment horizontal="right"/>
    </xf>
    <xf numFmtId="37" fontId="35" fillId="0" borderId="0" xfId="2" applyNumberFormat="1" applyFont="1"/>
    <xf numFmtId="169" fontId="35" fillId="0" borderId="0" xfId="0" applyNumberFormat="1" applyFont="1" applyProtection="1">
      <protection hidden="1"/>
    </xf>
    <xf numFmtId="169" fontId="30" fillId="0" borderId="0" xfId="0" applyNumberFormat="1" applyFont="1"/>
    <xf numFmtId="0" fontId="33" fillId="0" borderId="1" xfId="0" applyFont="1" applyBorder="1"/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37" fontId="30" fillId="0" borderId="1" xfId="0" applyNumberFormat="1" applyFont="1" applyBorder="1" applyAlignment="1">
      <alignment horizontal="center"/>
    </xf>
    <xf numFmtId="169" fontId="30" fillId="0" borderId="1" xfId="0" applyNumberFormat="1" applyFont="1" applyBorder="1" applyAlignment="1">
      <alignment horizontal="right"/>
    </xf>
    <xf numFmtId="169" fontId="35" fillId="0" borderId="1" xfId="0" applyNumberFormat="1" applyFont="1" applyBorder="1" applyProtection="1">
      <protection hidden="1"/>
    </xf>
    <xf numFmtId="166" fontId="35" fillId="0" borderId="0" xfId="2" applyNumberFormat="1" applyFont="1"/>
    <xf numFmtId="169" fontId="30" fillId="0" borderId="1" xfId="0" applyNumberFormat="1" applyFont="1" applyBorder="1"/>
    <xf numFmtId="169" fontId="30" fillId="0" borderId="0" xfId="2" applyNumberFormat="1" applyFont="1"/>
    <xf numFmtId="169" fontId="30" fillId="0" borderId="0" xfId="2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39" fontId="35" fillId="0" borderId="0" xfId="2" applyNumberFormat="1" applyFont="1"/>
    <xf numFmtId="169" fontId="35" fillId="0" borderId="0" xfId="2" quotePrefix="1" applyNumberFormat="1" applyFont="1"/>
    <xf numFmtId="169" fontId="37" fillId="3" borderId="0" xfId="2" applyNumberFormat="1" applyFont="1" applyFill="1"/>
    <xf numFmtId="169" fontId="35" fillId="3" borderId="0" xfId="2" applyNumberFormat="1" applyFont="1" applyFill="1"/>
    <xf numFmtId="169" fontId="35" fillId="3" borderId="0" xfId="2" applyNumberFormat="1" applyFont="1" applyFill="1" applyAlignment="1">
      <alignment horizontal="center"/>
    </xf>
    <xf numFmtId="165" fontId="30" fillId="0" borderId="0" xfId="1" applyNumberFormat="1" applyFont="1" applyAlignment="1">
      <alignment horizontal="center"/>
    </xf>
    <xf numFmtId="165" fontId="30" fillId="0" borderId="0" xfId="1" applyNumberFormat="1" applyFont="1" applyAlignment="1">
      <alignment horizontal="right"/>
    </xf>
    <xf numFmtId="165" fontId="35" fillId="0" borderId="0" xfId="1" applyNumberFormat="1" applyFont="1"/>
    <xf numFmtId="169" fontId="33" fillId="0" borderId="0" xfId="2" applyNumberFormat="1" applyFont="1"/>
    <xf numFmtId="169" fontId="33" fillId="0" borderId="0" xfId="2" applyNumberFormat="1" applyFont="1" applyAlignment="1">
      <alignment horizontal="center"/>
    </xf>
    <xf numFmtId="9" fontId="30" fillId="0" borderId="0" xfId="1" applyFont="1" applyAlignment="1">
      <alignment horizontal="center"/>
    </xf>
    <xf numFmtId="9" fontId="30" fillId="0" borderId="0" xfId="1" applyFont="1" applyAlignment="1">
      <alignment horizontal="right"/>
    </xf>
    <xf numFmtId="10" fontId="35" fillId="0" borderId="0" xfId="1" applyNumberFormat="1" applyFont="1"/>
    <xf numFmtId="0" fontId="35" fillId="0" borderId="0" xfId="0" applyFont="1"/>
    <xf numFmtId="0" fontId="35" fillId="0" borderId="0" xfId="0" applyFont="1" applyAlignment="1">
      <alignment horizontal="center"/>
    </xf>
    <xf numFmtId="0" fontId="37" fillId="0" borderId="0" xfId="0" applyFont="1"/>
    <xf numFmtId="169" fontId="30" fillId="0" borderId="0" xfId="0" applyNumberFormat="1" applyFont="1" applyAlignment="1">
      <alignment horizontal="center"/>
    </xf>
    <xf numFmtId="37" fontId="30" fillId="0" borderId="0" xfId="2" applyNumberFormat="1" applyFont="1"/>
    <xf numFmtId="169" fontId="33" fillId="0" borderId="1" xfId="2" applyNumberFormat="1" applyFont="1" applyBorder="1"/>
    <xf numFmtId="169" fontId="30" fillId="0" borderId="1" xfId="2" applyNumberFormat="1" applyFont="1" applyBorder="1"/>
    <xf numFmtId="169" fontId="30" fillId="0" borderId="1" xfId="2" applyNumberFormat="1" applyFont="1" applyBorder="1" applyAlignment="1">
      <alignment horizontal="center"/>
    </xf>
    <xf numFmtId="37" fontId="33" fillId="0" borderId="1" xfId="0" applyNumberFormat="1" applyFont="1" applyBorder="1" applyAlignment="1">
      <alignment horizontal="center"/>
    </xf>
    <xf numFmtId="39" fontId="30" fillId="0" borderId="0" xfId="0" applyNumberFormat="1" applyFont="1" applyAlignment="1">
      <alignment horizontal="center"/>
    </xf>
    <xf numFmtId="43" fontId="30" fillId="0" borderId="0" xfId="2" applyFont="1"/>
    <xf numFmtId="39" fontId="30" fillId="0" borderId="1" xfId="0" applyNumberFormat="1" applyFont="1" applyBorder="1" applyAlignment="1">
      <alignment horizontal="center"/>
    </xf>
    <xf numFmtId="169" fontId="30" fillId="0" borderId="1" xfId="0" applyNumberFormat="1" applyFont="1" applyBorder="1" applyAlignment="1">
      <alignment horizontal="center"/>
    </xf>
    <xf numFmtId="43" fontId="30" fillId="0" borderId="1" xfId="2" applyFont="1" applyBorder="1"/>
    <xf numFmtId="37" fontId="33" fillId="0" borderId="0" xfId="0" applyNumberFormat="1" applyFont="1" applyAlignment="1">
      <alignment horizontal="center"/>
    </xf>
    <xf numFmtId="169" fontId="33" fillId="0" borderId="1" xfId="2" applyNumberFormat="1" applyFont="1" applyBorder="1" applyAlignment="1">
      <alignment horizontal="center"/>
    </xf>
    <xf numFmtId="169" fontId="33" fillId="0" borderId="1" xfId="0" applyNumberFormat="1" applyFont="1" applyBorder="1" applyAlignment="1">
      <alignment horizontal="center"/>
    </xf>
    <xf numFmtId="43" fontId="33" fillId="0" borderId="1" xfId="2" applyFont="1" applyBorder="1"/>
    <xf numFmtId="165" fontId="30" fillId="0" borderId="0" xfId="1" applyNumberFormat="1" applyFont="1"/>
    <xf numFmtId="169" fontId="30" fillId="0" borderId="0" xfId="2" applyNumberFormat="1" applyFont="1" applyBorder="1"/>
    <xf numFmtId="169" fontId="30" fillId="4" borderId="0" xfId="2" applyNumberFormat="1" applyFont="1" applyFill="1"/>
    <xf numFmtId="169" fontId="30" fillId="4" borderId="0" xfId="2" applyNumberFormat="1" applyFont="1" applyFill="1" applyAlignment="1">
      <alignment horizontal="center"/>
    </xf>
    <xf numFmtId="169" fontId="38" fillId="0" borderId="1" xfId="2" applyNumberFormat="1" applyFont="1" applyBorder="1" applyAlignment="1">
      <alignment horizontal="center"/>
    </xf>
    <xf numFmtId="10" fontId="35" fillId="0" borderId="0" xfId="1" applyNumberFormat="1" applyFont="1" applyAlignment="1">
      <alignment horizontal="center"/>
    </xf>
    <xf numFmtId="171" fontId="35" fillId="0" borderId="0" xfId="2" applyNumberFormat="1" applyFont="1"/>
    <xf numFmtId="169" fontId="29" fillId="0" borderId="0" xfId="2" applyNumberFormat="1" applyFont="1" applyFill="1"/>
    <xf numFmtId="169" fontId="30" fillId="0" borderId="0" xfId="2" applyNumberFormat="1" applyFont="1" applyFill="1"/>
    <xf numFmtId="169" fontId="30" fillId="0" borderId="0" xfId="2" applyNumberFormat="1" applyFont="1" applyFill="1" applyAlignment="1">
      <alignment horizontal="center"/>
    </xf>
    <xf numFmtId="37" fontId="40" fillId="5" borderId="0" xfId="2" applyNumberFormat="1" applyFont="1" applyFill="1" applyAlignment="1">
      <alignment horizontal="center"/>
    </xf>
    <xf numFmtId="9" fontId="33" fillId="0" borderId="0" xfId="1" applyFont="1" applyAlignment="1">
      <alignment horizontal="center"/>
    </xf>
    <xf numFmtId="169" fontId="30" fillId="0" borderId="0" xfId="2" applyNumberFormat="1" applyFont="1" applyAlignment="1">
      <alignment horizontal="left"/>
    </xf>
    <xf numFmtId="37" fontId="33" fillId="0" borderId="0" xfId="2" applyNumberFormat="1" applyFont="1" applyAlignment="1">
      <alignment horizontal="center"/>
    </xf>
    <xf numFmtId="169" fontId="30" fillId="0" borderId="1" xfId="2" applyNumberFormat="1" applyFont="1" applyBorder="1" applyAlignment="1">
      <alignment horizontal="left"/>
    </xf>
    <xf numFmtId="165" fontId="40" fillId="0" borderId="1" xfId="1" applyNumberFormat="1" applyFont="1" applyFill="1" applyBorder="1" applyAlignment="1">
      <alignment horizontal="center"/>
    </xf>
    <xf numFmtId="37" fontId="40" fillId="0" borderId="0" xfId="2" applyNumberFormat="1" applyFont="1" applyFill="1" applyAlignment="1">
      <alignment horizontal="center"/>
    </xf>
    <xf numFmtId="172" fontId="30" fillId="0" borderId="0" xfId="2" applyNumberFormat="1" applyFont="1"/>
    <xf numFmtId="37" fontId="40" fillId="5" borderId="0" xfId="2" applyNumberFormat="1" applyFont="1" applyFill="1" applyAlignment="1">
      <alignment horizontal="right"/>
    </xf>
    <xf numFmtId="43" fontId="33" fillId="0" borderId="0" xfId="2" applyFont="1" applyAlignment="1">
      <alignment horizontal="center"/>
    </xf>
    <xf numFmtId="43" fontId="30" fillId="0" borderId="0" xfId="2" applyFont="1" applyAlignment="1">
      <alignment horizontal="center"/>
    </xf>
    <xf numFmtId="39" fontId="40" fillId="5" borderId="0" xfId="2" applyNumberFormat="1" applyFont="1" applyFill="1" applyAlignment="1">
      <alignment horizontal="right"/>
    </xf>
    <xf numFmtId="37" fontId="30" fillId="0" borderId="0" xfId="0" applyNumberFormat="1" applyFont="1" applyProtection="1">
      <protection hidden="1"/>
    </xf>
    <xf numFmtId="37" fontId="38" fillId="0" borderId="0" xfId="0" applyNumberFormat="1" applyFont="1" applyProtection="1">
      <protection hidden="1"/>
    </xf>
    <xf numFmtId="165" fontId="30" fillId="0" borderId="0" xfId="0" applyNumberFormat="1" applyFont="1" applyProtection="1">
      <protection hidden="1"/>
    </xf>
    <xf numFmtId="0" fontId="40" fillId="2" borderId="0" xfId="0" applyFont="1" applyFill="1" applyAlignment="1" applyProtection="1">
      <alignment horizontal="centerContinuous" vertical="center"/>
      <protection hidden="1"/>
    </xf>
    <xf numFmtId="0" fontId="25" fillId="2" borderId="0" xfId="0" applyFont="1" applyFill="1" applyAlignment="1" applyProtection="1">
      <alignment horizontal="centerContinuous" vertical="center"/>
      <protection hidden="1"/>
    </xf>
    <xf numFmtId="0" fontId="33" fillId="0" borderId="0" xfId="0" applyFont="1" applyAlignment="1" applyProtection="1">
      <alignment horizontal="centerContinuous"/>
      <protection hidden="1"/>
    </xf>
    <xf numFmtId="0" fontId="30" fillId="0" borderId="0" xfId="0" applyFont="1" applyAlignment="1" applyProtection="1">
      <alignment horizontal="centerContinuous"/>
      <protection hidden="1"/>
    </xf>
    <xf numFmtId="9" fontId="25" fillId="0" borderId="0" xfId="0" applyNumberFormat="1" applyFont="1" applyProtection="1">
      <protection hidden="1"/>
    </xf>
    <xf numFmtId="3" fontId="38" fillId="0" borderId="4" xfId="0" applyNumberFormat="1" applyFont="1" applyBorder="1" applyProtection="1">
      <protection hidden="1"/>
    </xf>
    <xf numFmtId="3" fontId="30" fillId="0" borderId="4" xfId="0" applyNumberFormat="1" applyFont="1" applyBorder="1" applyProtection="1">
      <protection hidden="1"/>
    </xf>
    <xf numFmtId="43" fontId="38" fillId="0" borderId="5" xfId="2" applyFont="1" applyBorder="1" applyProtection="1">
      <protection hidden="1"/>
    </xf>
    <xf numFmtId="165" fontId="30" fillId="0" borderId="1" xfId="1" applyNumberFormat="1" applyFont="1" applyBorder="1" applyProtection="1">
      <protection hidden="1"/>
    </xf>
    <xf numFmtId="43" fontId="30" fillId="0" borderId="5" xfId="2" applyFont="1" applyBorder="1" applyProtection="1">
      <protection hidden="1"/>
    </xf>
    <xf numFmtId="165" fontId="30" fillId="3" borderId="0" xfId="1" applyNumberFormat="1" applyFont="1" applyFill="1" applyProtection="1">
      <protection hidden="1"/>
    </xf>
    <xf numFmtId="178" fontId="25" fillId="0" borderId="0" xfId="0" applyNumberFormat="1" applyFont="1" applyProtection="1">
      <protection hidden="1"/>
    </xf>
    <xf numFmtId="10" fontId="38" fillId="0" borderId="4" xfId="1" applyNumberFormat="1" applyFont="1" applyBorder="1" applyProtection="1">
      <protection hidden="1"/>
    </xf>
    <xf numFmtId="10" fontId="30" fillId="0" borderId="4" xfId="1" applyNumberFormat="1" applyFont="1" applyBorder="1" applyProtection="1">
      <protection hidden="1"/>
    </xf>
    <xf numFmtId="1" fontId="38" fillId="0" borderId="5" xfId="1" applyNumberFormat="1" applyFont="1" applyBorder="1" applyProtection="1">
      <protection hidden="1"/>
    </xf>
    <xf numFmtId="2" fontId="30" fillId="0" borderId="6" xfId="2" applyNumberFormat="1" applyFont="1" applyBorder="1" applyProtection="1">
      <protection hidden="1"/>
    </xf>
    <xf numFmtId="2" fontId="30" fillId="0" borderId="1" xfId="2" applyNumberFormat="1" applyFont="1" applyBorder="1" applyProtection="1">
      <protection hidden="1"/>
    </xf>
    <xf numFmtId="1" fontId="30" fillId="0" borderId="5" xfId="1" applyNumberFormat="1" applyFont="1" applyBorder="1" applyProtection="1">
      <protection hidden="1"/>
    </xf>
    <xf numFmtId="2" fontId="30" fillId="0" borderId="0" xfId="2" applyNumberFormat="1" applyFont="1" applyProtection="1">
      <protection hidden="1"/>
    </xf>
    <xf numFmtId="2" fontId="30" fillId="8" borderId="0" xfId="2" applyNumberFormat="1" applyFont="1" applyFill="1" applyProtection="1">
      <protection hidden="1"/>
    </xf>
    <xf numFmtId="2" fontId="30" fillId="7" borderId="0" xfId="2" applyNumberFormat="1" applyFont="1" applyFill="1" applyProtection="1">
      <protection hidden="1"/>
    </xf>
    <xf numFmtId="2" fontId="30" fillId="9" borderId="0" xfId="2" applyNumberFormat="1" applyFont="1" applyFill="1" applyProtection="1">
      <protection hidden="1"/>
    </xf>
    <xf numFmtId="2" fontId="30" fillId="0" borderId="0" xfId="0" applyNumberFormat="1" applyFont="1" applyProtection="1">
      <protection hidden="1"/>
    </xf>
    <xf numFmtId="1" fontId="30" fillId="0" borderId="0" xfId="1" applyNumberFormat="1" applyFont="1" applyBorder="1" applyProtection="1">
      <protection hidden="1"/>
    </xf>
    <xf numFmtId="173" fontId="41" fillId="0" borderId="0" xfId="0" applyNumberFormat="1" applyFont="1"/>
    <xf numFmtId="37" fontId="35" fillId="0" borderId="1" xfId="2" applyNumberFormat="1" applyFont="1" applyBorder="1"/>
    <xf numFmtId="37" fontId="35" fillId="0" borderId="1" xfId="0" applyNumberFormat="1" applyFont="1" applyBorder="1"/>
    <xf numFmtId="37" fontId="35" fillId="0" borderId="0" xfId="0" applyNumberFormat="1" applyFont="1"/>
    <xf numFmtId="0" fontId="32" fillId="5" borderId="0" xfId="0" applyFont="1" applyFill="1"/>
    <xf numFmtId="0" fontId="32" fillId="0" borderId="0" xfId="0" applyFont="1"/>
    <xf numFmtId="0" fontId="42" fillId="5" borderId="0" xfId="0" applyFont="1" applyFill="1"/>
    <xf numFmtId="0" fontId="43" fillId="5" borderId="0" xfId="0" applyFont="1" applyFill="1"/>
    <xf numFmtId="0" fontId="44" fillId="5" borderId="0" xfId="0" applyFont="1" applyFill="1"/>
    <xf numFmtId="0" fontId="45" fillId="0" borderId="0" xfId="0" applyFont="1"/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5" fillId="0" borderId="3" xfId="0" applyFont="1" applyBorder="1"/>
    <xf numFmtId="0" fontId="45" fillId="0" borderId="3" xfId="0" applyFont="1" applyBorder="1" applyAlignment="1">
      <alignment horizontal="center"/>
    </xf>
    <xf numFmtId="0" fontId="45" fillId="0" borderId="3" xfId="0" applyFont="1" applyBorder="1" applyAlignment="1">
      <alignment horizontal="center" vertical="center"/>
    </xf>
    <xf numFmtId="0" fontId="32" fillId="0" borderId="1" xfId="0" applyFont="1" applyBorder="1"/>
    <xf numFmtId="0" fontId="32" fillId="3" borderId="7" xfId="0" applyFont="1" applyFill="1" applyBorder="1"/>
    <xf numFmtId="0" fontId="32" fillId="3" borderId="8" xfId="0" applyFont="1" applyFill="1" applyBorder="1" applyAlignment="1">
      <alignment horizontal="left"/>
    </xf>
    <xf numFmtId="43" fontId="47" fillId="3" borderId="8" xfId="2" applyFont="1" applyFill="1" applyBorder="1" applyAlignment="1">
      <alignment horizontal="right"/>
    </xf>
    <xf numFmtId="43" fontId="32" fillId="3" borderId="8" xfId="2" applyFont="1" applyFill="1" applyBorder="1" applyAlignment="1">
      <alignment horizontal="right"/>
    </xf>
    <xf numFmtId="174" fontId="32" fillId="3" borderId="8" xfId="0" applyNumberFormat="1" applyFont="1" applyFill="1" applyBorder="1" applyAlignment="1">
      <alignment horizontal="right"/>
    </xf>
    <xf numFmtId="165" fontId="32" fillId="3" borderId="8" xfId="1" applyNumberFormat="1" applyFont="1" applyFill="1" applyBorder="1" applyAlignment="1">
      <alignment horizontal="right"/>
    </xf>
    <xf numFmtId="0" fontId="32" fillId="3" borderId="8" xfId="0" applyFont="1" applyFill="1" applyBorder="1" applyAlignment="1">
      <alignment horizontal="right"/>
    </xf>
    <xf numFmtId="2" fontId="48" fillId="3" borderId="8" xfId="4" applyNumberFormat="1" applyFont="1" applyFill="1" applyBorder="1" applyAlignment="1">
      <alignment horizontal="right"/>
    </xf>
    <xf numFmtId="167" fontId="32" fillId="3" borderId="8" xfId="0" applyNumberFormat="1" applyFont="1" applyFill="1" applyBorder="1" applyAlignment="1">
      <alignment horizontal="right"/>
    </xf>
    <xf numFmtId="167" fontId="32" fillId="3" borderId="9" xfId="0" applyNumberFormat="1" applyFont="1" applyFill="1" applyBorder="1" applyAlignment="1">
      <alignment horizontal="right"/>
    </xf>
    <xf numFmtId="175" fontId="32" fillId="0" borderId="0" xfId="0" applyNumberFormat="1" applyFont="1" applyAlignment="1">
      <alignment horizontal="right"/>
    </xf>
    <xf numFmtId="174" fontId="32" fillId="0" borderId="0" xfId="0" applyNumberFormat="1" applyFont="1" applyAlignment="1">
      <alignment horizontal="right"/>
    </xf>
    <xf numFmtId="165" fontId="32" fillId="0" borderId="0" xfId="1" applyNumberFormat="1" applyFont="1" applyAlignment="1">
      <alignment horizontal="right"/>
    </xf>
    <xf numFmtId="0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167" fontId="32" fillId="0" borderId="0" xfId="0" applyNumberFormat="1" applyFont="1" applyAlignment="1">
      <alignment horizontal="right"/>
    </xf>
    <xf numFmtId="0" fontId="46" fillId="5" borderId="0" xfId="0" applyFont="1" applyFill="1"/>
    <xf numFmtId="174" fontId="32" fillId="5" borderId="0" xfId="0" applyNumberFormat="1" applyFont="1" applyFill="1" applyAlignment="1">
      <alignment horizontal="right"/>
    </xf>
    <xf numFmtId="165" fontId="32" fillId="5" borderId="0" xfId="1" applyNumberFormat="1" applyFont="1" applyFill="1" applyAlignment="1">
      <alignment horizontal="right"/>
    </xf>
    <xf numFmtId="174" fontId="46" fillId="5" borderId="0" xfId="0" applyNumberFormat="1" applyFont="1" applyFill="1" applyAlignment="1">
      <alignment horizontal="right"/>
    </xf>
    <xf numFmtId="0" fontId="32" fillId="5" borderId="0" xfId="0" applyFont="1" applyFill="1" applyAlignment="1">
      <alignment horizontal="right"/>
    </xf>
    <xf numFmtId="2" fontId="32" fillId="5" borderId="0" xfId="0" applyNumberFormat="1" applyFont="1" applyFill="1" applyAlignment="1">
      <alignment horizontal="right"/>
    </xf>
    <xf numFmtId="167" fontId="32" fillId="5" borderId="0" xfId="0" applyNumberFormat="1" applyFont="1" applyFill="1" applyAlignment="1">
      <alignment horizontal="right"/>
    </xf>
    <xf numFmtId="2" fontId="47" fillId="0" borderId="0" xfId="0" applyNumberFormat="1" applyFont="1"/>
    <xf numFmtId="2" fontId="48" fillId="0" borderId="0" xfId="4" applyNumberFormat="1" applyFont="1" applyAlignment="1">
      <alignment horizontal="right"/>
    </xf>
    <xf numFmtId="167" fontId="32" fillId="0" borderId="0" xfId="0" applyNumberFormat="1" applyFont="1"/>
    <xf numFmtId="0" fontId="45" fillId="6" borderId="6" xfId="0" applyFont="1" applyFill="1" applyBorder="1"/>
    <xf numFmtId="0" fontId="32" fillId="6" borderId="1" xfId="0" applyFont="1" applyFill="1" applyBorder="1"/>
    <xf numFmtId="2" fontId="32" fillId="6" borderId="1" xfId="0" applyNumberFormat="1" applyFont="1" applyFill="1" applyBorder="1" applyAlignment="1">
      <alignment horizontal="right"/>
    </xf>
    <xf numFmtId="174" fontId="32" fillId="6" borderId="1" xfId="0" applyNumberFormat="1" applyFont="1" applyFill="1" applyBorder="1" applyAlignment="1">
      <alignment horizontal="right"/>
    </xf>
    <xf numFmtId="0" fontId="32" fillId="6" borderId="1" xfId="0" applyFont="1" applyFill="1" applyBorder="1" applyAlignment="1">
      <alignment horizontal="right"/>
    </xf>
    <xf numFmtId="167" fontId="45" fillId="6" borderId="1" xfId="0" applyNumberFormat="1" applyFont="1" applyFill="1" applyBorder="1" applyAlignment="1">
      <alignment horizontal="right"/>
    </xf>
    <xf numFmtId="167" fontId="45" fillId="6" borderId="10" xfId="0" applyNumberFormat="1" applyFont="1" applyFill="1" applyBorder="1" applyAlignment="1">
      <alignment horizontal="right"/>
    </xf>
    <xf numFmtId="0" fontId="45" fillId="6" borderId="11" xfId="0" applyFont="1" applyFill="1" applyBorder="1"/>
    <xf numFmtId="0" fontId="32" fillId="6" borderId="3" xfId="0" applyFont="1" applyFill="1" applyBorder="1"/>
    <xf numFmtId="2" fontId="32" fillId="6" borderId="3" xfId="0" applyNumberFormat="1" applyFont="1" applyFill="1" applyBorder="1" applyAlignment="1">
      <alignment horizontal="right"/>
    </xf>
    <xf numFmtId="174" fontId="32" fillId="6" borderId="3" xfId="0" applyNumberFormat="1" applyFont="1" applyFill="1" applyBorder="1" applyAlignment="1">
      <alignment horizontal="right"/>
    </xf>
    <xf numFmtId="0" fontId="32" fillId="6" borderId="3" xfId="0" applyFont="1" applyFill="1" applyBorder="1" applyAlignment="1">
      <alignment horizontal="right"/>
    </xf>
    <xf numFmtId="167" fontId="45" fillId="6" borderId="3" xfId="0" applyNumberFormat="1" applyFont="1" applyFill="1" applyBorder="1" applyAlignment="1">
      <alignment horizontal="right"/>
    </xf>
    <xf numFmtId="167" fontId="45" fillId="6" borderId="12" xfId="0" applyNumberFormat="1" applyFont="1" applyFill="1" applyBorder="1" applyAlignment="1">
      <alignment horizontal="right"/>
    </xf>
    <xf numFmtId="0" fontId="32" fillId="0" borderId="0" xfId="0" applyFont="1" applyAlignment="1">
      <alignment horizontal="left"/>
    </xf>
    <xf numFmtId="2" fontId="47" fillId="0" borderId="0" xfId="0" applyNumberFormat="1" applyFont="1" applyAlignment="1">
      <alignment horizontal="right"/>
    </xf>
    <xf numFmtId="167" fontId="45" fillId="0" borderId="0" xfId="0" applyNumberFormat="1" applyFont="1" applyAlignment="1">
      <alignment horizontal="right"/>
    </xf>
    <xf numFmtId="0" fontId="45" fillId="6" borderId="13" xfId="0" applyFont="1" applyFill="1" applyBorder="1"/>
    <xf numFmtId="0" fontId="32" fillId="6" borderId="0" xfId="0" applyFont="1" applyFill="1"/>
    <xf numFmtId="0" fontId="32" fillId="6" borderId="0" xfId="0" applyFont="1" applyFill="1" applyAlignment="1">
      <alignment horizontal="right"/>
    </xf>
    <xf numFmtId="0" fontId="45" fillId="0" borderId="1" xfId="0" applyFont="1" applyBorder="1"/>
    <xf numFmtId="0" fontId="32" fillId="0" borderId="1" xfId="0" applyFont="1" applyBorder="1" applyAlignment="1">
      <alignment horizontal="right"/>
    </xf>
    <xf numFmtId="0" fontId="32" fillId="0" borderId="6" xfId="0" applyFont="1" applyBorder="1" applyAlignment="1">
      <alignment horizontal="right"/>
    </xf>
    <xf numFmtId="167" fontId="45" fillId="0" borderId="1" xfId="0" applyNumberFormat="1" applyFont="1" applyBorder="1" applyAlignment="1">
      <alignment horizontal="center"/>
    </xf>
    <xf numFmtId="0" fontId="49" fillId="0" borderId="13" xfId="0" applyFont="1" applyBorder="1"/>
    <xf numFmtId="43" fontId="32" fillId="0" borderId="0" xfId="0" applyNumberFormat="1" applyFont="1" applyAlignment="1">
      <alignment horizontal="right" vertical="center"/>
    </xf>
    <xf numFmtId="43" fontId="32" fillId="0" borderId="5" xfId="0" applyNumberFormat="1" applyFont="1" applyBorder="1" applyAlignment="1">
      <alignment horizontal="right" vertical="center"/>
    </xf>
    <xf numFmtId="0" fontId="32" fillId="0" borderId="13" xfId="0" applyFont="1" applyBorder="1"/>
    <xf numFmtId="0" fontId="32" fillId="0" borderId="5" xfId="0" applyFont="1" applyBorder="1"/>
    <xf numFmtId="0" fontId="50" fillId="0" borderId="13" xfId="0" applyFont="1" applyBorder="1"/>
    <xf numFmtId="0" fontId="45" fillId="0" borderId="0" xfId="0" applyFont="1" applyAlignment="1">
      <alignment horizontal="right"/>
    </xf>
    <xf numFmtId="0" fontId="45" fillId="0" borderId="5" xfId="0" applyFont="1" applyBorder="1" applyAlignment="1">
      <alignment horizontal="right"/>
    </xf>
    <xf numFmtId="2" fontId="32" fillId="0" borderId="0" xfId="0" applyNumberFormat="1" applyFont="1"/>
    <xf numFmtId="176" fontId="32" fillId="0" borderId="5" xfId="0" applyNumberFormat="1" applyFont="1" applyBorder="1"/>
    <xf numFmtId="0" fontId="49" fillId="0" borderId="11" xfId="0" applyFont="1" applyBorder="1"/>
    <xf numFmtId="0" fontId="32" fillId="0" borderId="3" xfId="0" applyFont="1" applyBorder="1"/>
    <xf numFmtId="2" fontId="32" fillId="0" borderId="3" xfId="0" applyNumberFormat="1" applyFont="1" applyBorder="1"/>
    <xf numFmtId="176" fontId="32" fillId="0" borderId="12" xfId="0" applyNumberFormat="1" applyFont="1" applyBorder="1"/>
    <xf numFmtId="0" fontId="49" fillId="0" borderId="0" xfId="0" applyFont="1"/>
    <xf numFmtId="0" fontId="47" fillId="0" borderId="0" xfId="0" applyFont="1"/>
    <xf numFmtId="0" fontId="32" fillId="0" borderId="15" xfId="0" applyFont="1" applyBorder="1"/>
    <xf numFmtId="0" fontId="45" fillId="0" borderId="16" xfId="0" applyFont="1" applyBorder="1"/>
    <xf numFmtId="0" fontId="45" fillId="0" borderId="17" xfId="0" applyFont="1" applyBorder="1"/>
    <xf numFmtId="0" fontId="49" fillId="0" borderId="18" xfId="0" applyFont="1" applyBorder="1"/>
    <xf numFmtId="2" fontId="32" fillId="0" borderId="14" xfId="0" applyNumberFormat="1" applyFont="1" applyBorder="1"/>
    <xf numFmtId="2" fontId="32" fillId="0" borderId="19" xfId="0" applyNumberFormat="1" applyFont="1" applyBorder="1"/>
    <xf numFmtId="0" fontId="49" fillId="0" borderId="20" xfId="0" applyFont="1" applyBorder="1"/>
    <xf numFmtId="2" fontId="32" fillId="0" borderId="21" xfId="0" applyNumberFormat="1" applyFont="1" applyBorder="1"/>
    <xf numFmtId="2" fontId="32" fillId="0" borderId="22" xfId="0" applyNumberFormat="1" applyFont="1" applyBorder="1"/>
    <xf numFmtId="0" fontId="51" fillId="0" borderId="0" xfId="0" applyFont="1"/>
    <xf numFmtId="0" fontId="51" fillId="0" borderId="0" xfId="0" applyFont="1" applyProtection="1">
      <protection hidden="1"/>
    </xf>
    <xf numFmtId="169" fontId="51" fillId="0" borderId="0" xfId="2" applyNumberFormat="1" applyFont="1"/>
    <xf numFmtId="169" fontId="52" fillId="0" borderId="0" xfId="2" applyNumberFormat="1" applyFont="1"/>
    <xf numFmtId="0" fontId="51" fillId="0" borderId="0" xfId="0" applyFont="1" applyAlignment="1">
      <alignment horizontal="left"/>
    </xf>
    <xf numFmtId="0" fontId="51" fillId="0" borderId="0" xfId="0" applyFont="1" applyAlignment="1" applyProtection="1">
      <alignment horizontal="left"/>
      <protection hidden="1"/>
    </xf>
    <xf numFmtId="169" fontId="51" fillId="0" borderId="0" xfId="2" applyNumberFormat="1" applyFont="1" applyAlignment="1">
      <alignment horizontal="left"/>
    </xf>
    <xf numFmtId="169" fontId="52" fillId="0" borderId="0" xfId="2" applyNumberFormat="1" applyFont="1" applyAlignment="1">
      <alignment horizontal="left"/>
    </xf>
    <xf numFmtId="37" fontId="51" fillId="10" borderId="0" xfId="2" applyNumberFormat="1" applyFont="1" applyFill="1" applyAlignment="1"/>
    <xf numFmtId="169" fontId="30" fillId="0" borderId="0" xfId="2" applyNumberFormat="1" applyFont="1" applyAlignment="1"/>
    <xf numFmtId="169" fontId="51" fillId="0" borderId="0" xfId="2" applyNumberFormat="1" applyFont="1" applyAlignment="1"/>
    <xf numFmtId="169" fontId="52" fillId="0" borderId="0" xfId="2" applyNumberFormat="1" applyFont="1" applyAlignment="1"/>
    <xf numFmtId="43" fontId="52" fillId="0" borderId="0" xfId="2" applyFont="1" applyAlignment="1"/>
    <xf numFmtId="39" fontId="31" fillId="5" borderId="0" xfId="2" applyNumberFormat="1" applyFont="1" applyFill="1" applyAlignment="1"/>
    <xf numFmtId="39" fontId="51" fillId="10" borderId="0" xfId="2" applyNumberFormat="1" applyFont="1" applyFill="1" applyAlignment="1"/>
    <xf numFmtId="0" fontId="51" fillId="0" borderId="3" xfId="0" applyFont="1" applyBorder="1" applyProtection="1">
      <protection hidden="1"/>
    </xf>
    <xf numFmtId="169" fontId="51" fillId="0" borderId="3" xfId="2" applyNumberFormat="1" applyFont="1" applyBorder="1" applyAlignment="1"/>
    <xf numFmtId="9" fontId="51" fillId="0" borderId="0" xfId="0" applyNumberFormat="1" applyFont="1" applyProtection="1">
      <protection hidden="1"/>
    </xf>
    <xf numFmtId="169" fontId="51" fillId="0" borderId="0" xfId="2" applyNumberFormat="1" applyFont="1" applyBorder="1" applyAlignment="1"/>
    <xf numFmtId="9" fontId="51" fillId="10" borderId="3" xfId="0" applyNumberFormat="1" applyFont="1" applyFill="1" applyBorder="1" applyProtection="1">
      <protection hidden="1"/>
    </xf>
    <xf numFmtId="169" fontId="51" fillId="0" borderId="3" xfId="2" applyNumberFormat="1" applyFont="1" applyBorder="1" applyAlignment="1">
      <alignment horizontal="left"/>
    </xf>
    <xf numFmtId="0" fontId="52" fillId="0" borderId="0" xfId="0" applyFont="1" applyProtection="1">
      <protection hidden="1"/>
    </xf>
    <xf numFmtId="169" fontId="51" fillId="0" borderId="0" xfId="2" applyNumberFormat="1" applyFont="1" applyProtection="1">
      <protection hidden="1"/>
    </xf>
    <xf numFmtId="9" fontId="51" fillId="0" borderId="0" xfId="1" applyFont="1" applyProtection="1">
      <protection hidden="1"/>
    </xf>
    <xf numFmtId="0" fontId="52" fillId="0" borderId="1" xfId="0" applyFont="1" applyBorder="1" applyProtection="1">
      <protection hidden="1"/>
    </xf>
    <xf numFmtId="0" fontId="53" fillId="0" borderId="0" xfId="0" applyFont="1" applyProtection="1">
      <protection hidden="1"/>
    </xf>
    <xf numFmtId="9" fontId="51" fillId="10" borderId="0" xfId="1" applyFont="1" applyFill="1" applyAlignment="1"/>
    <xf numFmtId="43" fontId="51" fillId="10" borderId="0" xfId="2" applyFont="1" applyFill="1" applyAlignment="1"/>
    <xf numFmtId="169" fontId="52" fillId="0" borderId="0" xfId="2" applyNumberFormat="1" applyFont="1" applyProtection="1">
      <protection hidden="1"/>
    </xf>
    <xf numFmtId="169" fontId="52" fillId="0" borderId="0" xfId="0" applyNumberFormat="1" applyFont="1" applyAlignment="1" applyProtection="1">
      <alignment horizontal="right"/>
      <protection hidden="1"/>
    </xf>
    <xf numFmtId="37" fontId="52" fillId="0" borderId="0" xfId="0" applyNumberFormat="1" applyFont="1" applyAlignment="1">
      <alignment horizontal="right"/>
    </xf>
    <xf numFmtId="37" fontId="51" fillId="10" borderId="3" xfId="2" applyNumberFormat="1" applyFont="1" applyFill="1" applyBorder="1" applyAlignment="1"/>
    <xf numFmtId="169" fontId="52" fillId="0" borderId="0" xfId="2" applyNumberFormat="1" applyFont="1" applyBorder="1" applyAlignment="1">
      <alignment horizontal="left"/>
    </xf>
    <xf numFmtId="169" fontId="51" fillId="0" borderId="0" xfId="2" applyNumberFormat="1" applyFont="1" applyBorder="1" applyAlignment="1">
      <alignment horizontal="left"/>
    </xf>
    <xf numFmtId="169" fontId="52" fillId="0" borderId="3" xfId="2" applyNumberFormat="1" applyFont="1" applyBorder="1" applyAlignment="1">
      <alignment horizontal="left"/>
    </xf>
    <xf numFmtId="169" fontId="51" fillId="0" borderId="3" xfId="2" applyNumberFormat="1" applyFont="1" applyBorder="1"/>
    <xf numFmtId="0" fontId="31" fillId="5" borderId="0" xfId="0" applyFont="1" applyFill="1" applyAlignment="1">
      <alignment vertical="center"/>
    </xf>
    <xf numFmtId="165" fontId="51" fillId="10" borderId="3" xfId="0" applyNumberFormat="1" applyFont="1" applyFill="1" applyBorder="1" applyProtection="1">
      <protection hidden="1"/>
    </xf>
    <xf numFmtId="9" fontId="51" fillId="0" borderId="0" xfId="1" applyFont="1"/>
    <xf numFmtId="0" fontId="46" fillId="5" borderId="0" xfId="0" applyFont="1" applyFill="1" applyAlignment="1">
      <alignment horizontal="center"/>
    </xf>
    <xf numFmtId="167" fontId="45" fillId="0" borderId="1" xfId="0" applyNumberFormat="1" applyFont="1" applyBorder="1" applyAlignment="1">
      <alignment horizontal="center"/>
    </xf>
    <xf numFmtId="167" fontId="45" fillId="0" borderId="10" xfId="0" applyNumberFormat="1" applyFont="1" applyBorder="1" applyAlignment="1">
      <alignment horizontal="center"/>
    </xf>
    <xf numFmtId="0" fontId="40" fillId="2" borderId="0" xfId="0" applyFont="1" applyFill="1" applyAlignment="1" applyProtection="1">
      <alignment horizontal="center" vertical="center"/>
      <protection hidden="1"/>
    </xf>
    <xf numFmtId="0" fontId="30" fillId="0" borderId="3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</cellXfs>
  <cellStyles count="7">
    <cellStyle name="Comma" xfId="2" builtinId="3"/>
    <cellStyle name="Comma 2" xfId="3" xr:uid="{00000000-0005-0000-0000-000001000000}"/>
    <cellStyle name="Hyperlink" xfId="4" builtinId="8"/>
    <cellStyle name="Hyperlink 2 2" xfId="6" xr:uid="{D01636B6-1B58-4BFA-BF35-50CD55888E20}"/>
    <cellStyle name="Normal" xfId="0" builtinId="0"/>
    <cellStyle name="Normal 2 2" xfId="5" xr:uid="{23F72487-C365-40CD-9487-738A2CE7B713}"/>
    <cellStyle name="Percent" xfId="1" builtinId="5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132E57"/>
      <color rgb="FF144669"/>
      <color rgb="FF1E8496"/>
      <color rgb="FFED942D"/>
      <color rgb="FFED93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COMPS!$Q$53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COMPS!$R$52:$V$52</c:f>
              <c:strCache>
                <c:ptCount val="5"/>
                <c:pt idx="0">
                  <c:v>EV/Revenue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  <c:pt idx="4">
                  <c:v>P/NAV</c:v>
                </c:pt>
              </c:strCache>
            </c:strRef>
          </c:cat>
          <c:val>
            <c:numRef>
              <c:f>COMPS!$R$53:$V$53</c:f>
              <c:numCache>
                <c:formatCode>0.00</c:formatCode>
                <c:ptCount val="5"/>
                <c:pt idx="0">
                  <c:v>0.62793223284100785</c:v>
                </c:pt>
                <c:pt idx="1">
                  <c:v>0.41230289085975064</c:v>
                </c:pt>
                <c:pt idx="2">
                  <c:v>0.62793223284100785</c:v>
                </c:pt>
                <c:pt idx="3">
                  <c:v>0.55000000000000004</c:v>
                </c:pt>
                <c:pt idx="4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C-F846-BB22-98E365499912}"/>
            </c:ext>
          </c:extLst>
        </c:ser>
        <c:ser>
          <c:idx val="1"/>
          <c:order val="1"/>
          <c:tx>
            <c:strRef>
              <c:f>COMPS!$Q$54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rgbClr val="144669"/>
            </a:solidFill>
            <a:ln>
              <a:noFill/>
            </a:ln>
            <a:effectLst/>
          </c:spPr>
          <c:invertIfNegative val="0"/>
          <c:cat>
            <c:strRef>
              <c:f>COMPS!$R$52:$V$52</c:f>
              <c:strCache>
                <c:ptCount val="5"/>
                <c:pt idx="0">
                  <c:v>EV/Revenue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  <c:pt idx="4">
                  <c:v>P/NAV</c:v>
                </c:pt>
              </c:strCache>
            </c:strRef>
          </c:cat>
          <c:val>
            <c:numRef>
              <c:f>COMPS!$R$54:$V$54</c:f>
              <c:numCache>
                <c:formatCode>0.00</c:formatCode>
                <c:ptCount val="5"/>
                <c:pt idx="0">
                  <c:v>0.57253341012700221</c:v>
                </c:pt>
                <c:pt idx="1">
                  <c:v>0.612514398274012</c:v>
                </c:pt>
                <c:pt idx="2">
                  <c:v>1.891596462284872</c:v>
                </c:pt>
                <c:pt idx="3">
                  <c:v>0.57935064935064928</c:v>
                </c:pt>
                <c:pt idx="4">
                  <c:v>2.259468635400995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C-F846-BB22-98E365499912}"/>
            </c:ext>
          </c:extLst>
        </c:ser>
        <c:ser>
          <c:idx val="2"/>
          <c:order val="2"/>
          <c:tx>
            <c:strRef>
              <c:f>COMPS!$Q$55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COMPS!$R$52:$V$52</c:f>
              <c:strCache>
                <c:ptCount val="5"/>
                <c:pt idx="0">
                  <c:v>EV/Revenue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  <c:pt idx="4">
                  <c:v>P/NAV</c:v>
                </c:pt>
              </c:strCache>
            </c:strRef>
          </c:cat>
          <c:val>
            <c:numRef>
              <c:f>COMPS!$R$55:$V$55</c:f>
              <c:numCache>
                <c:formatCode>0.00</c:formatCode>
                <c:ptCount val="5"/>
                <c:pt idx="0">
                  <c:v>1.2004656429680101</c:v>
                </c:pt>
                <c:pt idx="1">
                  <c:v>1.0248172891337626</c:v>
                </c:pt>
                <c:pt idx="2">
                  <c:v>2.5195286951258797</c:v>
                </c:pt>
                <c:pt idx="3">
                  <c:v>1.1293506493506493</c:v>
                </c:pt>
                <c:pt idx="4">
                  <c:v>2.8094686354009952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C-F846-BB22-98E365499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8165263"/>
        <c:axId val="1868166991"/>
      </c:barChart>
      <c:catAx>
        <c:axId val="1868165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66991"/>
        <c:crosses val="autoZero"/>
        <c:auto val="1"/>
        <c:lblAlgn val="ctr"/>
        <c:lblOffset val="100"/>
        <c:noMultiLvlLbl val="0"/>
      </c:catAx>
      <c:valAx>
        <c:axId val="1868166991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6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versus P/E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'[1]Financial Data'!$BI$753</c:f>
              <c:strCache>
                <c:ptCount val="1"/>
                <c:pt idx="0">
                  <c:v>LTM Return on Equity %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D94-9E46-AB87-40C2AEFAD4C8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'[1]Financial Data'!$BI$754:$BI$763</c:f>
              <c:numCache>
                <c:formatCode>General</c:formatCode>
                <c:ptCount val="10"/>
                <c:pt idx="0">
                  <c:v>7.1999999999999995E-2</c:v>
                </c:pt>
                <c:pt idx="1">
                  <c:v>0.22900000000000001</c:v>
                </c:pt>
                <c:pt idx="2">
                  <c:v>0.14199999999999999</c:v>
                </c:pt>
                <c:pt idx="3">
                  <c:v>4.4999999999999998E-2</c:v>
                </c:pt>
                <c:pt idx="4">
                  <c:v>5.8999999999999997E-2</c:v>
                </c:pt>
                <c:pt idx="5">
                  <c:v>0.24</c:v>
                </c:pt>
                <c:pt idx="6">
                  <c:v>8.2000000000000003E-2</c:v>
                </c:pt>
                <c:pt idx="7">
                  <c:v>2.7E-2</c:v>
                </c:pt>
                <c:pt idx="8">
                  <c:v>0.192</c:v>
                </c:pt>
                <c:pt idx="9">
                  <c:v>0.22800000000000001</c:v>
                </c:pt>
              </c:numCache>
            </c:numRef>
          </c:xVal>
          <c:yVal>
            <c:numRef>
              <c:f>'[1]Financial Data'!$BH$754:$BH$763</c:f>
              <c:numCache>
                <c:formatCode>General</c:formatCode>
                <c:ptCount val="10"/>
                <c:pt idx="0">
                  <c:v>23.2</c:v>
                </c:pt>
                <c:pt idx="1">
                  <c:v>12.1</c:v>
                </c:pt>
                <c:pt idx="2">
                  <c:v>25.8</c:v>
                </c:pt>
                <c:pt idx="3">
                  <c:v>33.4</c:v>
                </c:pt>
                <c:pt idx="4">
                  <c:v>20.100000000000001</c:v>
                </c:pt>
                <c:pt idx="5">
                  <c:v>10.6</c:v>
                </c:pt>
                <c:pt idx="6">
                  <c:v>49.4</c:v>
                </c:pt>
                <c:pt idx="7">
                  <c:v>57.4</c:v>
                </c:pt>
                <c:pt idx="8">
                  <c:v>9</c:v>
                </c:pt>
                <c:pt idx="9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94-9E46-AB87-40C2AEFA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43904"/>
        <c:axId val="1"/>
      </c:scatterChart>
      <c:valAx>
        <c:axId val="208364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80808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P/E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43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3DC-4928-B7BE-4CABFA68FA97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3DC-4928-B7BE-4CABFA68F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B3DC-4928-B7BE-4CABFA68F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D43-454C-8B8C-6C24CBC67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D43-454C-8B8C-6C24CBC67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304-4F37-861E-E1A656041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304-4F37-861E-E1A656041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2EC-9641-BA9B-93096AC7148A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2EC-9641-BA9B-93096AC7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92EC-9641-BA9B-93096AC7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AB6-794E-BFB0-CD5619A66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AB6-794E-BFB0-CD5619A66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7DB-B745-B317-04E941B00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7DB-B745-B317-04E941B00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64E-8244-9A43-5DB7A899447D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64E-8244-9A43-5DB7A8994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A64E-8244-9A43-5DB7A8994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A07-F645-A084-DCAE1D1A8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A07-F645-A084-DCAE1D1A8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7E2-2A44-923F-B545A86F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7E2-2A44-923F-B545A86F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72D-E14A-92A5-CA933AACBFBF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72D-E14A-92A5-CA933AACB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872D-E14A-92A5-CA933AACB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7E6-CA46-956F-50E4F6EF6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7E6-CA46-956F-50E4F6EF6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001-B745-99A6-7C91C6255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001-B745-99A6-7C91C6255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60-3942-B996-BE7664F7DD55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B60-3942-B996-BE7664F7D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3B60-3942-B996-BE7664F7D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730-BF40-B316-49820CF8E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730-BF40-B316-49820CF8E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6A5-4041-9859-4E2FD3AB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6A5-4041-9859-4E2FD3AB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288-A643-9CB7-A8054BE7862B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288-A643-9CB7-A8054BE7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E288-A643-9CB7-A8054BE7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A0C-3845-8702-79A46D31C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A0C-3845-8702-79A46D31C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D59-0745-88DF-11FE43A9A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D59-0745-88DF-11FE43A9A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A6E-1244-8BA9-714B8D79C09A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A6E-1244-8BA9-714B8D79C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FA6E-1244-8BA9-714B8D79C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848-1D4B-BE6D-6FB8D5B01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848-1D4B-BE6D-6FB8D5B01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22E-0841-9DB1-5632D76F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22E-0841-9DB1-5632D76F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0E-C34D-8F17-A7BED9A46F2F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B0E-C34D-8F17-A7BED9A46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3B0E-C34D-8F17-A7BED9A46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996-734E-9F68-6CF33A0E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996-734E-9F68-6CF33A0E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B2D-2B4E-B231-5B7A9F75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B2D-2B4E-B231-5B7A9F75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Orezone!$A$283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Orezone!$G$283:$R$283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E53-B64C-BE63-495D0D39CDFA}"/>
            </c:ext>
          </c:extLst>
        </c:ser>
        <c:ser>
          <c:idx val="1"/>
          <c:order val="1"/>
          <c:tx>
            <c:strRef>
              <c:f>Orezone!$A$284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Orezone!$G$284:$R$284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E53-B64C-BE63-495D0D39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360128"/>
        <c:axId val="205840248"/>
      </c:barChart>
      <c:lineChart>
        <c:grouping val="standard"/>
        <c:varyColors val="0"/>
        <c:ser>
          <c:idx val="2"/>
          <c:order val="2"/>
          <c:tx>
            <c:strRef>
              <c:f>Orezone!$A$285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Orezone!$G$285:$R$285</c:f>
            </c:numRef>
          </c:val>
          <c:smooth val="0"/>
          <c:extLst>
            <c:ext xmlns:c16="http://schemas.microsoft.com/office/drawing/2014/chart" uri="{C3380CC4-5D6E-409C-BE32-E72D297353CC}">
              <c16:uniqueId val="{00000002-3E53-B64C-BE63-495D0D39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128"/>
        <c:axId val="205840248"/>
      </c:lineChart>
      <c:catAx>
        <c:axId val="20536012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248"/>
        <c:crosses val="autoZero"/>
        <c:auto val="1"/>
        <c:lblAlgn val="ctr"/>
        <c:lblOffset val="100"/>
        <c:noMultiLvlLbl val="0"/>
      </c:catAx>
      <c:valAx>
        <c:axId val="205840248"/>
        <c:scaling>
          <c:orientation val="minMax"/>
          <c:min val="-100000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Orezone!$A$289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Orezone!$F$289:$R$289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22-F042-846B-1D6F16D1D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389512"/>
        <c:axId val="205538472"/>
      </c:barChart>
      <c:lineChart>
        <c:grouping val="standard"/>
        <c:varyColors val="0"/>
        <c:ser>
          <c:idx val="2"/>
          <c:order val="0"/>
          <c:tx>
            <c:strRef>
              <c:f>Orezone!$A$288</c:f>
              <c:strCache>
                <c:ptCount val="1"/>
                <c:pt idx="0">
                  <c:v>Cumulative Free Cash 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Orezone!$F$288:$R$288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22-F042-846B-1D6F16D1D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89512"/>
        <c:axId val="205538472"/>
      </c:lineChart>
      <c:catAx>
        <c:axId val="132389512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72"/>
        <c:crosses val="autoZero"/>
        <c:auto val="1"/>
        <c:lblAlgn val="ctr"/>
        <c:lblOffset val="100"/>
        <c:noMultiLvlLbl val="0"/>
      </c:catAx>
      <c:valAx>
        <c:axId val="205538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Orezone!$A$291</c:f>
              <c:strCache>
                <c:ptCount val="1"/>
                <c:pt idx="0">
                  <c:v>Gold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Orezone!$G$291:$R$291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AA-7C48-9867-BD91563F1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5290208"/>
        <c:axId val="206655112"/>
      </c:barChart>
      <c:lineChart>
        <c:grouping val="standard"/>
        <c:varyColors val="0"/>
        <c:ser>
          <c:idx val="2"/>
          <c:order val="0"/>
          <c:tx>
            <c:strRef>
              <c:f>Orezone!$A$292</c:f>
              <c:strCache>
                <c:ptCount val="1"/>
                <c:pt idx="0">
                  <c:v>All-In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Orezone!$G$292:$R$292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Orezone!$G$282:$R$282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AA-7C48-9867-BD91563F1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2952"/>
        <c:axId val="206868472"/>
      </c:lineChart>
      <c:catAx>
        <c:axId val="205290208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5112"/>
        <c:crosses val="autoZero"/>
        <c:auto val="1"/>
        <c:lblAlgn val="ctr"/>
        <c:lblOffset val="100"/>
        <c:noMultiLvlLbl val="0"/>
      </c:catAx>
      <c:valAx>
        <c:axId val="2066551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0208"/>
        <c:crosses val="autoZero"/>
        <c:crossBetween val="between"/>
      </c:valAx>
      <c:valAx>
        <c:axId val="206868472"/>
        <c:scaling>
          <c:orientation val="minMax"/>
          <c:min val="400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2952"/>
        <c:crosses val="max"/>
        <c:crossBetween val="between"/>
      </c:valAx>
      <c:catAx>
        <c:axId val="206872952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206868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593874</xdr:colOff>
      <xdr:row>37</xdr:row>
      <xdr:rowOff>4187</xdr:rowOff>
    </xdr:from>
    <xdr:to>
      <xdr:col>34</xdr:col>
      <xdr:colOff>588290</xdr:colOff>
      <xdr:row>59</xdr:row>
      <xdr:rowOff>77626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C49EB-9180-7243-8995-FB031FEFC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451136</xdr:colOff>
      <xdr:row>39</xdr:row>
      <xdr:rowOff>337</xdr:rowOff>
    </xdr:from>
    <xdr:to>
      <xdr:col>26</xdr:col>
      <xdr:colOff>456907</xdr:colOff>
      <xdr:row>57</xdr:row>
      <xdr:rowOff>88605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ED4D95-5343-0E4F-8835-EA333EA4414E}"/>
            </a:ext>
          </a:extLst>
        </xdr:cNvPr>
        <xdr:cNvCxnSpPr/>
      </xdr:nvCxnSpPr>
      <xdr:spPr>
        <a:xfrm>
          <a:off x="17927204" y="7218713"/>
          <a:ext cx="5771" cy="3257841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621497</xdr:colOff>
      <xdr:row>39</xdr:row>
      <xdr:rowOff>290</xdr:rowOff>
    </xdr:from>
    <xdr:to>
      <xdr:col>26</xdr:col>
      <xdr:colOff>630249</xdr:colOff>
      <xdr:row>57</xdr:row>
      <xdr:rowOff>88605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47D82E-1165-104A-9258-35505A156125}"/>
            </a:ext>
          </a:extLst>
        </xdr:cNvPr>
        <xdr:cNvCxnSpPr/>
      </xdr:nvCxnSpPr>
      <xdr:spPr>
        <a:xfrm flipH="1">
          <a:off x="18097565" y="7218666"/>
          <a:ext cx="8752" cy="325788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65720</xdr:colOff>
      <xdr:row>36</xdr:row>
      <xdr:rowOff>49690</xdr:rowOff>
    </xdr:from>
    <xdr:to>
      <xdr:col>6</xdr:col>
      <xdr:colOff>361508</xdr:colOff>
      <xdr:row>50</xdr:row>
      <xdr:rowOff>38098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2CD7ED-3DBC-23EC-0CD5-8618BA6A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20" y="6992357"/>
          <a:ext cx="5443521" cy="2371775"/>
        </a:xfrm>
        <a:prstGeom prst="rect">
          <a:avLst/>
        </a:prstGeom>
      </xdr:spPr>
    </xdr:pic>
    <xdr:clientData/>
  </xdr:twoCellAnchor>
  <xdr:twoCellAnchor>
    <xdr:from>
      <xdr:col>6</xdr:col>
      <xdr:colOff>355160</xdr:colOff>
      <xdr:row>36</xdr:row>
      <xdr:rowOff>48635</xdr:rowOff>
    </xdr:from>
    <xdr:to>
      <xdr:col>15</xdr:col>
      <xdr:colOff>626534</xdr:colOff>
      <xdr:row>56</xdr:row>
      <xdr:rowOff>101599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C3C6C897-1793-0247-934C-F1FC196F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609600</xdr:colOff>
      <xdr:row>1</xdr:row>
      <xdr:rowOff>16933</xdr:rowOff>
    </xdr:from>
    <xdr:to>
      <xdr:col>35</xdr:col>
      <xdr:colOff>84667</xdr:colOff>
      <xdr:row>35</xdr:row>
      <xdr:rowOff>118533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767C095-EDFC-ABDD-C23D-454F298640E8}"/>
            </a:ext>
          </a:extLst>
        </xdr:cNvPr>
        <xdr:cNvSpPr txBox="1"/>
      </xdr:nvSpPr>
      <xdr:spPr>
        <a:xfrm>
          <a:off x="16713200" y="203200"/>
          <a:ext cx="6993467" cy="667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Orezone</a:t>
          </a:r>
          <a:r>
            <a:rPr lang="en-US" sz="1600" baseline="0"/>
            <a:t> Gold Corp is underpriced compared to its closest peers, with P/E being 6.9x compared to the median 9.1x and P/NAV being 0.2x compared to the median 0.8x.</a:t>
          </a:r>
        </a:p>
        <a:p>
          <a:endParaRPr lang="en-US" sz="1600" baseline="0"/>
        </a:p>
        <a:p>
          <a:r>
            <a:rPr lang="en-US" sz="1600" baseline="0"/>
            <a:t>The choice of closest peers is based on a linear regressions of various variables against P/E on a sample of 700 old companies in the world. Result gives ROE and size of Gold Reserves as the two statistically significant variables that together explains about 30% of gold stock price volatility.</a:t>
          </a:r>
        </a:p>
        <a:p>
          <a:endParaRPr lang="en-US" sz="1600" baseline="0"/>
        </a:p>
        <a:p>
          <a:r>
            <a:rPr lang="en-US" sz="1600" baseline="0"/>
            <a:t>Narrowing down to firms with primary mines in Africa, where most gold reserves of the world concentrate, ROE explains more than 50% of volatility. Using regression coefficients, </a:t>
          </a:r>
          <a:r>
            <a:rPr lang="en-US" sz="1600" b="1" baseline="0"/>
            <a:t>implied price </a:t>
          </a:r>
          <a:r>
            <a:rPr lang="en-US" sz="1600" b="0" baseline="0"/>
            <a:t>of Orezone Gold Corp. is expected to be $0.76, representing a &gt;20% upside.</a:t>
          </a:r>
        </a:p>
        <a:p>
          <a:endParaRPr lang="en-US" sz="1600" b="0" baseline="0"/>
        </a:p>
        <a:p>
          <a:r>
            <a:rPr lang="en-US" sz="1600"/>
            <a:t>Detailed NAV calculations</a:t>
          </a:r>
          <a:r>
            <a:rPr lang="en-US" sz="1600" baseline="0"/>
            <a:t> for each firms are presented in each sheet of this workbook.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254</xdr:row>
      <xdr:rowOff>124199</xdr:rowOff>
    </xdr:from>
    <xdr:to>
      <xdr:col>6</xdr:col>
      <xdr:colOff>610721</xdr:colOff>
      <xdr:row>260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18161" y="46600597"/>
          <a:ext cx="784413" cy="10692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269</xdr:row>
      <xdr:rowOff>63406</xdr:rowOff>
    </xdr:from>
    <xdr:to>
      <xdr:col>6</xdr:col>
      <xdr:colOff>621927</xdr:colOff>
      <xdr:row>274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71576" y="49173186"/>
          <a:ext cx="742204" cy="9294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Gold</a:t>
          </a:r>
          <a:r>
            <a:rPr lang="en-US" sz="1100" baseline="0"/>
            <a:t> price (USD/oz)</a:t>
          </a:r>
        </a:p>
      </xdr:txBody>
    </xdr:sp>
    <xdr:clientData/>
  </xdr:twoCellAnchor>
  <xdr:twoCellAnchor>
    <xdr:from>
      <xdr:col>0</xdr:col>
      <xdr:colOff>161288</xdr:colOff>
      <xdr:row>298</xdr:row>
      <xdr:rowOff>5080</xdr:rowOff>
    </xdr:from>
    <xdr:to>
      <xdr:col>6</xdr:col>
      <xdr:colOff>581024</xdr:colOff>
      <xdr:row>312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298</xdr:row>
      <xdr:rowOff>14605</xdr:rowOff>
    </xdr:from>
    <xdr:to>
      <xdr:col>11</xdr:col>
      <xdr:colOff>593726</xdr:colOff>
      <xdr:row>312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298</xdr:row>
      <xdr:rowOff>28574</xdr:rowOff>
    </xdr:from>
    <xdr:to>
      <xdr:col>16</xdr:col>
      <xdr:colOff>592725</xdr:colOff>
      <xdr:row>312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552822</xdr:colOff>
      <xdr:row>352</xdr:row>
      <xdr:rowOff>136899</xdr:rowOff>
    </xdr:from>
    <xdr:to>
      <xdr:col>6</xdr:col>
      <xdr:colOff>356721</xdr:colOff>
      <xdr:row>358</xdr:row>
      <xdr:rowOff>163979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5B8EFA-40F6-2348-B9ED-02EFBAB7543C}"/>
            </a:ext>
          </a:extLst>
        </xdr:cNvPr>
        <xdr:cNvSpPr txBox="1"/>
      </xdr:nvSpPr>
      <xdr:spPr>
        <a:xfrm>
          <a:off x="4096122" y="66316599"/>
          <a:ext cx="857999" cy="1093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Gold Price (USD/oz)</a:t>
          </a:r>
        </a:p>
      </xdr:txBody>
    </xdr:sp>
    <xdr:clientData/>
  </xdr:twoCellAnchor>
  <xdr:twoCellAnchor>
    <xdr:from>
      <xdr:col>5</xdr:col>
      <xdr:colOff>860237</xdr:colOff>
      <xdr:row>368</xdr:row>
      <xdr:rowOff>63406</xdr:rowOff>
    </xdr:from>
    <xdr:to>
      <xdr:col>6</xdr:col>
      <xdr:colOff>621927</xdr:colOff>
      <xdr:row>373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F178F8-0E1A-9941-BDF1-2D50F88748F1}"/>
            </a:ext>
          </a:extLst>
        </xdr:cNvPr>
        <xdr:cNvSpPr txBox="1"/>
      </xdr:nvSpPr>
      <xdr:spPr>
        <a:xfrm>
          <a:off x="4403537" y="569595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396</xdr:row>
      <xdr:rowOff>5080</xdr:rowOff>
    </xdr:from>
    <xdr:to>
      <xdr:col>6</xdr:col>
      <xdr:colOff>581024</xdr:colOff>
      <xdr:row>410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D0C79C-0E0C-E240-9C0F-A3A8D9024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396</xdr:row>
      <xdr:rowOff>14605</xdr:rowOff>
    </xdr:from>
    <xdr:to>
      <xdr:col>11</xdr:col>
      <xdr:colOff>593726</xdr:colOff>
      <xdr:row>410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5E9C12-8B1E-EC40-947A-DDC5DC147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396</xdr:row>
      <xdr:rowOff>28574</xdr:rowOff>
    </xdr:from>
    <xdr:to>
      <xdr:col>16</xdr:col>
      <xdr:colOff>592725</xdr:colOff>
      <xdr:row>410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918380-2BD9-5446-83E5-266674BE7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166</xdr:row>
      <xdr:rowOff>124199</xdr:rowOff>
    </xdr:from>
    <xdr:to>
      <xdr:col>6</xdr:col>
      <xdr:colOff>610721</xdr:colOff>
      <xdr:row>172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E1B59E-3998-8A49-BBBA-5079DE55A240}"/>
            </a:ext>
          </a:extLst>
        </xdr:cNvPr>
        <xdr:cNvSpPr txBox="1"/>
      </xdr:nvSpPr>
      <xdr:spPr>
        <a:xfrm>
          <a:off x="4350122" y="647065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181</xdr:row>
      <xdr:rowOff>63406</xdr:rowOff>
    </xdr:from>
    <xdr:to>
      <xdr:col>6</xdr:col>
      <xdr:colOff>621927</xdr:colOff>
      <xdr:row>186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26E1CD-B19A-EC49-A0A1-24BEED6FC4F0}"/>
            </a:ext>
          </a:extLst>
        </xdr:cNvPr>
        <xdr:cNvSpPr txBox="1"/>
      </xdr:nvSpPr>
      <xdr:spPr>
        <a:xfrm>
          <a:off x="4403537" y="647065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209</xdr:row>
      <xdr:rowOff>5080</xdr:rowOff>
    </xdr:from>
    <xdr:to>
      <xdr:col>6</xdr:col>
      <xdr:colOff>581024</xdr:colOff>
      <xdr:row>223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259BEF-CDFE-1742-8321-58912A715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209</xdr:row>
      <xdr:rowOff>14605</xdr:rowOff>
    </xdr:from>
    <xdr:to>
      <xdr:col>11</xdr:col>
      <xdr:colOff>593726</xdr:colOff>
      <xdr:row>223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42B70-A29A-3B4A-A042-6596745B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209</xdr:row>
      <xdr:rowOff>28574</xdr:rowOff>
    </xdr:from>
    <xdr:to>
      <xdr:col>16</xdr:col>
      <xdr:colOff>0</xdr:colOff>
      <xdr:row>223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49DB00-CE93-434C-88FA-59DAE7462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191</xdr:row>
      <xdr:rowOff>124199</xdr:rowOff>
    </xdr:from>
    <xdr:to>
      <xdr:col>6</xdr:col>
      <xdr:colOff>610721</xdr:colOff>
      <xdr:row>197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10739D-ABD6-E64D-969D-07561E88DAE0}"/>
            </a:ext>
          </a:extLst>
        </xdr:cNvPr>
        <xdr:cNvSpPr txBox="1"/>
      </xdr:nvSpPr>
      <xdr:spPr>
        <a:xfrm>
          <a:off x="4426322" y="304038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206</xdr:row>
      <xdr:rowOff>63406</xdr:rowOff>
    </xdr:from>
    <xdr:to>
      <xdr:col>6</xdr:col>
      <xdr:colOff>621927</xdr:colOff>
      <xdr:row>211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DE9EA0-9AAF-8A47-9CA7-5DDA5B03C831}"/>
            </a:ext>
          </a:extLst>
        </xdr:cNvPr>
        <xdr:cNvSpPr txBox="1"/>
      </xdr:nvSpPr>
      <xdr:spPr>
        <a:xfrm>
          <a:off x="4479737" y="304038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234</xdr:row>
      <xdr:rowOff>5080</xdr:rowOff>
    </xdr:from>
    <xdr:to>
      <xdr:col>6</xdr:col>
      <xdr:colOff>581024</xdr:colOff>
      <xdr:row>248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C80C8-436D-534E-AA2E-5DB9C2079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234</xdr:row>
      <xdr:rowOff>14605</xdr:rowOff>
    </xdr:from>
    <xdr:to>
      <xdr:col>11</xdr:col>
      <xdr:colOff>593726</xdr:colOff>
      <xdr:row>248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184199-8871-FB40-A859-FF12173A9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228</xdr:row>
      <xdr:rowOff>28574</xdr:rowOff>
    </xdr:from>
    <xdr:to>
      <xdr:col>15</xdr:col>
      <xdr:colOff>0</xdr:colOff>
      <xdr:row>242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0965ED-BBF9-E045-8463-50CF304F2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167</xdr:row>
      <xdr:rowOff>124199</xdr:rowOff>
    </xdr:from>
    <xdr:to>
      <xdr:col>6</xdr:col>
      <xdr:colOff>610721</xdr:colOff>
      <xdr:row>173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F4E281-C476-314C-BF9F-1BC171A8B718}"/>
            </a:ext>
          </a:extLst>
        </xdr:cNvPr>
        <xdr:cNvSpPr txBox="1"/>
      </xdr:nvSpPr>
      <xdr:spPr>
        <a:xfrm>
          <a:off x="4426322" y="304038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182</xdr:row>
      <xdr:rowOff>63406</xdr:rowOff>
    </xdr:from>
    <xdr:to>
      <xdr:col>6</xdr:col>
      <xdr:colOff>621927</xdr:colOff>
      <xdr:row>187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19D844A-7805-B245-B19F-BBA1A1BB60E0}"/>
            </a:ext>
          </a:extLst>
        </xdr:cNvPr>
        <xdr:cNvSpPr txBox="1"/>
      </xdr:nvSpPr>
      <xdr:spPr>
        <a:xfrm>
          <a:off x="4479737" y="304038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210</xdr:row>
      <xdr:rowOff>5080</xdr:rowOff>
    </xdr:from>
    <xdr:to>
      <xdr:col>6</xdr:col>
      <xdr:colOff>581024</xdr:colOff>
      <xdr:row>224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95C65D-CFC9-D84B-84E7-1D2E8E7F3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210</xdr:row>
      <xdr:rowOff>14605</xdr:rowOff>
    </xdr:from>
    <xdr:to>
      <xdr:col>11</xdr:col>
      <xdr:colOff>593726</xdr:colOff>
      <xdr:row>224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06FFD4-421A-0448-86B1-72F33AA72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210</xdr:row>
      <xdr:rowOff>28574</xdr:rowOff>
    </xdr:from>
    <xdr:to>
      <xdr:col>16</xdr:col>
      <xdr:colOff>0</xdr:colOff>
      <xdr:row>224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666B03-EC9C-0B48-9935-549400402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180</xdr:row>
      <xdr:rowOff>124199</xdr:rowOff>
    </xdr:from>
    <xdr:to>
      <xdr:col>6</xdr:col>
      <xdr:colOff>610721</xdr:colOff>
      <xdr:row>186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9706CC-F6AB-654D-81E3-317B7CF1BEC3}"/>
            </a:ext>
          </a:extLst>
        </xdr:cNvPr>
        <xdr:cNvSpPr txBox="1"/>
      </xdr:nvSpPr>
      <xdr:spPr>
        <a:xfrm>
          <a:off x="4426322" y="295910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195</xdr:row>
      <xdr:rowOff>63406</xdr:rowOff>
    </xdr:from>
    <xdr:to>
      <xdr:col>6</xdr:col>
      <xdr:colOff>621927</xdr:colOff>
      <xdr:row>200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BABE77-8DB9-6047-A3E6-D11B6F56C82E}"/>
            </a:ext>
          </a:extLst>
        </xdr:cNvPr>
        <xdr:cNvSpPr txBox="1"/>
      </xdr:nvSpPr>
      <xdr:spPr>
        <a:xfrm>
          <a:off x="4479737" y="295910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223</xdr:row>
      <xdr:rowOff>5080</xdr:rowOff>
    </xdr:from>
    <xdr:to>
      <xdr:col>6</xdr:col>
      <xdr:colOff>581024</xdr:colOff>
      <xdr:row>237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8675E-2DD7-3F41-9315-21A6FBFD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223</xdr:row>
      <xdr:rowOff>14605</xdr:rowOff>
    </xdr:from>
    <xdr:to>
      <xdr:col>11</xdr:col>
      <xdr:colOff>593726</xdr:colOff>
      <xdr:row>237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A7DBDA-C860-8443-8CB4-CB0681227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223</xdr:row>
      <xdr:rowOff>28574</xdr:rowOff>
    </xdr:from>
    <xdr:to>
      <xdr:col>16</xdr:col>
      <xdr:colOff>0</xdr:colOff>
      <xdr:row>237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64DFEE-645D-D54D-B6EC-A8104FFE4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177</xdr:row>
      <xdr:rowOff>124199</xdr:rowOff>
    </xdr:from>
    <xdr:to>
      <xdr:col>6</xdr:col>
      <xdr:colOff>610721</xdr:colOff>
      <xdr:row>183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1B08DC-A0F3-3840-AA71-C22BDCE2D4CC}"/>
            </a:ext>
          </a:extLst>
        </xdr:cNvPr>
        <xdr:cNvSpPr txBox="1"/>
      </xdr:nvSpPr>
      <xdr:spPr>
        <a:xfrm>
          <a:off x="4426322" y="304038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192</xdr:row>
      <xdr:rowOff>63406</xdr:rowOff>
    </xdr:from>
    <xdr:to>
      <xdr:col>6</xdr:col>
      <xdr:colOff>621927</xdr:colOff>
      <xdr:row>197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90C657-08B3-D040-9524-C0847E99C495}"/>
            </a:ext>
          </a:extLst>
        </xdr:cNvPr>
        <xdr:cNvSpPr txBox="1"/>
      </xdr:nvSpPr>
      <xdr:spPr>
        <a:xfrm>
          <a:off x="4479737" y="304038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220</xdr:row>
      <xdr:rowOff>5080</xdr:rowOff>
    </xdr:from>
    <xdr:to>
      <xdr:col>6</xdr:col>
      <xdr:colOff>581024</xdr:colOff>
      <xdr:row>234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9530B6-6899-BC4F-B24B-903A38E6B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220</xdr:row>
      <xdr:rowOff>14605</xdr:rowOff>
    </xdr:from>
    <xdr:to>
      <xdr:col>11</xdr:col>
      <xdr:colOff>593726</xdr:colOff>
      <xdr:row>234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F38A9A-BB45-6F4E-B8A5-D7F9A377B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220</xdr:row>
      <xdr:rowOff>28574</xdr:rowOff>
    </xdr:from>
    <xdr:to>
      <xdr:col>16</xdr:col>
      <xdr:colOff>0</xdr:colOff>
      <xdr:row>234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328A60-2E6E-B549-8EAC-F817154D7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151</xdr:row>
      <xdr:rowOff>124199</xdr:rowOff>
    </xdr:from>
    <xdr:to>
      <xdr:col>6</xdr:col>
      <xdr:colOff>610721</xdr:colOff>
      <xdr:row>157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3CF089-BFCE-8A4C-942C-48A70E6BF3EF}"/>
            </a:ext>
          </a:extLst>
        </xdr:cNvPr>
        <xdr:cNvSpPr txBox="1"/>
      </xdr:nvSpPr>
      <xdr:spPr>
        <a:xfrm>
          <a:off x="4426322" y="32131000"/>
          <a:ext cx="9341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166</xdr:row>
      <xdr:rowOff>63406</xdr:rowOff>
    </xdr:from>
    <xdr:to>
      <xdr:col>6</xdr:col>
      <xdr:colOff>621927</xdr:colOff>
      <xdr:row>171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D2CF60-8753-914A-AE8C-C0B46C056FF9}"/>
            </a:ext>
          </a:extLst>
        </xdr:cNvPr>
        <xdr:cNvSpPr txBox="1"/>
      </xdr:nvSpPr>
      <xdr:spPr>
        <a:xfrm>
          <a:off x="4479737" y="32131000"/>
          <a:ext cx="8919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194</xdr:row>
      <xdr:rowOff>5080</xdr:rowOff>
    </xdr:from>
    <xdr:to>
      <xdr:col>6</xdr:col>
      <xdr:colOff>581024</xdr:colOff>
      <xdr:row>208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8EA4E-D345-4A48-9B36-93A156A0F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194</xdr:row>
      <xdr:rowOff>14605</xdr:rowOff>
    </xdr:from>
    <xdr:to>
      <xdr:col>11</xdr:col>
      <xdr:colOff>593726</xdr:colOff>
      <xdr:row>208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0A433-696F-2445-A2B7-C71FB5AE7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194</xdr:row>
      <xdr:rowOff>28574</xdr:rowOff>
    </xdr:from>
    <xdr:to>
      <xdr:col>16</xdr:col>
      <xdr:colOff>0</xdr:colOff>
      <xdr:row>208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C1A979-4933-6942-891F-C7F82D6AE6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806822</xdr:colOff>
      <xdr:row>170</xdr:row>
      <xdr:rowOff>124199</xdr:rowOff>
    </xdr:from>
    <xdr:to>
      <xdr:col>6</xdr:col>
      <xdr:colOff>610721</xdr:colOff>
      <xdr:row>176</xdr:row>
      <xdr:rowOff>151279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D20522-4DE7-374F-9FA6-925E43735298}"/>
            </a:ext>
          </a:extLst>
        </xdr:cNvPr>
        <xdr:cNvSpPr txBox="1"/>
      </xdr:nvSpPr>
      <xdr:spPr>
        <a:xfrm>
          <a:off x="4426322" y="29387800"/>
          <a:ext cx="857999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Mining Cost ($/tonne)</a:t>
          </a:r>
        </a:p>
      </xdr:txBody>
    </xdr:sp>
    <xdr:clientData/>
  </xdr:twoCellAnchor>
  <xdr:twoCellAnchor>
    <xdr:from>
      <xdr:col>5</xdr:col>
      <xdr:colOff>860237</xdr:colOff>
      <xdr:row>185</xdr:row>
      <xdr:rowOff>63406</xdr:rowOff>
    </xdr:from>
    <xdr:to>
      <xdr:col>6</xdr:col>
      <xdr:colOff>621927</xdr:colOff>
      <xdr:row>190</xdr:row>
      <xdr:rowOff>124386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45E03-995D-DB4D-973B-D9B23A15639D}"/>
            </a:ext>
          </a:extLst>
        </xdr:cNvPr>
        <xdr:cNvSpPr txBox="1"/>
      </xdr:nvSpPr>
      <xdr:spPr>
        <a:xfrm>
          <a:off x="4479737" y="29387800"/>
          <a:ext cx="8157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en-US" sz="1100"/>
            <a:t>Discount Rate (%)</a:t>
          </a:r>
        </a:p>
      </xdr:txBody>
    </xdr:sp>
    <xdr:clientData/>
  </xdr:twoCellAnchor>
  <xdr:twoCellAnchor>
    <xdr:from>
      <xdr:col>0</xdr:col>
      <xdr:colOff>161288</xdr:colOff>
      <xdr:row>213</xdr:row>
      <xdr:rowOff>5080</xdr:rowOff>
    </xdr:from>
    <xdr:to>
      <xdr:col>6</xdr:col>
      <xdr:colOff>581024</xdr:colOff>
      <xdr:row>227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79ABF-7225-BD4F-A331-F0C93F96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706756</xdr:colOff>
      <xdr:row>213</xdr:row>
      <xdr:rowOff>14605</xdr:rowOff>
    </xdr:from>
    <xdr:to>
      <xdr:col>11</xdr:col>
      <xdr:colOff>593726</xdr:colOff>
      <xdr:row>227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47F707-1728-B846-A1E9-A050AA147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687705</xdr:colOff>
      <xdr:row>213</xdr:row>
      <xdr:rowOff>28574</xdr:rowOff>
    </xdr:from>
    <xdr:to>
      <xdr:col>16</xdr:col>
      <xdr:colOff>0</xdr:colOff>
      <xdr:row>227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37E1E-AD93-CE4E-8FD6-328176791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haoNghi/Documents/finance/Orezone%20Gold/Comparables/Gold%201.xls" TargetMode="External"/><Relationship Id="rId1" Type="http://schemas.openxmlformats.org/officeDocument/2006/relationships/externalLinkPath" Target="Comparables/Gold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rican operation"/>
      <sheetName val="Financial Data"/>
      <sheetName val="Sheet1"/>
      <sheetName val="Correlation"/>
      <sheetName val="Regressions"/>
      <sheetName val="Capital Structure"/>
      <sheetName val="Financial Ratios"/>
      <sheetName val="Credit Ratios"/>
      <sheetName val="Implied Valuation"/>
      <sheetName val="Valuation Chart"/>
      <sheetName val="Credit Health Panel"/>
      <sheetName val="Gold-specific"/>
      <sheetName val="Disclaimer"/>
    </sheetNames>
    <sheetDataSet>
      <sheetData sheetId="0"/>
      <sheetData sheetId="1">
        <row r="753">
          <cell r="BI753" t="str">
            <v xml:space="preserve">LTM Return on Equity % </v>
          </cell>
        </row>
        <row r="754">
          <cell r="BH754">
            <v>23.2</v>
          </cell>
          <cell r="BI754">
            <v>7.1999999999999995E-2</v>
          </cell>
        </row>
        <row r="755">
          <cell r="BH755">
            <v>12.1</v>
          </cell>
          <cell r="BI755">
            <v>0.22900000000000001</v>
          </cell>
        </row>
        <row r="756">
          <cell r="BH756">
            <v>25.8</v>
          </cell>
          <cell r="BI756">
            <v>0.14199999999999999</v>
          </cell>
        </row>
        <row r="757">
          <cell r="BH757">
            <v>33.4</v>
          </cell>
          <cell r="BI757">
            <v>4.4999999999999998E-2</v>
          </cell>
        </row>
        <row r="758">
          <cell r="BH758">
            <v>20.100000000000001</v>
          </cell>
          <cell r="BI758">
            <v>5.8999999999999997E-2</v>
          </cell>
        </row>
        <row r="759">
          <cell r="BH759">
            <v>10.6</v>
          </cell>
          <cell r="BI759">
            <v>0.24</v>
          </cell>
        </row>
        <row r="760">
          <cell r="BH760">
            <v>49.4</v>
          </cell>
          <cell r="BI760">
            <v>8.2000000000000003E-2</v>
          </cell>
        </row>
        <row r="761">
          <cell r="BH761">
            <v>57.4</v>
          </cell>
          <cell r="BI761">
            <v>2.7E-2</v>
          </cell>
        </row>
        <row r="762">
          <cell r="BH762">
            <v>9</v>
          </cell>
          <cell r="BI762">
            <v>0.192</v>
          </cell>
        </row>
        <row r="763">
          <cell r="BH763">
            <v>7.7</v>
          </cell>
          <cell r="BI763">
            <v>0.22800000000000001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7DD7-535D-3D41-A1CC-2D04B47FA85F}">
  <sheetPr>
    <pageSetUpPr fitToPage="1"/>
  </sheetPr>
  <dimension ref="A1:AC59"/>
  <sheetViews>
    <sheetView showGridLines="0" zoomScale="75" zoomScaleNormal="85" workbookViewId="0">
      <pane xSplit="1" topLeftCell="B1" activePane="topRight" state="frozen"/>
      <selection activeCell="A6" sqref="A6"/>
      <selection pane="topRight" activeCell="D13" sqref="D13"/>
    </sheetView>
  </sheetViews>
  <sheetFormatPr baseColWidth="10" defaultColWidth="8.6640625" defaultRowHeight="13" x14ac:dyDescent="0.15"/>
  <cols>
    <col min="1" max="1" width="0.6640625" style="398" customWidth="1"/>
    <col min="2" max="2" width="27.5" style="398" customWidth="1"/>
    <col min="3" max="3" width="10.6640625" style="398" customWidth="1"/>
    <col min="4" max="7" width="9.6640625" style="398" customWidth="1"/>
    <col min="8" max="8" width="0.6640625" style="398" customWidth="1"/>
    <col min="9" max="9" width="0.5" style="398" customWidth="1"/>
    <col min="10" max="10" width="7.33203125" style="398" customWidth="1"/>
    <col min="11" max="11" width="11.6640625" style="398" bestFit="1" customWidth="1"/>
    <col min="12" max="12" width="1" style="398" customWidth="1"/>
    <col min="13" max="17" width="9.6640625" style="398" customWidth="1"/>
    <col min="18" max="18" width="8.33203125" style="398" customWidth="1"/>
    <col min="19" max="21" width="9.6640625" style="398" customWidth="1"/>
    <col min="22" max="22" width="5.83203125" style="398" bestFit="1" customWidth="1"/>
    <col min="23" max="27" width="9.6640625" style="398" customWidth="1"/>
    <col min="28" max="16384" width="8.6640625" style="398"/>
  </cols>
  <sheetData>
    <row r="1" spans="1:24" x14ac:dyDescent="0.15">
      <c r="A1" s="397"/>
      <c r="B1" s="223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</row>
    <row r="2" spans="1:24" ht="31" x14ac:dyDescent="0.3">
      <c r="A2" s="397"/>
      <c r="B2" s="399" t="s">
        <v>0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</row>
    <row r="3" spans="1:24" x14ac:dyDescent="0.15">
      <c r="A3" s="397"/>
      <c r="B3" s="400" t="s">
        <v>1</v>
      </c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  <c r="W3" s="401" t="s">
        <v>295</v>
      </c>
      <c r="X3" s="397"/>
    </row>
    <row r="6" spans="1:24" x14ac:dyDescent="0.15">
      <c r="B6" s="402"/>
      <c r="C6" s="402"/>
      <c r="D6" s="403" t="s">
        <v>2</v>
      </c>
      <c r="E6" s="403"/>
      <c r="F6" s="402"/>
      <c r="G6" s="402"/>
      <c r="H6" s="402"/>
      <c r="I6" s="402"/>
      <c r="J6" s="523" t="s">
        <v>3</v>
      </c>
      <c r="K6" s="523" t="s">
        <v>3</v>
      </c>
      <c r="L6" s="404"/>
      <c r="M6" s="523" t="s">
        <v>4</v>
      </c>
      <c r="N6" s="523"/>
      <c r="O6" s="523"/>
      <c r="P6" s="523"/>
      <c r="Q6" s="523"/>
      <c r="S6" s="523" t="s">
        <v>5</v>
      </c>
      <c r="T6" s="523"/>
      <c r="U6" s="523"/>
      <c r="V6" s="404"/>
      <c r="W6" s="523" t="s">
        <v>6</v>
      </c>
      <c r="X6" s="523"/>
    </row>
    <row r="7" spans="1:24" x14ac:dyDescent="0.15">
      <c r="B7" s="402"/>
      <c r="C7" s="403"/>
      <c r="D7" s="403" t="s">
        <v>7</v>
      </c>
      <c r="E7" s="403" t="s">
        <v>8</v>
      </c>
      <c r="F7" s="403" t="s">
        <v>9</v>
      </c>
      <c r="G7" s="403" t="s">
        <v>10</v>
      </c>
      <c r="H7" s="403"/>
      <c r="I7" s="403"/>
      <c r="J7" s="403" t="s">
        <v>11</v>
      </c>
      <c r="K7" s="403" t="s">
        <v>19</v>
      </c>
      <c r="L7" s="403"/>
      <c r="M7" s="403" t="s">
        <v>11</v>
      </c>
      <c r="N7" s="403" t="s">
        <v>11</v>
      </c>
      <c r="O7" s="403" t="s">
        <v>11</v>
      </c>
      <c r="P7" s="403" t="s">
        <v>11</v>
      </c>
      <c r="Q7" s="403" t="s">
        <v>12</v>
      </c>
      <c r="S7" s="403" t="s">
        <v>11</v>
      </c>
      <c r="T7" s="403" t="s">
        <v>11</v>
      </c>
      <c r="U7" s="403" t="s">
        <v>11</v>
      </c>
      <c r="V7" s="403"/>
      <c r="W7" s="403" t="s">
        <v>11</v>
      </c>
      <c r="X7" s="403" t="s">
        <v>12</v>
      </c>
    </row>
    <row r="8" spans="1:24" x14ac:dyDescent="0.15">
      <c r="B8" s="405" t="s">
        <v>13</v>
      </c>
      <c r="C8" s="406" t="s">
        <v>14</v>
      </c>
      <c r="D8" s="406" t="s">
        <v>15</v>
      </c>
      <c r="E8" s="406" t="s">
        <v>16</v>
      </c>
      <c r="F8" s="406" t="s">
        <v>17</v>
      </c>
      <c r="G8" s="406" t="s">
        <v>17</v>
      </c>
      <c r="H8" s="403"/>
      <c r="I8" s="403"/>
      <c r="J8" s="406" t="s">
        <v>18</v>
      </c>
      <c r="K8" s="406" t="s">
        <v>296</v>
      </c>
      <c r="L8" s="406"/>
      <c r="M8" s="406" t="s">
        <v>20</v>
      </c>
      <c r="N8" s="406" t="s">
        <v>21</v>
      </c>
      <c r="O8" s="403" t="s">
        <v>22</v>
      </c>
      <c r="P8" s="406" t="s">
        <v>23</v>
      </c>
      <c r="Q8" s="406" t="s">
        <v>24</v>
      </c>
      <c r="S8" s="406" t="s">
        <v>20</v>
      </c>
      <c r="T8" s="406" t="s">
        <v>21</v>
      </c>
      <c r="U8" s="406" t="s">
        <v>22</v>
      </c>
      <c r="V8" s="402"/>
      <c r="W8" s="406" t="s">
        <v>23</v>
      </c>
      <c r="X8" s="407" t="str">
        <f>Q8</f>
        <v>Per Share</v>
      </c>
    </row>
    <row r="9" spans="1:24" x14ac:dyDescent="0.15">
      <c r="O9" s="408"/>
    </row>
    <row r="10" spans="1:24" ht="14" x14ac:dyDescent="0.15">
      <c r="B10" s="409" t="s">
        <v>25</v>
      </c>
      <c r="C10" s="410" t="s">
        <v>26</v>
      </c>
      <c r="D10" s="411">
        <v>0.55000000000000004</v>
      </c>
      <c r="E10" s="412">
        <v>0.71</v>
      </c>
      <c r="F10" s="412">
        <v>287.60000000000002</v>
      </c>
      <c r="G10" s="413">
        <v>379.3</v>
      </c>
      <c r="H10" s="413"/>
      <c r="I10" s="413"/>
      <c r="J10" s="414">
        <v>0.22800000000000001</v>
      </c>
      <c r="K10" s="413">
        <f>((74520*1000)*0.035274)/1000</f>
        <v>2628.6184800000001</v>
      </c>
      <c r="L10" s="413"/>
      <c r="M10" s="413">
        <v>246.4</v>
      </c>
      <c r="N10" s="413">
        <v>83.5</v>
      </c>
      <c r="O10" s="413">
        <v>81.900000000000006</v>
      </c>
      <c r="P10" s="415">
        <v>0.08</v>
      </c>
      <c r="Q10" s="416">
        <f>Orezone!E240</f>
        <v>1.4238637025358505</v>
      </c>
      <c r="R10" s="415"/>
      <c r="S10" s="417">
        <f>$G10/M10</f>
        <v>1.5393668831168832</v>
      </c>
      <c r="T10" s="417">
        <f>$G10/N10</f>
        <v>4.5425149700598801</v>
      </c>
      <c r="U10" s="417">
        <f>$G10/O10</f>
        <v>4.6312576312576308</v>
      </c>
      <c r="V10" s="417"/>
      <c r="W10" s="417">
        <f>D10/P10</f>
        <v>6.875</v>
      </c>
      <c r="X10" s="418">
        <f>D10/Q10</f>
        <v>0.38627292698062998</v>
      </c>
    </row>
    <row r="11" spans="1:24" x14ac:dyDescent="0.15">
      <c r="D11" s="419"/>
      <c r="E11" s="419"/>
      <c r="F11" s="420"/>
      <c r="G11" s="420"/>
      <c r="H11" s="420"/>
      <c r="I11" s="420"/>
      <c r="J11" s="421"/>
      <c r="K11" s="420"/>
      <c r="L11" s="420"/>
      <c r="M11" s="420"/>
      <c r="N11" s="420"/>
      <c r="O11" s="420"/>
      <c r="P11" s="422"/>
      <c r="Q11" s="423"/>
      <c r="S11" s="424"/>
      <c r="T11" s="424"/>
      <c r="U11" s="424"/>
      <c r="V11" s="424"/>
      <c r="W11" s="424"/>
      <c r="X11" s="424"/>
    </row>
    <row r="12" spans="1:24" x14ac:dyDescent="0.15">
      <c r="B12" s="425" t="s">
        <v>298</v>
      </c>
      <c r="C12" s="397"/>
      <c r="D12" s="236"/>
      <c r="E12" s="236"/>
      <c r="F12" s="426"/>
      <c r="G12" s="426"/>
      <c r="H12" s="426"/>
      <c r="I12" s="426"/>
      <c r="J12" s="427"/>
      <c r="K12" s="428"/>
      <c r="L12" s="426"/>
      <c r="M12" s="426"/>
      <c r="N12" s="426"/>
      <c r="O12" s="426"/>
      <c r="P12" s="429"/>
      <c r="Q12" s="430"/>
      <c r="R12" s="429"/>
      <c r="S12" s="429"/>
      <c r="T12" s="429"/>
      <c r="U12" s="429"/>
      <c r="V12" s="429"/>
      <c r="W12" s="429"/>
      <c r="X12" s="431"/>
    </row>
    <row r="13" spans="1:24" ht="14" x14ac:dyDescent="0.15">
      <c r="B13" s="398" t="s">
        <v>27</v>
      </c>
      <c r="C13" s="398" t="s">
        <v>28</v>
      </c>
      <c r="D13" s="432">
        <v>1.87</v>
      </c>
      <c r="E13" s="423">
        <v>1.9</v>
      </c>
      <c r="F13" s="423">
        <v>2364.6</v>
      </c>
      <c r="G13" s="420">
        <v>2025.9</v>
      </c>
      <c r="H13" s="420"/>
      <c r="I13" s="420"/>
      <c r="J13" s="421">
        <v>0.22700000000000001</v>
      </c>
      <c r="K13" s="420">
        <v>2893</v>
      </c>
      <c r="L13" s="420"/>
      <c r="M13" s="420">
        <v>1025.8</v>
      </c>
      <c r="N13" s="420">
        <v>604.1</v>
      </c>
      <c r="O13" s="420">
        <v>433.5</v>
      </c>
      <c r="P13" s="422">
        <v>0.23</v>
      </c>
      <c r="Q13" s="433">
        <f>Perseus!E338</f>
        <v>1.6373513419792618</v>
      </c>
      <c r="S13" s="424">
        <f t="shared" ref="S13:T13" si="0">$G13/M13</f>
        <v>1.9749463833105871</v>
      </c>
      <c r="T13" s="424">
        <f t="shared" si="0"/>
        <v>3.3535838437344809</v>
      </c>
      <c r="U13" s="424">
        <f>$G13/O13</f>
        <v>4.6733564013840834</v>
      </c>
      <c r="V13" s="424"/>
      <c r="W13" s="424">
        <f>D13/P13</f>
        <v>8.1304347826086953</v>
      </c>
      <c r="X13" s="424">
        <f>D13/Q13</f>
        <v>1.1420884156356499</v>
      </c>
    </row>
    <row r="14" spans="1:24" ht="14" x14ac:dyDescent="0.15">
      <c r="B14" s="398" t="s">
        <v>33</v>
      </c>
      <c r="C14" s="398" t="s">
        <v>34</v>
      </c>
      <c r="D14" s="432">
        <v>0.45</v>
      </c>
      <c r="E14" s="423">
        <v>0.47</v>
      </c>
      <c r="F14" s="423">
        <v>867.6</v>
      </c>
      <c r="G14" s="420">
        <v>975.3</v>
      </c>
      <c r="H14" s="420"/>
      <c r="I14" s="420"/>
      <c r="J14" s="421">
        <v>0.24</v>
      </c>
      <c r="K14" s="420">
        <v>12801.216791999999</v>
      </c>
      <c r="L14" s="420"/>
      <c r="M14" s="420">
        <v>373.8</v>
      </c>
      <c r="N14" s="420">
        <v>144.9</v>
      </c>
      <c r="O14" s="420">
        <v>124.3</v>
      </c>
      <c r="P14" s="422">
        <v>0.04</v>
      </c>
      <c r="Q14" s="433">
        <f>'Pan African'!E166</f>
        <v>1.1077831309152399</v>
      </c>
      <c r="S14" s="424">
        <f t="shared" ref="S14:U15" si="1">$G14/M14</f>
        <v>2.6091492776886032</v>
      </c>
      <c r="T14" s="424">
        <f t="shared" si="1"/>
        <v>6.7308488612836435</v>
      </c>
      <c r="U14" s="424">
        <f t="shared" si="1"/>
        <v>7.8463395012067574</v>
      </c>
      <c r="V14" s="424"/>
      <c r="W14" s="424">
        <f t="shared" ref="W14:W16" si="2">D14/P14</f>
        <v>11.25</v>
      </c>
      <c r="X14" s="424">
        <f>D14/Q14</f>
        <v>0.40621669299857838</v>
      </c>
    </row>
    <row r="15" spans="1:24" ht="14" x14ac:dyDescent="0.15">
      <c r="B15" s="398" t="s">
        <v>29</v>
      </c>
      <c r="C15" s="398" t="s">
        <v>30</v>
      </c>
      <c r="D15" s="432">
        <v>0.91</v>
      </c>
      <c r="E15" s="423">
        <v>1.26</v>
      </c>
      <c r="F15" s="423">
        <v>1031.7</v>
      </c>
      <c r="G15" s="420">
        <v>1035.3</v>
      </c>
      <c r="H15" s="420"/>
      <c r="I15" s="420"/>
      <c r="J15" s="421">
        <v>0.192</v>
      </c>
      <c r="K15" s="420">
        <v>6817.7564624639999</v>
      </c>
      <c r="L15" s="420"/>
      <c r="M15" s="420">
        <v>470.8</v>
      </c>
      <c r="N15" s="420">
        <v>233</v>
      </c>
      <c r="O15" s="420">
        <v>159.9</v>
      </c>
      <c r="P15" s="422">
        <v>0.1</v>
      </c>
      <c r="Q15" s="433">
        <f>'West African'!E152</f>
        <v>2.1569424256563385</v>
      </c>
      <c r="S15" s="424">
        <f t="shared" si="1"/>
        <v>2.1990229396771452</v>
      </c>
      <c r="T15" s="424">
        <f t="shared" si="1"/>
        <v>4.443347639484978</v>
      </c>
      <c r="U15" s="424">
        <f t="shared" si="1"/>
        <v>6.4746716697936204</v>
      </c>
      <c r="V15" s="424"/>
      <c r="W15" s="424">
        <f t="shared" si="2"/>
        <v>9.1</v>
      </c>
      <c r="X15" s="424">
        <f>D15/Q15</f>
        <v>0.42189350497989997</v>
      </c>
    </row>
    <row r="16" spans="1:24" ht="14" x14ac:dyDescent="0.15">
      <c r="B16" s="398" t="s">
        <v>31</v>
      </c>
      <c r="C16" s="398" t="s">
        <v>32</v>
      </c>
      <c r="D16" s="432">
        <v>10.87</v>
      </c>
      <c r="E16" s="423">
        <v>11.72</v>
      </c>
      <c r="F16" s="423">
        <v>5862.5</v>
      </c>
      <c r="G16" s="420">
        <v>5706</v>
      </c>
      <c r="H16" s="420"/>
      <c r="I16" s="420"/>
      <c r="J16" s="421">
        <v>0.22900000000000001</v>
      </c>
      <c r="K16" s="420">
        <v>31270.845452399997</v>
      </c>
      <c r="L16" s="420"/>
      <c r="M16" s="420">
        <v>3525.1</v>
      </c>
      <c r="N16" s="420">
        <v>1124.7</v>
      </c>
      <c r="O16" s="398">
        <v>702.2</v>
      </c>
      <c r="P16" s="422">
        <v>0.77</v>
      </c>
      <c r="Q16" s="433">
        <f>Harmony!E163</f>
        <v>5.5090127191811868</v>
      </c>
      <c r="S16" s="424">
        <f>$G16/M16</f>
        <v>1.6186774843266858</v>
      </c>
      <c r="T16" s="424">
        <f>$G16/N16</f>
        <v>5.0733528941050947</v>
      </c>
      <c r="U16" s="424">
        <f>$G16/M14</f>
        <v>15.264847512038523</v>
      </c>
      <c r="V16" s="424"/>
      <c r="W16" s="424">
        <f t="shared" si="2"/>
        <v>14.116883116883116</v>
      </c>
      <c r="X16" s="424">
        <f>D16/Q16</f>
        <v>1.9731303146483976</v>
      </c>
    </row>
    <row r="17" spans="2:24" x14ac:dyDescent="0.15">
      <c r="X17" s="434"/>
    </row>
    <row r="18" spans="2:24" x14ac:dyDescent="0.15">
      <c r="B18" s="435" t="s">
        <v>35</v>
      </c>
      <c r="C18" s="436"/>
      <c r="D18" s="437"/>
      <c r="E18" s="437"/>
      <c r="F18" s="437"/>
      <c r="G18" s="438"/>
      <c r="H18" s="438"/>
      <c r="I18" s="438"/>
      <c r="J18" s="438"/>
      <c r="K18" s="438"/>
      <c r="L18" s="438"/>
      <c r="M18" s="438"/>
      <c r="N18" s="438"/>
      <c r="O18" s="438"/>
      <c r="P18" s="439"/>
      <c r="Q18" s="437"/>
      <c r="R18" s="439"/>
      <c r="S18" s="440">
        <f>AVERAGE(S13:S16)</f>
        <v>2.1004490212507552</v>
      </c>
      <c r="T18" s="440">
        <f>AVERAGE(T13:T16)</f>
        <v>4.9002833096520488</v>
      </c>
      <c r="U18" s="440">
        <f>AVERAGE(U13:U16)</f>
        <v>8.5648037711057459</v>
      </c>
      <c r="V18" s="440"/>
      <c r="W18" s="440">
        <f>AVERAGE(W13:W16,W10)</f>
        <v>9.8944635798983622</v>
      </c>
      <c r="X18" s="441">
        <f>AVERAGE(X13:X16)</f>
        <v>0.98583223206563142</v>
      </c>
    </row>
    <row r="19" spans="2:24" x14ac:dyDescent="0.15">
      <c r="B19" s="442" t="s">
        <v>36</v>
      </c>
      <c r="C19" s="443"/>
      <c r="D19" s="444"/>
      <c r="E19" s="444"/>
      <c r="F19" s="444"/>
      <c r="G19" s="445"/>
      <c r="H19" s="445"/>
      <c r="I19" s="445"/>
      <c r="J19" s="445"/>
      <c r="K19" s="445"/>
      <c r="L19" s="445"/>
      <c r="M19" s="445"/>
      <c r="N19" s="445"/>
      <c r="O19" s="445"/>
      <c r="P19" s="446"/>
      <c r="Q19" s="444"/>
      <c r="R19" s="446"/>
      <c r="S19" s="447">
        <f>MEDIAN(S13:S16)</f>
        <v>2.0869846614938661</v>
      </c>
      <c r="T19" s="447">
        <f>MEDIAN(T13:T16)</f>
        <v>4.7583502667950359</v>
      </c>
      <c r="U19" s="447">
        <f>MEDIAN(U13:U16)</f>
        <v>7.1605055855001893</v>
      </c>
      <c r="V19" s="447"/>
      <c r="W19" s="447">
        <f>MEDIAN(W13:W16,W10)</f>
        <v>9.1</v>
      </c>
      <c r="X19" s="448">
        <f>MEDIAN(X13:X16)</f>
        <v>0.78199096030777493</v>
      </c>
    </row>
    <row r="20" spans="2:24" x14ac:dyDescent="0.15">
      <c r="D20" s="423"/>
      <c r="E20" s="423"/>
      <c r="F20" s="423"/>
      <c r="G20" s="420"/>
      <c r="H20" s="420"/>
      <c r="I20" s="420"/>
      <c r="J20" s="420"/>
      <c r="K20" s="420"/>
      <c r="L20" s="420"/>
      <c r="M20" s="420"/>
      <c r="N20" s="420"/>
      <c r="O20" s="420"/>
      <c r="P20" s="422"/>
      <c r="Q20" s="423"/>
      <c r="S20" s="424"/>
      <c r="T20" s="424"/>
      <c r="U20" s="424"/>
      <c r="V20" s="424"/>
      <c r="W20" s="424"/>
      <c r="X20" s="424"/>
    </row>
    <row r="21" spans="2:24" x14ac:dyDescent="0.15">
      <c r="B21" s="425" t="s">
        <v>299</v>
      </c>
      <c r="C21" s="397"/>
      <c r="D21" s="430"/>
      <c r="E21" s="430"/>
      <c r="F21" s="430"/>
      <c r="G21" s="426"/>
      <c r="H21" s="426"/>
      <c r="I21" s="426"/>
      <c r="J21" s="426"/>
      <c r="K21" s="426"/>
      <c r="L21" s="426"/>
      <c r="M21" s="426"/>
      <c r="N21" s="426"/>
      <c r="O21" s="426"/>
      <c r="P21" s="429"/>
      <c r="Q21" s="430"/>
      <c r="R21" s="429"/>
      <c r="S21" s="429"/>
      <c r="T21" s="429"/>
      <c r="U21" s="429"/>
      <c r="V21" s="429"/>
      <c r="W21" s="429"/>
      <c r="X21" s="431"/>
    </row>
    <row r="22" spans="2:24" ht="14" x14ac:dyDescent="0.15">
      <c r="B22" s="398" t="s">
        <v>37</v>
      </c>
      <c r="C22" s="449" t="s">
        <v>38</v>
      </c>
      <c r="D22" s="450">
        <v>7.0000000000000007E-2</v>
      </c>
      <c r="E22" s="423">
        <v>0.08</v>
      </c>
      <c r="F22" s="423">
        <v>404.3</v>
      </c>
      <c r="G22" s="420">
        <v>504.2</v>
      </c>
      <c r="H22" s="420"/>
      <c r="I22" s="420"/>
      <c r="J22" s="421">
        <v>0.26700000000000002</v>
      </c>
      <c r="K22" s="420">
        <v>993.49926480000011</v>
      </c>
      <c r="L22" s="420"/>
      <c r="M22" s="420">
        <v>225.2</v>
      </c>
      <c r="N22" s="420">
        <v>117.6</v>
      </c>
      <c r="O22" s="420">
        <v>79.900000000000006</v>
      </c>
      <c r="P22" s="422">
        <v>0.01</v>
      </c>
      <c r="Q22" s="433">
        <f>Apex!E177</f>
        <v>0.19671640345849115</v>
      </c>
      <c r="S22" s="424">
        <f t="shared" ref="S22:U22" si="3">$G22/M22</f>
        <v>2.2388987566607459</v>
      </c>
      <c r="T22" s="424">
        <f t="shared" si="3"/>
        <v>4.2874149659863949</v>
      </c>
      <c r="U22" s="424">
        <f t="shared" si="3"/>
        <v>6.3103879849812259</v>
      </c>
      <c r="V22" s="424"/>
      <c r="W22" s="424">
        <f>D22/P22</f>
        <v>7.0000000000000009</v>
      </c>
      <c r="X22" s="424">
        <f>D22/Q22</f>
        <v>0.35584221127126597</v>
      </c>
    </row>
    <row r="23" spans="2:24" ht="14" x14ac:dyDescent="0.15">
      <c r="B23" s="398" t="s">
        <v>39</v>
      </c>
      <c r="C23" s="449" t="s">
        <v>40</v>
      </c>
      <c r="D23" s="450">
        <v>0.84</v>
      </c>
      <c r="E23" s="423">
        <v>0.87</v>
      </c>
      <c r="F23" s="423">
        <v>260.5</v>
      </c>
      <c r="G23" s="420">
        <v>260.7</v>
      </c>
      <c r="H23" s="420"/>
      <c r="I23" s="420"/>
      <c r="J23" s="421">
        <v>0.20100000000000001</v>
      </c>
      <c r="K23" s="420">
        <v>579.00161614800015</v>
      </c>
      <c r="L23" s="420"/>
      <c r="M23" s="420">
        <v>479.3</v>
      </c>
      <c r="N23" s="420">
        <v>171.5</v>
      </c>
      <c r="O23" s="420">
        <v>110.9</v>
      </c>
      <c r="P23" s="422">
        <v>0.24</v>
      </c>
      <c r="Q23" s="433">
        <f>'Mineros S.A.'!E153</f>
        <v>4.9642975321487466</v>
      </c>
      <c r="S23" s="424">
        <f t="shared" ref="S23:U25" si="4">$G23/M23</f>
        <v>0.543918214062174</v>
      </c>
      <c r="T23" s="424">
        <f t="shared" si="4"/>
        <v>1.5201166180758017</v>
      </c>
      <c r="U23" s="424">
        <f t="shared" si="4"/>
        <v>2.3507664562669071</v>
      </c>
      <c r="V23" s="424"/>
      <c r="W23" s="424">
        <f t="shared" ref="W23" si="5">D23/P23</f>
        <v>3.5</v>
      </c>
      <c r="X23" s="424">
        <f>D23/Q23</f>
        <v>0.16920823028035034</v>
      </c>
    </row>
    <row r="24" spans="2:24" ht="14" x14ac:dyDescent="0.15">
      <c r="B24" s="398" t="s">
        <v>41</v>
      </c>
      <c r="C24" s="449" t="s">
        <v>42</v>
      </c>
      <c r="D24" s="450">
        <v>1.54</v>
      </c>
      <c r="E24" s="423">
        <v>1.56</v>
      </c>
      <c r="F24" s="423">
        <v>1631</v>
      </c>
      <c r="G24" s="420">
        <v>1351.1</v>
      </c>
      <c r="H24" s="420"/>
      <c r="I24" s="420"/>
      <c r="J24" s="421">
        <v>0.191</v>
      </c>
      <c r="K24" s="420">
        <v>394.85715600000003</v>
      </c>
      <c r="L24" s="420"/>
      <c r="M24" s="420">
        <v>597</v>
      </c>
      <c r="N24" s="420">
        <v>297</v>
      </c>
      <c r="O24" s="420">
        <v>71</v>
      </c>
      <c r="P24" s="423">
        <v>0.13</v>
      </c>
      <c r="Q24" s="433">
        <f>Ramelius!E137</f>
        <v>0.69667598157672572</v>
      </c>
      <c r="S24" s="424">
        <f t="shared" si="4"/>
        <v>2.2631490787269679</v>
      </c>
      <c r="T24" s="424">
        <f t="shared" si="4"/>
        <v>4.549158249158249</v>
      </c>
      <c r="U24" s="424">
        <f t="shared" si="4"/>
        <v>19.02957746478873</v>
      </c>
      <c r="V24" s="424"/>
      <c r="W24" s="424">
        <f>D24/P24</f>
        <v>11.846153846153847</v>
      </c>
      <c r="X24" s="424">
        <f>D24/Q24</f>
        <v>2.210496759935161</v>
      </c>
    </row>
    <row r="25" spans="2:24" ht="14" x14ac:dyDescent="0.15">
      <c r="B25" s="398" t="s">
        <v>292</v>
      </c>
      <c r="C25" s="449" t="s">
        <v>297</v>
      </c>
      <c r="D25" s="450">
        <v>22.91</v>
      </c>
      <c r="E25" s="423">
        <v>23.31</v>
      </c>
      <c r="F25" s="423">
        <v>5498.3</v>
      </c>
      <c r="G25" s="420">
        <v>5410.1</v>
      </c>
      <c r="H25" s="420"/>
      <c r="I25" s="420"/>
      <c r="J25" s="421">
        <v>0.22900000000000001</v>
      </c>
      <c r="K25" s="420">
        <v>5499</v>
      </c>
      <c r="L25" s="420"/>
      <c r="M25" s="420">
        <v>930</v>
      </c>
      <c r="N25" s="420">
        <v>541.5</v>
      </c>
      <c r="O25" s="420">
        <v>390.4</v>
      </c>
      <c r="P25" s="422">
        <v>0.94</v>
      </c>
      <c r="Q25" s="433">
        <f>Lundin!E156</f>
        <v>11.824264370171525</v>
      </c>
      <c r="S25" s="424">
        <f t="shared" si="4"/>
        <v>5.8173118279569893</v>
      </c>
      <c r="T25" s="424">
        <f t="shared" si="4"/>
        <v>9.9909510618651893</v>
      </c>
      <c r="U25" s="424">
        <f t="shared" si="4"/>
        <v>13.857838114754101</v>
      </c>
      <c r="V25" s="424"/>
      <c r="W25" s="424">
        <f>D25/P25</f>
        <v>24.372340425531917</v>
      </c>
      <c r="X25" s="424">
        <f>D25/Q25</f>
        <v>1.9375412526967768</v>
      </c>
    </row>
    <row r="26" spans="2:24" x14ac:dyDescent="0.15">
      <c r="X26" s="434"/>
    </row>
    <row r="27" spans="2:24" x14ac:dyDescent="0.15">
      <c r="B27" s="435" t="s">
        <v>35</v>
      </c>
      <c r="C27" s="436"/>
      <c r="D27" s="439"/>
      <c r="E27" s="439"/>
      <c r="F27" s="438"/>
      <c r="G27" s="438"/>
      <c r="H27" s="438"/>
      <c r="I27" s="438"/>
      <c r="J27" s="438"/>
      <c r="K27" s="438"/>
      <c r="L27" s="438"/>
      <c r="M27" s="438"/>
      <c r="N27" s="438"/>
      <c r="O27" s="438"/>
      <c r="P27" s="439"/>
      <c r="Q27" s="439"/>
      <c r="R27" s="439"/>
      <c r="S27" s="440">
        <f>AVERAGE(S22:S23)</f>
        <v>1.3914084853614599</v>
      </c>
      <c r="T27" s="440">
        <f>AVERAGE(T22:T23)</f>
        <v>2.9037657920310984</v>
      </c>
      <c r="U27" s="440">
        <f>AVERAGE(U22:U23)</f>
        <v>4.3305772206240665</v>
      </c>
      <c r="V27" s="440"/>
      <c r="W27" s="440">
        <f>AVERAGE(W22:W25)</f>
        <v>11.679623567921441</v>
      </c>
      <c r="X27" s="441">
        <f>AVERAGE(X22:X25)</f>
        <v>1.1682721135458887</v>
      </c>
    </row>
    <row r="28" spans="2:24" x14ac:dyDescent="0.15">
      <c r="B28" s="442" t="s">
        <v>36</v>
      </c>
      <c r="C28" s="443"/>
      <c r="D28" s="446"/>
      <c r="E28" s="446"/>
      <c r="F28" s="445"/>
      <c r="G28" s="445"/>
      <c r="H28" s="445"/>
      <c r="I28" s="445"/>
      <c r="J28" s="445"/>
      <c r="K28" s="445"/>
      <c r="L28" s="445"/>
      <c r="M28" s="445"/>
      <c r="N28" s="445"/>
      <c r="O28" s="445"/>
      <c r="P28" s="446"/>
      <c r="Q28" s="446"/>
      <c r="R28" s="446"/>
      <c r="S28" s="447">
        <f>MEDIAN(S22:S23)</f>
        <v>1.3914084853614601</v>
      </c>
      <c r="T28" s="447">
        <f>MEDIAN(T22:T23)</f>
        <v>2.9037657920310984</v>
      </c>
      <c r="U28" s="447">
        <f>MEDIAN(U22:U23)</f>
        <v>4.3305772206240665</v>
      </c>
      <c r="V28" s="447"/>
      <c r="W28" s="447">
        <f>MEDIAN(W22:W25)</f>
        <v>9.4230769230769234</v>
      </c>
      <c r="X28" s="448">
        <f>MEDIAN(X22:X25)</f>
        <v>1.1466917319840213</v>
      </c>
    </row>
    <row r="29" spans="2:24" x14ac:dyDescent="0.15">
      <c r="D29" s="422"/>
      <c r="E29" s="422"/>
      <c r="F29" s="420"/>
      <c r="G29" s="420"/>
      <c r="H29" s="420"/>
      <c r="I29" s="420"/>
      <c r="J29" s="420"/>
      <c r="K29" s="420"/>
      <c r="L29" s="420"/>
      <c r="M29" s="420"/>
      <c r="N29" s="420"/>
      <c r="O29" s="420"/>
      <c r="P29" s="422"/>
      <c r="Q29" s="422"/>
      <c r="S29" s="424"/>
      <c r="T29" s="424"/>
      <c r="U29" s="424"/>
      <c r="V29" s="424"/>
      <c r="W29" s="424"/>
      <c r="X29" s="424"/>
    </row>
    <row r="30" spans="2:24" x14ac:dyDescent="0.15">
      <c r="B30" s="425" t="s">
        <v>43</v>
      </c>
      <c r="C30" s="397"/>
      <c r="D30" s="429"/>
      <c r="E30" s="429"/>
      <c r="F30" s="429"/>
      <c r="G30" s="429"/>
      <c r="H30" s="429"/>
      <c r="I30" s="429"/>
      <c r="J30" s="429"/>
      <c r="K30" s="429"/>
      <c r="L30" s="429"/>
      <c r="M30" s="429"/>
      <c r="N30" s="429"/>
      <c r="O30" s="429"/>
      <c r="P30" s="429"/>
      <c r="Q30" s="429"/>
      <c r="R30" s="429"/>
      <c r="S30" s="429"/>
      <c r="T30" s="429"/>
      <c r="U30" s="429"/>
      <c r="V30" s="429"/>
      <c r="W30" s="429"/>
      <c r="X30" s="431"/>
    </row>
    <row r="31" spans="2:24" x14ac:dyDescent="0.15">
      <c r="D31" s="422"/>
      <c r="E31" s="422"/>
      <c r="F31" s="422"/>
      <c r="G31" s="422"/>
      <c r="H31" s="422"/>
      <c r="I31" s="422"/>
      <c r="J31" s="422"/>
      <c r="K31" s="422"/>
      <c r="L31" s="422"/>
      <c r="M31" s="422"/>
      <c r="N31" s="422"/>
      <c r="O31" s="422"/>
      <c r="P31" s="422"/>
      <c r="Q31" s="422"/>
      <c r="S31" s="424"/>
      <c r="T31" s="424"/>
      <c r="U31" s="424"/>
      <c r="V31" s="424"/>
      <c r="W31" s="424"/>
      <c r="X31" s="434"/>
    </row>
    <row r="32" spans="2:24" x14ac:dyDescent="0.15">
      <c r="B32" s="435" t="s">
        <v>35</v>
      </c>
      <c r="C32" s="436"/>
      <c r="D32" s="439"/>
      <c r="E32" s="439"/>
      <c r="F32" s="439"/>
      <c r="G32" s="439"/>
      <c r="H32" s="439"/>
      <c r="I32" s="439"/>
      <c r="J32" s="439"/>
      <c r="K32" s="439"/>
      <c r="L32" s="439"/>
      <c r="M32" s="439"/>
      <c r="N32" s="439"/>
      <c r="O32" s="439"/>
      <c r="P32" s="439"/>
      <c r="Q32" s="439"/>
      <c r="R32" s="439"/>
      <c r="S32" s="440">
        <f>AVERAGE(S13:S16,S22:S23)</f>
        <v>1.8641021759543233</v>
      </c>
      <c r="T32" s="440">
        <f>AVERAGE(T13:T16,T22:T23)</f>
        <v>4.2347774704450654</v>
      </c>
      <c r="U32" s="440">
        <f>AVERAGE(U13:U16,U22:U23)</f>
        <v>7.1533949209451864</v>
      </c>
      <c r="V32" s="440"/>
      <c r="W32" s="440">
        <f>AVERAGE(W13:W16,W22:W25)</f>
        <v>11.164476521397198</v>
      </c>
      <c r="X32" s="441">
        <f>AVERAGE(X13:X16,X22:X25)</f>
        <v>1.07705217280576</v>
      </c>
    </row>
    <row r="33" spans="2:24" x14ac:dyDescent="0.15">
      <c r="B33" s="442" t="s">
        <v>36</v>
      </c>
      <c r="C33" s="443"/>
      <c r="D33" s="446"/>
      <c r="E33" s="446"/>
      <c r="F33" s="446"/>
      <c r="G33" s="446"/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7">
        <f>MEDIAN(S13:S16,S22:S23,)</f>
        <v>1.9749463833105871</v>
      </c>
      <c r="T33" s="447">
        <f>MEDIAN(T13:T16,T22:T23,)</f>
        <v>4.2874149659863949</v>
      </c>
      <c r="U33" s="447">
        <f>MEDIAN(U13:U16,U22:U23,)</f>
        <v>6.3103879849812259</v>
      </c>
      <c r="V33" s="447"/>
      <c r="W33" s="447">
        <f>MEDIAN(W13:W16,W22:W23,)</f>
        <v>8.1304347826086953</v>
      </c>
      <c r="X33" s="448">
        <f>MEDIAN(X13:X16,X22:X23,)</f>
        <v>0.40621669299857838</v>
      </c>
    </row>
    <row r="34" spans="2:24" x14ac:dyDescent="0.15">
      <c r="B34" s="402"/>
      <c r="D34" s="422"/>
      <c r="E34" s="422"/>
      <c r="F34" s="422"/>
      <c r="G34" s="422"/>
      <c r="H34" s="422"/>
      <c r="I34" s="422"/>
      <c r="J34" s="422"/>
      <c r="K34" s="422"/>
      <c r="L34" s="422"/>
      <c r="M34" s="422"/>
      <c r="N34" s="422"/>
      <c r="O34" s="422"/>
      <c r="P34" s="422"/>
      <c r="Q34" s="422"/>
      <c r="S34" s="451"/>
      <c r="T34" s="451"/>
      <c r="U34" s="451"/>
      <c r="V34" s="451"/>
      <c r="W34" s="451"/>
      <c r="X34" s="434"/>
    </row>
    <row r="35" spans="2:24" x14ac:dyDescent="0.15">
      <c r="B35" s="435" t="s">
        <v>16</v>
      </c>
      <c r="C35" s="436"/>
      <c r="D35" s="439"/>
      <c r="E35" s="439"/>
      <c r="F35" s="439"/>
      <c r="G35" s="439"/>
      <c r="H35" s="439"/>
      <c r="I35" s="439"/>
      <c r="J35" s="439"/>
      <c r="K35" s="439"/>
      <c r="L35" s="439"/>
      <c r="M35" s="439"/>
      <c r="N35" s="439"/>
      <c r="O35" s="439"/>
      <c r="P35" s="439"/>
      <c r="Q35" s="439"/>
      <c r="R35" s="439"/>
      <c r="S35" s="440">
        <f>MAX(S13:S16,S22:S25,S38:S38)</f>
        <v>5.8173118279569893</v>
      </c>
      <c r="T35" s="440">
        <f t="shared" ref="T35:X35" si="6">MAX(T13:T16,T22:T25,T38:T38)</f>
        <v>9.9909510618651893</v>
      </c>
      <c r="U35" s="440">
        <f t="shared" si="6"/>
        <v>19.02957746478873</v>
      </c>
      <c r="V35" s="440"/>
      <c r="W35" s="440">
        <f t="shared" si="6"/>
        <v>24.372340425531917</v>
      </c>
      <c r="X35" s="441">
        <f t="shared" si="6"/>
        <v>2.210496759935161</v>
      </c>
    </row>
    <row r="36" spans="2:24" x14ac:dyDescent="0.15">
      <c r="B36" s="452" t="s">
        <v>44</v>
      </c>
      <c r="C36" s="453"/>
      <c r="D36" s="454"/>
      <c r="E36" s="454"/>
      <c r="F36" s="454"/>
      <c r="G36" s="454"/>
      <c r="H36" s="454"/>
      <c r="I36" s="454"/>
      <c r="J36" s="454"/>
      <c r="K36" s="454"/>
      <c r="L36" s="454"/>
      <c r="M36" s="454"/>
      <c r="N36" s="454"/>
      <c r="O36" s="454"/>
      <c r="P36" s="454"/>
      <c r="Q36" s="446"/>
      <c r="R36" s="446"/>
      <c r="S36" s="447">
        <f>MIN(S13:S16,S22:S25)</f>
        <v>0.543918214062174</v>
      </c>
      <c r="T36" s="447">
        <f t="shared" ref="T36:X36" si="7">MIN(T13:T16,T22:T25)</f>
        <v>1.5201166180758017</v>
      </c>
      <c r="U36" s="447">
        <f t="shared" si="7"/>
        <v>2.3507664562669071</v>
      </c>
      <c r="V36" s="447"/>
      <c r="W36" s="447">
        <f t="shared" si="7"/>
        <v>3.5</v>
      </c>
      <c r="X36" s="448">
        <f t="shared" si="7"/>
        <v>0.16920823028035034</v>
      </c>
    </row>
    <row r="37" spans="2:24" x14ac:dyDescent="0.15">
      <c r="B37" s="455"/>
      <c r="C37" s="408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456"/>
      <c r="O37" s="456"/>
      <c r="P37" s="456"/>
    </row>
    <row r="38" spans="2:24" x14ac:dyDescent="0.15">
      <c r="D38" s="422"/>
      <c r="E38" s="422"/>
      <c r="F38" s="422"/>
      <c r="G38" s="422"/>
      <c r="H38" s="422"/>
      <c r="I38" s="422"/>
      <c r="J38" s="422"/>
      <c r="K38" s="422"/>
      <c r="L38" s="422"/>
      <c r="M38" s="422"/>
      <c r="N38" s="422"/>
      <c r="P38" s="422"/>
      <c r="Q38" s="457"/>
      <c r="R38" s="456"/>
      <c r="S38" s="524" t="s">
        <v>45</v>
      </c>
      <c r="T38" s="524"/>
      <c r="U38" s="524"/>
      <c r="V38" s="458"/>
      <c r="W38" s="524" t="s">
        <v>15</v>
      </c>
      <c r="X38" s="525"/>
    </row>
    <row r="39" spans="2:24" x14ac:dyDescent="0.15">
      <c r="Q39" s="459" t="s">
        <v>48</v>
      </c>
      <c r="S39" s="460">
        <f>MIN(S10:S16)*M10</f>
        <v>379.3</v>
      </c>
      <c r="T39" s="460">
        <f>MIN(T10:T16)*N10</f>
        <v>280.02425095182917</v>
      </c>
      <c r="U39" s="460">
        <f>MIN(U10:U16)*O10</f>
        <v>379.3</v>
      </c>
      <c r="V39" s="460"/>
      <c r="W39" s="460">
        <f>MIN(W10:W16)*$P$10</f>
        <v>0.55000000000000004</v>
      </c>
      <c r="X39" s="461">
        <f>MIN(X10:X16)*$Q$10</f>
        <v>0.55000000000000004</v>
      </c>
    </row>
    <row r="40" spans="2:24" x14ac:dyDescent="0.15">
      <c r="Q40" s="459" t="s">
        <v>47</v>
      </c>
      <c r="S40" s="460">
        <f>S41-S39</f>
        <v>263.59438202247185</v>
      </c>
      <c r="T40" s="460">
        <f>T41-T39</f>
        <v>282.00162896535511</v>
      </c>
      <c r="U40" s="460">
        <f>U41-U39</f>
        <v>870.89101123595515</v>
      </c>
      <c r="V40" s="460"/>
      <c r="W40" s="460">
        <f>W41-W39</f>
        <v>0.57935064935064928</v>
      </c>
      <c r="X40" s="461">
        <f>X41-X39</f>
        <v>2.259468635400995</v>
      </c>
    </row>
    <row r="41" spans="2:24" x14ac:dyDescent="0.15">
      <c r="Q41" s="459" t="s">
        <v>46</v>
      </c>
      <c r="S41" s="460">
        <f>MAX(S10:S16)*M10</f>
        <v>642.89438202247186</v>
      </c>
      <c r="T41" s="460">
        <f>MAX(T10:T16)*N10</f>
        <v>562.02587991718428</v>
      </c>
      <c r="U41" s="460">
        <f>MAX(U10:U16)*O10</f>
        <v>1250.1910112359551</v>
      </c>
      <c r="V41" s="460"/>
      <c r="W41" s="460">
        <f>MAX(W10:W16)*$P$10</f>
        <v>1.1293506493506493</v>
      </c>
      <c r="X41" s="461">
        <f>MAX(X10:X16)*$Q$10</f>
        <v>2.8094686354009952</v>
      </c>
    </row>
    <row r="42" spans="2:24" x14ac:dyDescent="0.15">
      <c r="Q42" s="462"/>
      <c r="X42" s="463"/>
    </row>
    <row r="43" spans="2:24" x14ac:dyDescent="0.15">
      <c r="Q43" s="459" t="s">
        <v>49</v>
      </c>
      <c r="S43" s="450">
        <v>90.2</v>
      </c>
      <c r="T43" s="450">
        <v>90.2</v>
      </c>
      <c r="U43" s="450">
        <v>90.2</v>
      </c>
      <c r="X43" s="463"/>
    </row>
    <row r="44" spans="2:24" x14ac:dyDescent="0.15">
      <c r="Q44" s="459" t="s">
        <v>50</v>
      </c>
      <c r="S44" s="450">
        <v>460.4</v>
      </c>
      <c r="T44" s="450">
        <v>460.4</v>
      </c>
      <c r="U44" s="450">
        <v>460.4</v>
      </c>
      <c r="X44" s="463"/>
    </row>
    <row r="45" spans="2:24" x14ac:dyDescent="0.15">
      <c r="Q45" s="462"/>
      <c r="X45" s="463"/>
    </row>
    <row r="46" spans="2:24" x14ac:dyDescent="0.15">
      <c r="Q46" s="464" t="s">
        <v>51</v>
      </c>
      <c r="X46" s="463"/>
    </row>
    <row r="47" spans="2:24" x14ac:dyDescent="0.15">
      <c r="Q47" s="462"/>
      <c r="S47" s="465" t="s">
        <v>52</v>
      </c>
      <c r="T47" s="465" t="s">
        <v>53</v>
      </c>
      <c r="U47" s="465" t="s">
        <v>54</v>
      </c>
      <c r="V47" s="465"/>
      <c r="W47" s="465" t="s">
        <v>55</v>
      </c>
      <c r="X47" s="466" t="s">
        <v>56</v>
      </c>
    </row>
    <row r="48" spans="2:24" x14ac:dyDescent="0.15">
      <c r="Q48" s="459" t="s">
        <v>48</v>
      </c>
      <c r="S48" s="467">
        <f>(S39-S43)/S44</f>
        <v>0.62793223284100785</v>
      </c>
      <c r="T48" s="467">
        <f>(T39-T43)/T44</f>
        <v>0.41230289085975064</v>
      </c>
      <c r="U48" s="467">
        <f>(U39-U43)/U44</f>
        <v>0.62793223284100785</v>
      </c>
      <c r="V48" s="467"/>
      <c r="W48" s="467">
        <f>W39</f>
        <v>0.55000000000000004</v>
      </c>
      <c r="X48" s="468">
        <f>X39</f>
        <v>0.55000000000000004</v>
      </c>
    </row>
    <row r="49" spans="1:29" x14ac:dyDescent="0.15">
      <c r="Q49" s="459" t="s">
        <v>47</v>
      </c>
      <c r="S49" s="467">
        <f>S50-S48</f>
        <v>0.57253341012700221</v>
      </c>
      <c r="T49" s="467">
        <f>T50-T48</f>
        <v>0.612514398274012</v>
      </c>
      <c r="U49" s="467">
        <f>U50-U48</f>
        <v>1.891596462284872</v>
      </c>
      <c r="V49" s="467"/>
      <c r="W49" s="467">
        <f t="shared" ref="W49:X50" si="8">W40</f>
        <v>0.57935064935064928</v>
      </c>
      <c r="X49" s="468">
        <f t="shared" si="8"/>
        <v>2.259468635400995</v>
      </c>
    </row>
    <row r="50" spans="1:29" x14ac:dyDescent="0.15">
      <c r="A50" s="402" t="s">
        <v>57</v>
      </c>
      <c r="C50" s="467"/>
      <c r="Q50" s="469" t="s">
        <v>46</v>
      </c>
      <c r="R50" s="470"/>
      <c r="S50" s="471">
        <f>(S41-S43)/S44</f>
        <v>1.2004656429680101</v>
      </c>
      <c r="T50" s="471">
        <f>(T41-T43)/T44</f>
        <v>1.0248172891337626</v>
      </c>
      <c r="U50" s="471">
        <f>(U41-U43)/U44</f>
        <v>2.5195286951258797</v>
      </c>
      <c r="V50" s="471"/>
      <c r="W50" s="471">
        <f t="shared" si="8"/>
        <v>1.1293506493506493</v>
      </c>
      <c r="X50" s="472">
        <f t="shared" si="8"/>
        <v>2.8094686354009952</v>
      </c>
    </row>
    <row r="51" spans="1:29" ht="14" thickBot="1" x14ac:dyDescent="0.2">
      <c r="A51" s="473" t="s">
        <v>58</v>
      </c>
      <c r="C51" s="467">
        <f>C52*P10</f>
        <v>0.76400000000000012</v>
      </c>
    </row>
    <row r="52" spans="1:29" x14ac:dyDescent="0.15">
      <c r="A52" s="473" t="s">
        <v>59</v>
      </c>
      <c r="C52" s="474">
        <v>9.5500000000000007</v>
      </c>
      <c r="Q52" s="475"/>
      <c r="R52" s="476" t="s">
        <v>52</v>
      </c>
      <c r="S52" s="476" t="s">
        <v>53</v>
      </c>
      <c r="T52" s="476" t="s">
        <v>54</v>
      </c>
      <c r="U52" s="476" t="s">
        <v>55</v>
      </c>
      <c r="V52" s="477" t="s">
        <v>56</v>
      </c>
    </row>
    <row r="53" spans="1:29" x14ac:dyDescent="0.15">
      <c r="Q53" s="478" t="s">
        <v>48</v>
      </c>
      <c r="R53" s="479">
        <f>S48</f>
        <v>0.62793223284100785</v>
      </c>
      <c r="S53" s="479">
        <f t="shared" ref="S53:T53" si="9">T48</f>
        <v>0.41230289085975064</v>
      </c>
      <c r="T53" s="479">
        <f t="shared" si="9"/>
        <v>0.62793223284100785</v>
      </c>
      <c r="U53" s="479">
        <f>W48</f>
        <v>0.55000000000000004</v>
      </c>
      <c r="V53" s="480">
        <f>X48</f>
        <v>0.55000000000000004</v>
      </c>
    </row>
    <row r="54" spans="1:29" x14ac:dyDescent="0.15">
      <c r="Q54" s="478" t="s">
        <v>47</v>
      </c>
      <c r="R54" s="479">
        <f t="shared" ref="R54:T54" si="10">S49</f>
        <v>0.57253341012700221</v>
      </c>
      <c r="S54" s="479">
        <f t="shared" si="10"/>
        <v>0.612514398274012</v>
      </c>
      <c r="T54" s="479">
        <f t="shared" si="10"/>
        <v>1.891596462284872</v>
      </c>
      <c r="U54" s="479">
        <f t="shared" ref="U54:V55" si="11">W49</f>
        <v>0.57935064935064928</v>
      </c>
      <c r="V54" s="480">
        <f t="shared" si="11"/>
        <v>2.259468635400995</v>
      </c>
    </row>
    <row r="55" spans="1:29" ht="14" thickBot="1" x14ac:dyDescent="0.2">
      <c r="Q55" s="481" t="s">
        <v>46</v>
      </c>
      <c r="R55" s="482">
        <f t="shared" ref="R55:T55" si="12">S50</f>
        <v>1.2004656429680101</v>
      </c>
      <c r="S55" s="482">
        <f t="shared" si="12"/>
        <v>1.0248172891337626</v>
      </c>
      <c r="T55" s="482">
        <f t="shared" si="12"/>
        <v>2.5195286951258797</v>
      </c>
      <c r="U55" s="482">
        <f t="shared" si="11"/>
        <v>1.1293506493506493</v>
      </c>
      <c r="V55" s="483">
        <f t="shared" si="11"/>
        <v>2.8094686354009952</v>
      </c>
    </row>
    <row r="56" spans="1:29" x14ac:dyDescent="0.15">
      <c r="Q56" s="473"/>
      <c r="R56" s="467"/>
      <c r="S56" s="467"/>
      <c r="T56" s="467"/>
      <c r="U56" s="467"/>
      <c r="V56" s="423"/>
    </row>
    <row r="57" spans="1:29" x14ac:dyDescent="0.15">
      <c r="T57" s="467"/>
      <c r="U57" s="467"/>
      <c r="V57" s="467"/>
    </row>
    <row r="58" spans="1:29" x14ac:dyDescent="0.15">
      <c r="T58" s="467"/>
      <c r="U58" s="467"/>
      <c r="V58" s="467"/>
    </row>
    <row r="59" spans="1:29" x14ac:dyDescent="0.15">
      <c r="AC59" s="398" t="s">
        <v>60</v>
      </c>
    </row>
  </sheetData>
  <mergeCells count="6">
    <mergeCell ref="J6:K6"/>
    <mergeCell ref="M6:Q6"/>
    <mergeCell ref="S6:U6"/>
    <mergeCell ref="W6:X6"/>
    <mergeCell ref="S38:U38"/>
    <mergeCell ref="W38:X38"/>
  </mergeCells>
  <hyperlinks>
    <hyperlink ref="Q10" location="Orezone!A1" display="Orezone!A1" xr:uid="{54E1E264-B86C-4740-AA15-888DBD4439A4}"/>
    <hyperlink ref="Q15" location="'West African'!A1" display="'West African'!A1" xr:uid="{2D6C9281-8776-8C47-B289-5D12D6A7FC24}"/>
    <hyperlink ref="Q22" location="Apex!A1" display="Apex!A1" xr:uid="{168711E0-974C-0149-A397-7FE24E4A9882}"/>
    <hyperlink ref="Q23" location="'Mineros S.A.'!A1" display="'Mineros S.A.'!A1" xr:uid="{C4080057-EF93-A146-AB46-17322D1A888F}"/>
    <hyperlink ref="Q13" location="Perseus!A1" display="Perseus!A1" xr:uid="{B902342A-85FB-FC43-8A9D-EEB4E867D2D9}"/>
    <hyperlink ref="Q14" location="'Pan African'!A1" display="'Pan African'!A1" xr:uid="{943E4D53-7153-DD43-AC4A-7C56B211159A}"/>
    <hyperlink ref="Q16" location="Harmony!A1" display="Harmony!A1" xr:uid="{14863F57-4E34-374C-B2FA-41AD749C9875}"/>
    <hyperlink ref="Q24" location="Ramelius!A1" display="Ramelius!A1" xr:uid="{01B30300-3EB7-3141-BB35-13EFDCC209B4}"/>
    <hyperlink ref="Q25" location="Lundin!A1" display="Lundin!A1" xr:uid="{1912AFDA-9A66-5C4F-BE19-8A8B12E41203}"/>
  </hyperlinks>
  <pageMargins left="0.70866141732283472" right="0.70866141732283472" top="0.74803149606299213" bottom="0.74803149606299213" header="0.31496062992125984" footer="0.31496062992125984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showGridLines="0" zoomScale="63" zoomScaleNormal="63" workbookViewId="0">
      <pane ySplit="3" topLeftCell="A49" activePane="bottomLeft" state="frozen"/>
      <selection activeCell="B314" sqref="B314"/>
      <selection pane="bottomLeft" activeCell="F76" sqref="F76"/>
    </sheetView>
  </sheetViews>
  <sheetFormatPr baseColWidth="10" defaultColWidth="11.1640625" defaultRowHeight="14" outlineLevelRow="2" x14ac:dyDescent="0.15"/>
  <cols>
    <col min="1" max="1" width="13.83203125" style="239" customWidth="1"/>
    <col min="2" max="2" width="8.5" style="239" customWidth="1"/>
    <col min="3" max="3" width="10.5" style="239" customWidth="1"/>
    <col min="4" max="4" width="9.5" style="239" customWidth="1"/>
    <col min="5" max="5" width="16.83203125" style="239" bestFit="1" customWidth="1"/>
    <col min="6" max="6" width="18.5" style="239" bestFit="1" customWidth="1"/>
    <col min="7" max="7" width="19.1640625" style="239" bestFit="1" customWidth="1"/>
    <col min="8" max="8" width="13.6640625" style="239" bestFit="1" customWidth="1"/>
    <col min="9" max="9" width="16.5" style="239" bestFit="1" customWidth="1"/>
    <col min="10" max="17" width="14.5" style="239" bestFit="1" customWidth="1"/>
    <col min="18" max="18" width="13.83203125" style="239" customWidth="1"/>
    <col min="19" max="16384" width="11.1640625" style="239"/>
  </cols>
  <sheetData>
    <row r="1" spans="1:18" s="225" customFormat="1" ht="16.5" customHeight="1" x14ac:dyDescent="0.15">
      <c r="A1" s="222"/>
      <c r="B1" s="223"/>
      <c r="C1" s="222"/>
      <c r="D1" s="222"/>
      <c r="E1" s="222"/>
      <c r="F1" s="224">
        <v>44927</v>
      </c>
      <c r="G1" s="224">
        <f>DATE(G2,12,31)</f>
        <v>45291</v>
      </c>
      <c r="H1" s="224">
        <f t="shared" ref="H1:R1" si="0">DATE(H2,12,31)</f>
        <v>45657</v>
      </c>
      <c r="I1" s="224">
        <f t="shared" si="0"/>
        <v>46022</v>
      </c>
      <c r="J1" s="224">
        <f t="shared" si="0"/>
        <v>46387</v>
      </c>
      <c r="K1" s="224">
        <f t="shared" si="0"/>
        <v>46752</v>
      </c>
      <c r="L1" s="224">
        <f t="shared" si="0"/>
        <v>47118</v>
      </c>
      <c r="M1" s="224">
        <f t="shared" si="0"/>
        <v>47483</v>
      </c>
      <c r="N1" s="224">
        <f t="shared" si="0"/>
        <v>47848</v>
      </c>
      <c r="O1" s="224">
        <f t="shared" si="0"/>
        <v>48213</v>
      </c>
      <c r="P1" s="224">
        <f t="shared" si="0"/>
        <v>48579</v>
      </c>
      <c r="Q1" s="224">
        <f t="shared" si="0"/>
        <v>48944</v>
      </c>
      <c r="R1" s="224">
        <f t="shared" si="0"/>
        <v>49309</v>
      </c>
    </row>
    <row r="2" spans="1:18" s="225" customFormat="1" ht="16.5" customHeight="1" x14ac:dyDescent="0.2">
      <c r="A2" s="226" t="s">
        <v>61</v>
      </c>
      <c r="B2" s="227"/>
      <c r="C2" s="228">
        <f>F22</f>
        <v>2</v>
      </c>
      <c r="D2" s="229" t="s">
        <v>62</v>
      </c>
      <c r="E2" s="229" t="s">
        <v>63</v>
      </c>
      <c r="F2" s="229" t="s">
        <v>64</v>
      </c>
      <c r="G2" s="230">
        <v>2023</v>
      </c>
      <c r="H2" s="230">
        <f t="shared" ref="H2:R2" si="1">+G2+1</f>
        <v>2024</v>
      </c>
      <c r="I2" s="230">
        <f t="shared" si="1"/>
        <v>2025</v>
      </c>
      <c r="J2" s="230">
        <f t="shared" si="1"/>
        <v>2026</v>
      </c>
      <c r="K2" s="230">
        <f t="shared" si="1"/>
        <v>2027</v>
      </c>
      <c r="L2" s="230">
        <f t="shared" si="1"/>
        <v>2028</v>
      </c>
      <c r="M2" s="230">
        <f t="shared" si="1"/>
        <v>2029</v>
      </c>
      <c r="N2" s="230">
        <f t="shared" si="1"/>
        <v>2030</v>
      </c>
      <c r="O2" s="230">
        <f t="shared" si="1"/>
        <v>2031</v>
      </c>
      <c r="P2" s="230">
        <f t="shared" si="1"/>
        <v>2032</v>
      </c>
      <c r="Q2" s="230">
        <f t="shared" si="1"/>
        <v>2033</v>
      </c>
      <c r="R2" s="230">
        <f t="shared" si="1"/>
        <v>2034</v>
      </c>
    </row>
    <row r="3" spans="1:18" s="234" customFormat="1" x14ac:dyDescent="0.15">
      <c r="A3" s="231" t="s">
        <v>65</v>
      </c>
      <c r="B3" s="231"/>
      <c r="C3" s="232"/>
      <c r="D3" s="232"/>
      <c r="E3" s="233"/>
      <c r="F3" s="233"/>
      <c r="G3" s="233" t="s">
        <v>66</v>
      </c>
      <c r="H3" s="233" t="s">
        <v>66</v>
      </c>
      <c r="I3" s="233" t="s">
        <v>66</v>
      </c>
      <c r="J3" s="233" t="s">
        <v>66</v>
      </c>
      <c r="K3" s="233" t="s">
        <v>66</v>
      </c>
      <c r="L3" s="233" t="s">
        <v>66</v>
      </c>
      <c r="M3" s="233" t="s">
        <v>66</v>
      </c>
      <c r="N3" s="233" t="s">
        <v>66</v>
      </c>
      <c r="O3" s="233" t="s">
        <v>66</v>
      </c>
      <c r="P3" s="233" t="s">
        <v>66</v>
      </c>
      <c r="Q3" s="233" t="s">
        <v>66</v>
      </c>
      <c r="R3" s="233" t="s">
        <v>66</v>
      </c>
    </row>
    <row r="5" spans="1:18" s="237" customFormat="1" ht="18" x14ac:dyDescent="0.15">
      <c r="A5" s="235" t="s">
        <v>67</v>
      </c>
      <c r="B5" s="235"/>
      <c r="C5" s="236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</row>
    <row r="6" spans="1:18" ht="16.5" customHeight="1" outlineLevel="1" x14ac:dyDescent="0.15">
      <c r="A6" s="238"/>
      <c r="B6" s="238"/>
      <c r="C6" s="238"/>
    </row>
    <row r="7" spans="1:18" ht="16.5" customHeight="1" outlineLevel="1" x14ac:dyDescent="0.15">
      <c r="A7" s="240" t="s">
        <v>68</v>
      </c>
      <c r="B7" s="240"/>
      <c r="C7" s="240"/>
      <c r="D7" s="240" t="s">
        <v>69</v>
      </c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</row>
    <row r="8" spans="1:18" ht="16.5" customHeight="1" outlineLevel="1" x14ac:dyDescent="0.15"/>
    <row r="9" spans="1:18" ht="16.5" customHeight="1" outlineLevel="1" x14ac:dyDescent="0.15">
      <c r="D9" s="238" t="s">
        <v>70</v>
      </c>
      <c r="H9" s="242" t="s">
        <v>71</v>
      </c>
      <c r="I9" s="243" t="s">
        <v>72</v>
      </c>
    </row>
    <row r="10" spans="1:18" ht="16.5" customHeight="1" outlineLevel="1" x14ac:dyDescent="0.15">
      <c r="D10" s="244" t="s">
        <v>73</v>
      </c>
      <c r="E10" s="244"/>
      <c r="F10" s="245">
        <f>1/31.1034768</f>
        <v>3.2150746568627979E-2</v>
      </c>
      <c r="H10" s="239" t="s">
        <v>74</v>
      </c>
      <c r="I10" s="246">
        <v>1.39</v>
      </c>
    </row>
    <row r="11" spans="1:18" ht="16.5" customHeight="1" outlineLevel="1" x14ac:dyDescent="0.15">
      <c r="D11" s="239" t="s">
        <v>75</v>
      </c>
      <c r="F11" s="247">
        <v>4.53592E-4</v>
      </c>
    </row>
    <row r="12" spans="1:18" ht="16.5" customHeight="1" outlineLevel="1" x14ac:dyDescent="0.15">
      <c r="D12" s="239" t="s">
        <v>76</v>
      </c>
      <c r="F12" s="248">
        <v>31.103476799999999</v>
      </c>
    </row>
    <row r="13" spans="1:18" ht="16.5" customHeight="1" outlineLevel="1" x14ac:dyDescent="0.15"/>
    <row r="14" spans="1:18" ht="16.5" customHeight="1" outlineLevel="1" x14ac:dyDescent="0.15">
      <c r="A14" s="238" t="s">
        <v>77</v>
      </c>
      <c r="D14" s="238" t="s">
        <v>78</v>
      </c>
      <c r="G14" s="249">
        <v>2023</v>
      </c>
      <c r="H14" s="249">
        <f t="shared" ref="H14:R14" si="2">+G14+1</f>
        <v>2024</v>
      </c>
      <c r="I14" s="249">
        <f t="shared" si="2"/>
        <v>2025</v>
      </c>
      <c r="J14" s="249">
        <f t="shared" si="2"/>
        <v>2026</v>
      </c>
      <c r="K14" s="249">
        <f t="shared" si="2"/>
        <v>2027</v>
      </c>
      <c r="L14" s="249">
        <f t="shared" si="2"/>
        <v>2028</v>
      </c>
      <c r="M14" s="249">
        <f t="shared" si="2"/>
        <v>2029</v>
      </c>
      <c r="N14" s="249">
        <f t="shared" si="2"/>
        <v>2030</v>
      </c>
      <c r="O14" s="249">
        <f t="shared" si="2"/>
        <v>2031</v>
      </c>
      <c r="P14" s="249">
        <f t="shared" si="2"/>
        <v>2032</v>
      </c>
      <c r="Q14" s="249">
        <f t="shared" si="2"/>
        <v>2033</v>
      </c>
      <c r="R14" s="249">
        <f t="shared" si="2"/>
        <v>2034</v>
      </c>
    </row>
    <row r="15" spans="1:18" ht="16.5" customHeight="1" outlineLevel="1" x14ac:dyDescent="0.15">
      <c r="A15" s="244" t="s">
        <v>79</v>
      </c>
      <c r="B15" s="244"/>
      <c r="C15" s="244"/>
      <c r="D15" s="250" t="s">
        <v>79</v>
      </c>
      <c r="E15" s="244"/>
      <c r="F15" s="251">
        <v>1</v>
      </c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</row>
    <row r="16" spans="1:18" ht="16.5" customHeight="1" outlineLevel="1" x14ac:dyDescent="0.15">
      <c r="A16" s="239" t="s">
        <v>80</v>
      </c>
      <c r="D16" s="239" t="s">
        <v>81</v>
      </c>
      <c r="F16" s="253"/>
      <c r="G16" s="254">
        <v>1750</v>
      </c>
      <c r="H16" s="254">
        <v>1750</v>
      </c>
      <c r="I16" s="254">
        <v>1750</v>
      </c>
      <c r="J16" s="254">
        <v>1750</v>
      </c>
      <c r="K16" s="254">
        <v>1750</v>
      </c>
      <c r="L16" s="254">
        <v>1750</v>
      </c>
      <c r="M16" s="254">
        <v>1750</v>
      </c>
      <c r="N16" s="254">
        <v>1750</v>
      </c>
      <c r="O16" s="254">
        <v>1750</v>
      </c>
      <c r="P16" s="254">
        <v>1750</v>
      </c>
      <c r="Q16" s="254">
        <v>1750</v>
      </c>
      <c r="R16" s="254">
        <v>1750</v>
      </c>
    </row>
    <row r="17" spans="1:18" ht="16.5" customHeight="1" outlineLevel="1" x14ac:dyDescent="0.15">
      <c r="A17" s="239" t="s">
        <v>82</v>
      </c>
      <c r="D17" s="238" t="s">
        <v>80</v>
      </c>
      <c r="F17" s="253">
        <v>2</v>
      </c>
      <c r="G17" s="254"/>
      <c r="H17" s="255"/>
    </row>
    <row r="18" spans="1:18" ht="16.5" customHeight="1" outlineLevel="1" x14ac:dyDescent="0.15">
      <c r="D18" s="239" t="s">
        <v>81</v>
      </c>
      <c r="F18" s="253"/>
      <c r="G18" s="254">
        <v>2100</v>
      </c>
      <c r="H18" s="254">
        <v>2100</v>
      </c>
      <c r="I18" s="254">
        <v>2100</v>
      </c>
      <c r="J18" s="254">
        <v>2100</v>
      </c>
      <c r="K18" s="254">
        <v>2100</v>
      </c>
      <c r="L18" s="254">
        <v>2100</v>
      </c>
      <c r="M18" s="254">
        <v>2100</v>
      </c>
      <c r="N18" s="254">
        <v>2100</v>
      </c>
      <c r="O18" s="254">
        <v>2100</v>
      </c>
      <c r="P18" s="254">
        <v>2100</v>
      </c>
      <c r="Q18" s="254">
        <v>2100</v>
      </c>
      <c r="R18" s="254">
        <v>2100</v>
      </c>
    </row>
    <row r="19" spans="1:18" ht="16.5" customHeight="1" outlineLevel="1" x14ac:dyDescent="0.15">
      <c r="D19" s="238" t="s">
        <v>82</v>
      </c>
      <c r="F19" s="253">
        <v>3</v>
      </c>
    </row>
    <row r="20" spans="1:18" ht="16.5" customHeight="1" outlineLevel="1" x14ac:dyDescent="0.15">
      <c r="D20" s="239" t="s">
        <v>81</v>
      </c>
      <c r="G20" s="254">
        <v>2748</v>
      </c>
      <c r="H20" s="254">
        <v>2748</v>
      </c>
      <c r="I20" s="254">
        <v>2748</v>
      </c>
      <c r="J20" s="254">
        <v>2748</v>
      </c>
      <c r="K20" s="254">
        <v>2748</v>
      </c>
      <c r="L20" s="254">
        <v>2748</v>
      </c>
      <c r="M20" s="254">
        <v>2748</v>
      </c>
      <c r="N20" s="254">
        <v>2748</v>
      </c>
      <c r="O20" s="254">
        <v>2748</v>
      </c>
      <c r="P20" s="254">
        <v>2748</v>
      </c>
      <c r="Q20" s="254">
        <v>2748</v>
      </c>
      <c r="R20" s="254">
        <v>2748</v>
      </c>
    </row>
    <row r="21" spans="1:18" ht="16.5" customHeight="1" outlineLevel="1" x14ac:dyDescent="0.15">
      <c r="D21" s="238" t="s">
        <v>83</v>
      </c>
      <c r="F21" s="256" t="s">
        <v>80</v>
      </c>
    </row>
    <row r="22" spans="1:18" ht="16.5" customHeight="1" outlineLevel="1" x14ac:dyDescent="0.15">
      <c r="D22" s="239" t="s">
        <v>81</v>
      </c>
      <c r="F22" s="257">
        <f>INDEX(F15:F20,MATCH(F21,D15:D20,0),0)</f>
        <v>2</v>
      </c>
      <c r="G22" s="255">
        <f t="shared" ref="G22:R22" si="3">CHOOSE($F$22,G16,G18,G20)</f>
        <v>2100</v>
      </c>
      <c r="H22" s="255">
        <f t="shared" si="3"/>
        <v>2100</v>
      </c>
      <c r="I22" s="255">
        <f t="shared" si="3"/>
        <v>2100</v>
      </c>
      <c r="J22" s="255">
        <f t="shared" si="3"/>
        <v>2100</v>
      </c>
      <c r="K22" s="255">
        <f t="shared" si="3"/>
        <v>2100</v>
      </c>
      <c r="L22" s="255">
        <f t="shared" si="3"/>
        <v>2100</v>
      </c>
      <c r="M22" s="255">
        <f t="shared" si="3"/>
        <v>2100</v>
      </c>
      <c r="N22" s="255">
        <f t="shared" si="3"/>
        <v>2100</v>
      </c>
      <c r="O22" s="255">
        <f t="shared" si="3"/>
        <v>2100</v>
      </c>
      <c r="P22" s="255">
        <f t="shared" si="3"/>
        <v>2100</v>
      </c>
      <c r="Q22" s="255">
        <f t="shared" si="3"/>
        <v>2100</v>
      </c>
      <c r="R22" s="255">
        <f t="shared" si="3"/>
        <v>2100</v>
      </c>
    </row>
    <row r="23" spans="1:18" ht="16.5" customHeight="1" outlineLevel="1" x14ac:dyDescent="0.15"/>
    <row r="24" spans="1:18" ht="16.5" customHeight="1" outlineLevel="1" x14ac:dyDescent="0.15">
      <c r="D24" s="238" t="s">
        <v>85</v>
      </c>
      <c r="G24" s="249">
        <v>2023</v>
      </c>
      <c r="H24" s="249">
        <f t="shared" ref="H24:R24" si="4">+G24+1</f>
        <v>2024</v>
      </c>
      <c r="I24" s="249">
        <f t="shared" si="4"/>
        <v>2025</v>
      </c>
      <c r="J24" s="249">
        <f t="shared" si="4"/>
        <v>2026</v>
      </c>
      <c r="K24" s="249">
        <f t="shared" si="4"/>
        <v>2027</v>
      </c>
      <c r="L24" s="249">
        <f t="shared" si="4"/>
        <v>2028</v>
      </c>
      <c r="M24" s="249">
        <f t="shared" si="4"/>
        <v>2029</v>
      </c>
      <c r="N24" s="249">
        <f t="shared" si="4"/>
        <v>2030</v>
      </c>
      <c r="O24" s="249">
        <f t="shared" si="4"/>
        <v>2031</v>
      </c>
      <c r="P24" s="249">
        <f t="shared" si="4"/>
        <v>2032</v>
      </c>
      <c r="Q24" s="249">
        <f t="shared" si="4"/>
        <v>2033</v>
      </c>
      <c r="R24" s="249">
        <f t="shared" si="4"/>
        <v>2034</v>
      </c>
    </row>
    <row r="25" spans="1:18" ht="16.5" customHeight="1" outlineLevel="1" x14ac:dyDescent="0.15">
      <c r="A25" s="239" t="s">
        <v>86</v>
      </c>
      <c r="D25" s="244" t="s">
        <v>87</v>
      </c>
      <c r="E25" s="244" t="s">
        <v>88</v>
      </c>
      <c r="F25" s="258">
        <f>SUM(G25:R25)</f>
        <v>103500000</v>
      </c>
      <c r="G25" s="254">
        <v>4300000</v>
      </c>
      <c r="H25" s="254">
        <v>5900000</v>
      </c>
      <c r="I25" s="254">
        <v>7000000</v>
      </c>
      <c r="J25" s="254">
        <v>10300000</v>
      </c>
      <c r="K25" s="254">
        <v>10300000</v>
      </c>
      <c r="L25" s="254">
        <v>10300000</v>
      </c>
      <c r="M25" s="254">
        <v>10300000</v>
      </c>
      <c r="N25" s="254">
        <v>10300000</v>
      </c>
      <c r="O25" s="254">
        <v>10300000</v>
      </c>
      <c r="P25" s="254">
        <v>10300000</v>
      </c>
      <c r="Q25" s="254">
        <v>10300000</v>
      </c>
      <c r="R25" s="254">
        <v>3900000</v>
      </c>
    </row>
    <row r="26" spans="1:18" ht="16.5" customHeight="1" outlineLevel="1" x14ac:dyDescent="0.15">
      <c r="A26" s="239" t="s">
        <v>89</v>
      </c>
      <c r="D26" s="239" t="s">
        <v>90</v>
      </c>
      <c r="E26" s="239" t="s">
        <v>91</v>
      </c>
      <c r="G26" s="259">
        <v>0.78</v>
      </c>
      <c r="H26" s="259">
        <v>0.74</v>
      </c>
      <c r="I26" s="259">
        <v>0.79</v>
      </c>
      <c r="J26" s="259">
        <v>0.87</v>
      </c>
      <c r="K26" s="259">
        <v>0.75</v>
      </c>
      <c r="L26" s="259">
        <v>0.73</v>
      </c>
      <c r="M26" s="259">
        <v>0.71</v>
      </c>
      <c r="N26" s="259">
        <v>0.71</v>
      </c>
      <c r="O26" s="259">
        <v>0.75</v>
      </c>
      <c r="P26" s="259">
        <v>0.68</v>
      </c>
      <c r="Q26" s="259">
        <v>0.57999999999999996</v>
      </c>
      <c r="R26" s="259">
        <v>0.48</v>
      </c>
    </row>
    <row r="27" spans="1:18" ht="16.5" customHeight="1" outlineLevel="1" x14ac:dyDescent="0.15">
      <c r="D27" s="239" t="s">
        <v>92</v>
      </c>
      <c r="E27" s="239" t="s">
        <v>93</v>
      </c>
      <c r="G27" s="260">
        <v>0.90800000000000003</v>
      </c>
      <c r="H27" s="260">
        <v>0.91100000000000003</v>
      </c>
      <c r="I27" s="260">
        <v>0.89500000000000002</v>
      </c>
      <c r="J27" s="260">
        <v>0.88800000000000001</v>
      </c>
      <c r="K27" s="260">
        <v>0.88400000000000001</v>
      </c>
      <c r="L27" s="260">
        <v>0.88700000000000001</v>
      </c>
      <c r="M27" s="260">
        <v>0.86099999999999999</v>
      </c>
      <c r="N27" s="260">
        <v>0.85399999999999998</v>
      </c>
      <c r="O27" s="260">
        <v>0.86099999999999999</v>
      </c>
      <c r="P27" s="260">
        <v>0.86799999999999999</v>
      </c>
      <c r="Q27" s="260">
        <v>0.873</v>
      </c>
      <c r="R27" s="260">
        <v>0.86399999999999999</v>
      </c>
    </row>
    <row r="28" spans="1:18" ht="16.5" customHeight="1" outlineLevel="1" x14ac:dyDescent="0.15">
      <c r="D28" s="239" t="s">
        <v>94</v>
      </c>
      <c r="G28" s="261">
        <f>G25/SUM(G25:$R$25)</f>
        <v>4.1545893719806763E-2</v>
      </c>
      <c r="H28" s="261">
        <f>H25/SUM(H25:$R$25)</f>
        <v>5.9475806451612906E-2</v>
      </c>
      <c r="I28" s="261">
        <f>I25/SUM(I25:$R$25)</f>
        <v>7.5026795284030015E-2</v>
      </c>
      <c r="J28" s="261">
        <f>J25/SUM(J25:$R$25)</f>
        <v>0.11935110081112399</v>
      </c>
      <c r="K28" s="261">
        <f>K25/SUM(K25:$R$25)</f>
        <v>0.13552631578947369</v>
      </c>
      <c r="L28" s="261">
        <f>L25/SUM(L25:$R$25)</f>
        <v>0.15677321156773211</v>
      </c>
      <c r="M28" s="261">
        <f>M25/SUM(M25:$R$25)</f>
        <v>0.18592057761732853</v>
      </c>
      <c r="N28" s="261">
        <f>N25/SUM(N25:$R$25)</f>
        <v>0.22838137472283815</v>
      </c>
      <c r="O28" s="261">
        <f>O25/SUM(O25:$R$25)</f>
        <v>0.29597701149425287</v>
      </c>
      <c r="P28" s="261">
        <f>P25/SUM(P25:$R$25)</f>
        <v>0.42040816326530611</v>
      </c>
      <c r="Q28" s="261">
        <f>Q25/SUM(Q25:$R$25)</f>
        <v>0.72535211267605637</v>
      </c>
      <c r="R28" s="261">
        <f>R25/SUM(R25:$R$25)</f>
        <v>1</v>
      </c>
    </row>
    <row r="29" spans="1:18" ht="16.5" customHeight="1" outlineLevel="1" x14ac:dyDescent="0.15"/>
    <row r="30" spans="1:18" ht="16.5" customHeight="1" outlineLevel="1" x14ac:dyDescent="0.15">
      <c r="D30" s="238" t="s">
        <v>95</v>
      </c>
    </row>
    <row r="31" spans="1:18" ht="16.5" customHeight="1" outlineLevel="1" x14ac:dyDescent="0.15">
      <c r="D31" s="239" t="s">
        <v>81</v>
      </c>
      <c r="F31" s="262" t="s">
        <v>96</v>
      </c>
      <c r="G31" s="262" t="s">
        <v>97</v>
      </c>
      <c r="H31" s="243" t="s">
        <v>98</v>
      </c>
    </row>
    <row r="32" spans="1:18" ht="16.5" customHeight="1" outlineLevel="1" x14ac:dyDescent="0.15">
      <c r="A32" s="239" t="s">
        <v>99</v>
      </c>
      <c r="D32" s="244" t="s">
        <v>100</v>
      </c>
      <c r="E32" s="244"/>
      <c r="F32" s="263">
        <v>9500000</v>
      </c>
      <c r="G32" s="246">
        <v>0.86</v>
      </c>
      <c r="H32" s="264">
        <f>F32*G32*$F$10</f>
        <v>262671.59946569061</v>
      </c>
    </row>
    <row r="33" spans="1:8" ht="16.5" customHeight="1" outlineLevel="1" x14ac:dyDescent="0.15">
      <c r="A33" s="265"/>
      <c r="B33" s="265"/>
      <c r="C33" s="265"/>
      <c r="D33" s="239" t="s">
        <v>101</v>
      </c>
      <c r="F33" s="254">
        <v>94000000</v>
      </c>
      <c r="G33" s="259">
        <v>0.71</v>
      </c>
      <c r="H33" s="264">
        <f>F33*G33*$F$10</f>
        <v>2145740.8259902312</v>
      </c>
    </row>
    <row r="34" spans="1:8" ht="16.5" customHeight="1" outlineLevel="1" x14ac:dyDescent="0.15">
      <c r="D34" s="239" t="s">
        <v>102</v>
      </c>
      <c r="F34" s="266">
        <f>SUM(F32:F33)</f>
        <v>103500000</v>
      </c>
      <c r="G34" s="267">
        <f>H34*F12/F34</f>
        <v>0.72376811594202883</v>
      </c>
      <c r="H34" s="252">
        <f>SUM(H32:H33)</f>
        <v>2408412.4254559218</v>
      </c>
    </row>
    <row r="35" spans="1:8" ht="16.5" customHeight="1" outlineLevel="1" x14ac:dyDescent="0.15"/>
    <row r="36" spans="1:8" ht="16.5" customHeight="1" outlineLevel="1" x14ac:dyDescent="0.15">
      <c r="D36" s="239" t="s">
        <v>103</v>
      </c>
      <c r="E36" s="268">
        <v>2</v>
      </c>
    </row>
    <row r="37" spans="1:8" ht="16.5" customHeight="1" outlineLevel="1" x14ac:dyDescent="0.15"/>
    <row r="38" spans="1:8" ht="16.5" customHeight="1" outlineLevel="1" x14ac:dyDescent="0.15">
      <c r="A38" s="239" t="s">
        <v>104</v>
      </c>
      <c r="D38" s="238" t="s">
        <v>105</v>
      </c>
    </row>
    <row r="39" spans="1:8" ht="16.5" customHeight="1" outlineLevel="1" x14ac:dyDescent="0.15">
      <c r="A39" s="239" t="s">
        <v>106</v>
      </c>
      <c r="D39" s="244" t="s">
        <v>107</v>
      </c>
      <c r="E39" s="263">
        <f>F40/F39</f>
        <v>28219.178082191782</v>
      </c>
      <c r="F39" s="263">
        <v>365</v>
      </c>
    </row>
    <row r="40" spans="1:8" ht="16.5" customHeight="1" outlineLevel="1" x14ac:dyDescent="0.15">
      <c r="D40" s="239" t="s">
        <v>108</v>
      </c>
      <c r="E40" s="269">
        <f>E39*F39</f>
        <v>10300000</v>
      </c>
      <c r="F40" s="239">
        <f>4400000+5900000</f>
        <v>10300000</v>
      </c>
    </row>
    <row r="41" spans="1:8" ht="16.5" customHeight="1" outlineLevel="1" x14ac:dyDescent="0.15">
      <c r="F41" s="270"/>
    </row>
    <row r="42" spans="1:8" ht="16.5" customHeight="1" outlineLevel="1" x14ac:dyDescent="0.15">
      <c r="D42" s="238" t="s">
        <v>109</v>
      </c>
    </row>
    <row r="43" spans="1:8" ht="16.5" customHeight="1" outlineLevel="1" x14ac:dyDescent="0.15">
      <c r="A43" s="239" t="s">
        <v>104</v>
      </c>
      <c r="D43" s="244" t="s">
        <v>110</v>
      </c>
      <c r="E43" s="271"/>
    </row>
    <row r="44" spans="1:8" ht="16.5" customHeight="1" outlineLevel="1" x14ac:dyDescent="0.15">
      <c r="A44" s="239" t="s">
        <v>111</v>
      </c>
      <c r="D44" s="239" t="s">
        <v>112</v>
      </c>
      <c r="E44" s="272"/>
    </row>
    <row r="45" spans="1:8" ht="16.5" customHeight="1" outlineLevel="1" x14ac:dyDescent="0.15">
      <c r="D45" s="239" t="s">
        <v>43</v>
      </c>
      <c r="E45" s="271">
        <v>0.06</v>
      </c>
      <c r="F45" s="239">
        <v>2.15</v>
      </c>
      <c r="G45" s="239" t="s">
        <v>113</v>
      </c>
    </row>
    <row r="46" spans="1:8" ht="16.5" customHeight="1" outlineLevel="1" x14ac:dyDescent="0.15">
      <c r="E46" s="272"/>
    </row>
    <row r="47" spans="1:8" ht="16.5" customHeight="1" outlineLevel="1" x14ac:dyDescent="0.15">
      <c r="A47" s="239" t="s">
        <v>104</v>
      </c>
      <c r="D47" s="238" t="s">
        <v>114</v>
      </c>
      <c r="E47" s="272"/>
    </row>
    <row r="48" spans="1:8" ht="16.5" customHeight="1" outlineLevel="1" x14ac:dyDescent="0.15">
      <c r="A48" s="239" t="s">
        <v>115</v>
      </c>
      <c r="D48" s="244" t="s">
        <v>81</v>
      </c>
      <c r="E48" s="273">
        <v>0.99950000000000006</v>
      </c>
    </row>
    <row r="49" spans="1:18" ht="16.5" customHeight="1" outlineLevel="1" x14ac:dyDescent="0.15"/>
    <row r="50" spans="1:18" ht="16.5" customHeight="1" outlineLevel="1" x14ac:dyDescent="0.15">
      <c r="D50" s="238" t="s">
        <v>116</v>
      </c>
      <c r="G50" s="262" t="s">
        <v>117</v>
      </c>
      <c r="H50" s="274"/>
      <c r="I50" s="274"/>
      <c r="J50" s="274"/>
      <c r="K50" s="274"/>
      <c r="L50" s="274"/>
      <c r="M50" s="274"/>
    </row>
    <row r="51" spans="1:18" ht="16.5" customHeight="1" outlineLevel="1" x14ac:dyDescent="0.15">
      <c r="A51" s="239" t="s">
        <v>104</v>
      </c>
      <c r="D51" s="244" t="s">
        <v>118</v>
      </c>
      <c r="E51" s="244"/>
      <c r="F51" s="244" t="s">
        <v>119</v>
      </c>
      <c r="G51" s="246">
        <v>8.1199999999999992</v>
      </c>
      <c r="H51" s="275"/>
      <c r="I51" s="274"/>
      <c r="J51" s="274"/>
      <c r="K51" s="274"/>
      <c r="L51" s="274"/>
      <c r="M51" s="274"/>
    </row>
    <row r="52" spans="1:18" ht="16.5" customHeight="1" outlineLevel="1" x14ac:dyDescent="0.15">
      <c r="A52" s="239" t="s">
        <v>120</v>
      </c>
      <c r="D52" s="239" t="s">
        <v>121</v>
      </c>
      <c r="F52" s="239" t="s">
        <v>119</v>
      </c>
      <c r="G52" s="259">
        <v>9.1300000000000008</v>
      </c>
      <c r="H52" s="275"/>
      <c r="I52" s="274"/>
      <c r="J52" s="274"/>
      <c r="K52" s="274"/>
      <c r="L52" s="274"/>
      <c r="M52" s="274"/>
    </row>
    <row r="53" spans="1:18" ht="16.5" customHeight="1" outlineLevel="1" x14ac:dyDescent="0.15">
      <c r="D53" s="239" t="s">
        <v>122</v>
      </c>
      <c r="F53" s="239" t="s">
        <v>119</v>
      </c>
      <c r="G53" s="259">
        <v>0.06</v>
      </c>
      <c r="H53" s="275"/>
      <c r="I53" s="274"/>
      <c r="J53" s="274"/>
      <c r="K53" s="274"/>
      <c r="L53" s="274"/>
      <c r="M53" s="274"/>
    </row>
    <row r="54" spans="1:18" ht="16.5" customHeight="1" outlineLevel="1" x14ac:dyDescent="0.15">
      <c r="D54" s="239" t="s">
        <v>123</v>
      </c>
      <c r="F54" s="239" t="s">
        <v>119</v>
      </c>
      <c r="G54" s="259">
        <v>2.35</v>
      </c>
      <c r="H54" s="275"/>
      <c r="I54" s="274"/>
      <c r="J54" s="274"/>
      <c r="K54" s="274"/>
      <c r="L54" s="274"/>
      <c r="M54" s="274"/>
    </row>
    <row r="55" spans="1:18" ht="16.5" customHeight="1" outlineLevel="1" x14ac:dyDescent="0.15">
      <c r="D55" s="239" t="s">
        <v>64</v>
      </c>
      <c r="F55" s="239" t="s">
        <v>119</v>
      </c>
      <c r="G55" s="276">
        <f>SUM(G51:G54)</f>
        <v>19.66</v>
      </c>
      <c r="H55" s="277"/>
      <c r="I55" s="274"/>
      <c r="J55" s="274"/>
      <c r="K55" s="274"/>
      <c r="L55" s="274"/>
      <c r="M55" s="274"/>
    </row>
    <row r="56" spans="1:18" ht="16.5" customHeight="1" outlineLevel="1" x14ac:dyDescent="0.15">
      <c r="G56" s="278"/>
      <c r="H56" s="275"/>
    </row>
    <row r="57" spans="1:18" ht="16.5" customHeight="1" outlineLevel="1" x14ac:dyDescent="0.15">
      <c r="A57" s="239" t="s">
        <v>104</v>
      </c>
      <c r="D57" s="239" t="s">
        <v>124</v>
      </c>
      <c r="F57" s="239" t="s">
        <v>125</v>
      </c>
      <c r="G57" s="279">
        <v>0</v>
      </c>
      <c r="H57" s="275"/>
    </row>
    <row r="58" spans="1:18" ht="16.5" customHeight="1" outlineLevel="1" x14ac:dyDescent="0.15">
      <c r="A58" s="239" t="s">
        <v>126</v>
      </c>
      <c r="D58" s="239" t="s">
        <v>127</v>
      </c>
      <c r="F58" s="239" t="s">
        <v>125</v>
      </c>
      <c r="G58" s="279">
        <f>(5376850+5415000)/$H$34</f>
        <v>4.4808978254449343</v>
      </c>
      <c r="H58" s="275"/>
    </row>
    <row r="59" spans="1:18" ht="16.5" customHeight="1" outlineLevel="1" x14ac:dyDescent="0.15"/>
    <row r="60" spans="1:18" ht="16.5" customHeight="1" outlineLevel="1" x14ac:dyDescent="0.15">
      <c r="D60" s="242" t="s">
        <v>128</v>
      </c>
      <c r="E60" s="249"/>
      <c r="F60" s="249"/>
      <c r="G60" s="249">
        <v>2023</v>
      </c>
      <c r="H60" s="249">
        <f t="shared" ref="H60:R60" si="5">+G60+1</f>
        <v>2024</v>
      </c>
      <c r="I60" s="249">
        <f t="shared" si="5"/>
        <v>2025</v>
      </c>
      <c r="J60" s="249">
        <f t="shared" si="5"/>
        <v>2026</v>
      </c>
      <c r="K60" s="249">
        <f t="shared" si="5"/>
        <v>2027</v>
      </c>
      <c r="L60" s="249">
        <f t="shared" si="5"/>
        <v>2028</v>
      </c>
      <c r="M60" s="249">
        <f t="shared" si="5"/>
        <v>2029</v>
      </c>
      <c r="N60" s="249">
        <f t="shared" si="5"/>
        <v>2030</v>
      </c>
      <c r="O60" s="249">
        <f t="shared" si="5"/>
        <v>2031</v>
      </c>
      <c r="P60" s="249">
        <f t="shared" si="5"/>
        <v>2032</v>
      </c>
      <c r="Q60" s="249">
        <f t="shared" si="5"/>
        <v>2033</v>
      </c>
      <c r="R60" s="249">
        <f t="shared" si="5"/>
        <v>2034</v>
      </c>
    </row>
    <row r="61" spans="1:18" ht="16.5" customHeight="1" outlineLevel="1" x14ac:dyDescent="0.15">
      <c r="A61" s="239" t="s">
        <v>104</v>
      </c>
      <c r="D61" s="239" t="s">
        <v>129</v>
      </c>
      <c r="F61" s="280">
        <v>167500000</v>
      </c>
      <c r="G61" s="281">
        <f>$F$61*G63</f>
        <v>6958937.1980676325</v>
      </c>
      <c r="H61" s="281">
        <f t="shared" ref="H61:R61" si="6">$F$61*H63</f>
        <v>9548309.1787439603</v>
      </c>
      <c r="I61" s="281">
        <f t="shared" si="6"/>
        <v>11328502.415458936</v>
      </c>
      <c r="J61" s="281">
        <f t="shared" si="6"/>
        <v>16669082.125603864</v>
      </c>
      <c r="K61" s="281">
        <f t="shared" si="6"/>
        <v>16669082.125603864</v>
      </c>
      <c r="L61" s="281">
        <f t="shared" si="6"/>
        <v>16669082.125603864</v>
      </c>
      <c r="M61" s="281">
        <f t="shared" si="6"/>
        <v>16669082.125603864</v>
      </c>
      <c r="N61" s="281">
        <f t="shared" si="6"/>
        <v>16669082.125603864</v>
      </c>
      <c r="O61" s="281">
        <f t="shared" si="6"/>
        <v>16669082.125603864</v>
      </c>
      <c r="P61" s="281">
        <f t="shared" si="6"/>
        <v>16669082.125603864</v>
      </c>
      <c r="Q61" s="281">
        <f t="shared" si="6"/>
        <v>16669082.125603864</v>
      </c>
      <c r="R61" s="281">
        <f t="shared" si="6"/>
        <v>6311594.2028985508</v>
      </c>
    </row>
    <row r="62" spans="1:18" ht="16.5" customHeight="1" outlineLevel="1" x14ac:dyDescent="0.15">
      <c r="A62" s="239" t="s">
        <v>130</v>
      </c>
      <c r="D62" s="239" t="s">
        <v>131</v>
      </c>
      <c r="F62" s="280">
        <v>101000000</v>
      </c>
      <c r="G62" s="264">
        <f>G63*$F$62</f>
        <v>4196135.2657004828</v>
      </c>
      <c r="H62" s="264">
        <f t="shared" ref="H62:R62" si="7">H63*$F$62</f>
        <v>5757487.9227053141</v>
      </c>
      <c r="I62" s="264">
        <f t="shared" si="7"/>
        <v>6830917.8743961351</v>
      </c>
      <c r="J62" s="264">
        <f t="shared" si="7"/>
        <v>10051207.729468599</v>
      </c>
      <c r="K62" s="264">
        <f t="shared" si="7"/>
        <v>10051207.729468599</v>
      </c>
      <c r="L62" s="264">
        <f t="shared" si="7"/>
        <v>10051207.729468599</v>
      </c>
      <c r="M62" s="264">
        <f t="shared" si="7"/>
        <v>10051207.729468599</v>
      </c>
      <c r="N62" s="264">
        <f t="shared" si="7"/>
        <v>10051207.729468599</v>
      </c>
      <c r="O62" s="264">
        <f t="shared" si="7"/>
        <v>10051207.729468599</v>
      </c>
      <c r="P62" s="264">
        <f t="shared" si="7"/>
        <v>10051207.729468599</v>
      </c>
      <c r="Q62" s="264">
        <f t="shared" si="7"/>
        <v>10051207.729468599</v>
      </c>
      <c r="R62" s="264">
        <f t="shared" si="7"/>
        <v>3805797.1014492754</v>
      </c>
    </row>
    <row r="63" spans="1:18" ht="16.5" customHeight="1" outlineLevel="1" x14ac:dyDescent="0.15">
      <c r="D63" s="239" t="s">
        <v>132</v>
      </c>
      <c r="E63" s="239" t="s">
        <v>88</v>
      </c>
      <c r="F63" s="255">
        <v>103500000</v>
      </c>
      <c r="G63" s="282">
        <f t="shared" ref="G63:R63" si="8">G25/$F$63</f>
        <v>4.1545893719806763E-2</v>
      </c>
      <c r="H63" s="282">
        <f t="shared" si="8"/>
        <v>5.7004830917874394E-2</v>
      </c>
      <c r="I63" s="282">
        <f t="shared" si="8"/>
        <v>6.7632850241545889E-2</v>
      </c>
      <c r="J63" s="282">
        <f t="shared" si="8"/>
        <v>9.9516908212560387E-2</v>
      </c>
      <c r="K63" s="282">
        <f t="shared" si="8"/>
        <v>9.9516908212560387E-2</v>
      </c>
      <c r="L63" s="282">
        <f t="shared" si="8"/>
        <v>9.9516908212560387E-2</v>
      </c>
      <c r="M63" s="282">
        <f t="shared" si="8"/>
        <v>9.9516908212560387E-2</v>
      </c>
      <c r="N63" s="282">
        <f t="shared" si="8"/>
        <v>9.9516908212560387E-2</v>
      </c>
      <c r="O63" s="282">
        <f t="shared" si="8"/>
        <v>9.9516908212560387E-2</v>
      </c>
      <c r="P63" s="282">
        <f t="shared" si="8"/>
        <v>9.9516908212560387E-2</v>
      </c>
      <c r="Q63" s="282">
        <f t="shared" si="8"/>
        <v>9.9516908212560387E-2</v>
      </c>
      <c r="R63" s="282">
        <f t="shared" si="8"/>
        <v>3.7681159420289857E-2</v>
      </c>
    </row>
    <row r="64" spans="1:18" ht="16.5" customHeight="1" outlineLevel="1" x14ac:dyDescent="0.15">
      <c r="D64" s="239" t="s">
        <v>133</v>
      </c>
      <c r="F64" s="280">
        <v>57700000</v>
      </c>
      <c r="G64" s="283">
        <v>16300000</v>
      </c>
      <c r="H64" s="283">
        <v>23000000</v>
      </c>
      <c r="I64" s="283">
        <f>18400000/3</f>
        <v>6133333.333333333</v>
      </c>
      <c r="J64" s="283">
        <f t="shared" ref="J64:K64" si="9">18400000/3</f>
        <v>6133333.333333333</v>
      </c>
      <c r="K64" s="283">
        <f t="shared" si="9"/>
        <v>6133333.333333333</v>
      </c>
      <c r="L64" s="283"/>
      <c r="M64" s="283"/>
      <c r="N64" s="283"/>
      <c r="O64" s="283"/>
      <c r="P64" s="283"/>
      <c r="Q64" s="283"/>
      <c r="R64" s="283"/>
    </row>
    <row r="65" spans="1:18" ht="16.5" customHeight="1" outlineLevel="1" x14ac:dyDescent="0.15">
      <c r="D65" s="238" t="s">
        <v>64</v>
      </c>
      <c r="F65" s="252">
        <f>SUM(G65:R65)</f>
        <v>326199999.99999994</v>
      </c>
      <c r="G65" s="258">
        <f>G61+G62+G64</f>
        <v>27455072.463768117</v>
      </c>
      <c r="H65" s="258">
        <f t="shared" ref="H65:R65" si="10">H61+H62+H64</f>
        <v>38305797.101449274</v>
      </c>
      <c r="I65" s="258">
        <f t="shared" si="10"/>
        <v>24292753.623188403</v>
      </c>
      <c r="J65" s="258">
        <f t="shared" si="10"/>
        <v>32853623.188405793</v>
      </c>
      <c r="K65" s="258">
        <f t="shared" si="10"/>
        <v>32853623.188405793</v>
      </c>
      <c r="L65" s="258">
        <f t="shared" si="10"/>
        <v>26720289.855072461</v>
      </c>
      <c r="M65" s="258">
        <f t="shared" si="10"/>
        <v>26720289.855072461</v>
      </c>
      <c r="N65" s="258">
        <f t="shared" si="10"/>
        <v>26720289.855072461</v>
      </c>
      <c r="O65" s="258">
        <f t="shared" si="10"/>
        <v>26720289.855072461</v>
      </c>
      <c r="P65" s="258">
        <f t="shared" si="10"/>
        <v>26720289.855072461</v>
      </c>
      <c r="Q65" s="258">
        <f t="shared" si="10"/>
        <v>26720289.855072461</v>
      </c>
      <c r="R65" s="258">
        <f t="shared" si="10"/>
        <v>10117391.304347826</v>
      </c>
    </row>
    <row r="66" spans="1:18" ht="16.5" customHeight="1" outlineLevel="1" x14ac:dyDescent="0.15">
      <c r="F66" s="280"/>
    </row>
    <row r="67" spans="1:18" ht="16.5" customHeight="1" outlineLevel="1" x14ac:dyDescent="0.15">
      <c r="A67" s="239" t="s">
        <v>104</v>
      </c>
      <c r="D67" s="238" t="s">
        <v>134</v>
      </c>
      <c r="F67" s="280"/>
    </row>
    <row r="68" spans="1:18" ht="16.5" customHeight="1" outlineLevel="1" x14ac:dyDescent="0.15">
      <c r="A68" s="239" t="s">
        <v>135</v>
      </c>
      <c r="D68" s="239" t="s">
        <v>136</v>
      </c>
      <c r="F68" s="284">
        <v>20000000</v>
      </c>
    </row>
    <row r="69" spans="1:18" ht="16.5" customHeight="1" outlineLevel="1" x14ac:dyDescent="0.15"/>
    <row r="70" spans="1:18" ht="16.5" customHeight="1" outlineLevel="1" x14ac:dyDescent="0.15">
      <c r="D70" s="238" t="s">
        <v>137</v>
      </c>
    </row>
    <row r="71" spans="1:18" ht="16.5" customHeight="1" outlineLevel="1" x14ac:dyDescent="0.15">
      <c r="A71" s="239" t="s">
        <v>138</v>
      </c>
      <c r="D71" s="244" t="s">
        <v>139</v>
      </c>
      <c r="E71" s="244"/>
      <c r="F71" s="285">
        <v>180383000</v>
      </c>
    </row>
    <row r="72" spans="1:18" ht="16.5" customHeight="1" outlineLevel="1" x14ac:dyDescent="0.15">
      <c r="A72" s="286" t="s">
        <v>140</v>
      </c>
      <c r="D72" s="239" t="s">
        <v>141</v>
      </c>
      <c r="F72" s="287">
        <v>0.26300000000000001</v>
      </c>
    </row>
    <row r="73" spans="1:18" ht="16.5" customHeight="1" outlineLevel="1" x14ac:dyDescent="0.15">
      <c r="F73" s="287"/>
    </row>
    <row r="74" spans="1:18" outlineLevel="1" x14ac:dyDescent="0.15">
      <c r="A74" s="239" t="s">
        <v>67</v>
      </c>
      <c r="D74" s="238" t="s">
        <v>142</v>
      </c>
    </row>
    <row r="75" spans="1:18" outlineLevel="1" x14ac:dyDescent="0.15">
      <c r="D75" s="244" t="s">
        <v>143</v>
      </c>
      <c r="E75" s="244"/>
      <c r="F75" s="288">
        <v>20</v>
      </c>
      <c r="H75" s="244" t="s">
        <v>144</v>
      </c>
      <c r="I75" s="288">
        <v>365</v>
      </c>
    </row>
    <row r="76" spans="1:18" outlineLevel="1" x14ac:dyDescent="0.15">
      <c r="D76" s="239" t="s">
        <v>145</v>
      </c>
      <c r="F76" s="248">
        <v>30</v>
      </c>
    </row>
    <row r="77" spans="1:18" outlineLevel="1" x14ac:dyDescent="0.15">
      <c r="D77" s="239" t="s">
        <v>146</v>
      </c>
      <c r="F77" s="248">
        <v>20</v>
      </c>
    </row>
    <row r="78" spans="1:18" outlineLevel="1" x14ac:dyDescent="0.15"/>
    <row r="79" spans="1:18" outlineLevel="1" x14ac:dyDescent="0.15">
      <c r="D79" s="239" t="s">
        <v>147</v>
      </c>
      <c r="F79" s="289">
        <v>0.1673</v>
      </c>
    </row>
    <row r="80" spans="1:18" outlineLevel="1" x14ac:dyDescent="0.15">
      <c r="D80" s="239" t="s">
        <v>148</v>
      </c>
      <c r="F80" s="289">
        <v>2.4E-2</v>
      </c>
    </row>
    <row r="81" spans="1:18" outlineLevel="1" x14ac:dyDescent="0.15">
      <c r="D81" s="238" t="s">
        <v>149</v>
      </c>
      <c r="F81" s="289">
        <f>F79-F80</f>
        <v>0.14330000000000001</v>
      </c>
    </row>
    <row r="82" spans="1:18" outlineLevel="1" x14ac:dyDescent="0.15">
      <c r="D82" s="238"/>
      <c r="F82" s="289"/>
    </row>
    <row r="83" spans="1:18" outlineLevel="1" x14ac:dyDescent="0.15">
      <c r="D83" s="238" t="s">
        <v>150</v>
      </c>
      <c r="F83" s="290">
        <v>0.55000000000000004</v>
      </c>
    </row>
    <row r="84" spans="1:18" outlineLevel="1" x14ac:dyDescent="0.15">
      <c r="D84" s="238"/>
      <c r="F84" s="289"/>
    </row>
    <row r="85" spans="1:18" outlineLevel="1" x14ac:dyDescent="0.15">
      <c r="D85" s="238" t="s">
        <v>151</v>
      </c>
      <c r="F85" s="291"/>
    </row>
    <row r="86" spans="1:18" ht="13.5" customHeight="1" x14ac:dyDescent="0.15"/>
    <row r="87" spans="1:18" s="237" customFormat="1" ht="18.75" customHeight="1" x14ac:dyDescent="0.2">
      <c r="A87" s="235" t="s">
        <v>152</v>
      </c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</row>
    <row r="88" spans="1:18" s="274" customFormat="1" outlineLevel="1" x14ac:dyDescent="0.15">
      <c r="A88" s="292"/>
      <c r="D88" s="293"/>
      <c r="E88" s="293"/>
    </row>
    <row r="89" spans="1:18" s="274" customFormat="1" outlineLevel="1" x14ac:dyDescent="0.15">
      <c r="A89" s="294" t="s">
        <v>153</v>
      </c>
      <c r="B89" s="295"/>
      <c r="C89" s="295"/>
      <c r="D89" s="296"/>
      <c r="E89" s="296"/>
      <c r="F89" s="295"/>
    </row>
    <row r="90" spans="1:18" s="274" customFormat="1" outlineLevel="1" x14ac:dyDescent="0.15">
      <c r="A90" s="292"/>
      <c r="D90" s="293"/>
      <c r="E90" s="293"/>
    </row>
    <row r="91" spans="1:18" s="274" customFormat="1" outlineLevel="1" x14ac:dyDescent="0.15">
      <c r="A91" s="292" t="s">
        <v>154</v>
      </c>
      <c r="D91" s="293"/>
      <c r="E91" s="293"/>
    </row>
    <row r="92" spans="1:18" s="274" customFormat="1" outlineLevel="1" x14ac:dyDescent="0.15">
      <c r="A92" s="292"/>
      <c r="B92" s="274" t="s">
        <v>155</v>
      </c>
      <c r="D92" s="293" t="s">
        <v>156</v>
      </c>
      <c r="E92" s="297">
        <f>IFERROR(AVERAGE(G92:R92),"na")</f>
        <v>58491666.666666664</v>
      </c>
      <c r="F92" s="298" t="s">
        <v>157</v>
      </c>
      <c r="G92" s="299">
        <f>$F$25</f>
        <v>103500000</v>
      </c>
      <c r="H92" s="300">
        <f>G94</f>
        <v>99200000</v>
      </c>
      <c r="I92" s="300">
        <f t="shared" ref="I92:P92" si="11">H94</f>
        <v>93300000</v>
      </c>
      <c r="J92" s="300">
        <f t="shared" si="11"/>
        <v>86300000</v>
      </c>
      <c r="K92" s="300">
        <f t="shared" si="11"/>
        <v>76000000</v>
      </c>
      <c r="L92" s="300">
        <f t="shared" si="11"/>
        <v>65700000</v>
      </c>
      <c r="M92" s="300">
        <f t="shared" si="11"/>
        <v>55400000</v>
      </c>
      <c r="N92" s="300">
        <f t="shared" si="11"/>
        <v>45100000</v>
      </c>
      <c r="O92" s="300">
        <f t="shared" si="11"/>
        <v>34800000</v>
      </c>
      <c r="P92" s="300">
        <f t="shared" si="11"/>
        <v>24500000</v>
      </c>
      <c r="Q92" s="300">
        <f t="shared" ref="Q92:R92" si="12">P94</f>
        <v>14200000</v>
      </c>
      <c r="R92" s="300">
        <f t="shared" si="12"/>
        <v>3900000</v>
      </c>
    </row>
    <row r="93" spans="1:18" s="274" customFormat="1" outlineLevel="1" x14ac:dyDescent="0.15">
      <c r="A93" s="292"/>
      <c r="B93" s="239" t="s">
        <v>158</v>
      </c>
      <c r="D93" s="293" t="s">
        <v>156</v>
      </c>
      <c r="E93" s="297">
        <f t="shared" ref="E93:E94" si="13">IFERROR(AVERAGE(G93:R93),"na")</f>
        <v>-8625000</v>
      </c>
      <c r="F93" s="301">
        <f>SUM(G93:R93)</f>
        <v>-103500000</v>
      </c>
      <c r="G93" s="255">
        <f t="shared" ref="G93:R93" si="14">-G25</f>
        <v>-4300000</v>
      </c>
      <c r="H93" s="255">
        <f t="shared" si="14"/>
        <v>-5900000</v>
      </c>
      <c r="I93" s="255">
        <f t="shared" si="14"/>
        <v>-7000000</v>
      </c>
      <c r="J93" s="255">
        <f t="shared" si="14"/>
        <v>-10300000</v>
      </c>
      <c r="K93" s="255">
        <f t="shared" si="14"/>
        <v>-10300000</v>
      </c>
      <c r="L93" s="255">
        <f t="shared" si="14"/>
        <v>-10300000</v>
      </c>
      <c r="M93" s="255">
        <f t="shared" si="14"/>
        <v>-10300000</v>
      </c>
      <c r="N93" s="255">
        <f t="shared" si="14"/>
        <v>-10300000</v>
      </c>
      <c r="O93" s="255">
        <f t="shared" si="14"/>
        <v>-10300000</v>
      </c>
      <c r="P93" s="255">
        <f t="shared" si="14"/>
        <v>-10300000</v>
      </c>
      <c r="Q93" s="255">
        <f t="shared" si="14"/>
        <v>-10300000</v>
      </c>
      <c r="R93" s="255">
        <f t="shared" si="14"/>
        <v>-3900000</v>
      </c>
    </row>
    <row r="94" spans="1:18" s="274" customFormat="1" outlineLevel="1" x14ac:dyDescent="0.15">
      <c r="A94" s="302"/>
      <c r="B94" s="244" t="s">
        <v>159</v>
      </c>
      <c r="C94" s="303"/>
      <c r="D94" s="304" t="s">
        <v>156</v>
      </c>
      <c r="E94" s="305">
        <f t="shared" si="13"/>
        <v>49866666.666666664</v>
      </c>
      <c r="F94" s="306" t="s">
        <v>157</v>
      </c>
      <c r="G94" s="307">
        <f>SUM(G92:G93)</f>
        <v>99200000</v>
      </c>
      <c r="H94" s="307">
        <f>SUM(H92:H93)</f>
        <v>93300000</v>
      </c>
      <c r="I94" s="307">
        <f t="shared" ref="I94:P94" si="15">SUM(I92:I93)</f>
        <v>86300000</v>
      </c>
      <c r="J94" s="307">
        <f t="shared" si="15"/>
        <v>76000000</v>
      </c>
      <c r="K94" s="307">
        <f t="shared" si="15"/>
        <v>65700000</v>
      </c>
      <c r="L94" s="307">
        <f t="shared" si="15"/>
        <v>55400000</v>
      </c>
      <c r="M94" s="307">
        <f t="shared" si="15"/>
        <v>45100000</v>
      </c>
      <c r="N94" s="307">
        <f t="shared" si="15"/>
        <v>34800000</v>
      </c>
      <c r="O94" s="307">
        <f t="shared" si="15"/>
        <v>24500000</v>
      </c>
      <c r="P94" s="307">
        <f t="shared" si="15"/>
        <v>14200000</v>
      </c>
      <c r="Q94" s="307">
        <f t="shared" ref="Q94" si="16">SUM(Q92:Q93)</f>
        <v>3900000</v>
      </c>
      <c r="R94" s="307">
        <f t="shared" ref="R94" si="17">SUM(R92:R93)</f>
        <v>0</v>
      </c>
    </row>
    <row r="95" spans="1:18" s="274" customFormat="1" outlineLevel="1" x14ac:dyDescent="0.15">
      <c r="A95" s="292"/>
      <c r="B95" s="239"/>
      <c r="D95" s="293"/>
      <c r="E95" s="293"/>
    </row>
    <row r="96" spans="1:18" s="274" customFormat="1" outlineLevel="1" x14ac:dyDescent="0.15">
      <c r="A96" s="292"/>
      <c r="B96" s="239" t="s">
        <v>103</v>
      </c>
      <c r="D96" s="293" t="s">
        <v>60</v>
      </c>
      <c r="E96" s="297">
        <f t="shared" ref="E96:E100" si="18">IFERROR(AVERAGE(G96:R96),"na")</f>
        <v>2</v>
      </c>
      <c r="F96" s="298" t="s">
        <v>157</v>
      </c>
      <c r="G96" s="308">
        <f>$E$36</f>
        <v>2</v>
      </c>
      <c r="H96" s="308">
        <f t="shared" ref="H96:R96" si="19">$E$36</f>
        <v>2</v>
      </c>
      <c r="I96" s="308">
        <f t="shared" si="19"/>
        <v>2</v>
      </c>
      <c r="J96" s="308">
        <f t="shared" si="19"/>
        <v>2</v>
      </c>
      <c r="K96" s="308">
        <f t="shared" si="19"/>
        <v>2</v>
      </c>
      <c r="L96" s="308">
        <f t="shared" si="19"/>
        <v>2</v>
      </c>
      <c r="M96" s="308">
        <f t="shared" si="19"/>
        <v>2</v>
      </c>
      <c r="N96" s="308">
        <f t="shared" si="19"/>
        <v>2</v>
      </c>
      <c r="O96" s="308">
        <f t="shared" si="19"/>
        <v>2</v>
      </c>
      <c r="P96" s="308">
        <f t="shared" si="19"/>
        <v>2</v>
      </c>
      <c r="Q96" s="308">
        <f t="shared" si="19"/>
        <v>2</v>
      </c>
      <c r="R96" s="308">
        <f t="shared" si="19"/>
        <v>2</v>
      </c>
    </row>
    <row r="97" spans="1:18" s="274" customFormat="1" outlineLevel="1" x14ac:dyDescent="0.15">
      <c r="A97" s="292"/>
      <c r="B97" s="239" t="s">
        <v>160</v>
      </c>
      <c r="D97" s="293" t="s">
        <v>156</v>
      </c>
      <c r="E97" s="297">
        <f t="shared" si="18"/>
        <v>17250000</v>
      </c>
      <c r="F97" s="301">
        <f>SUM(G97:R97)</f>
        <v>207000000</v>
      </c>
      <c r="G97" s="255">
        <f>-G96*G93</f>
        <v>8600000</v>
      </c>
      <c r="H97" s="255">
        <f t="shared" ref="H97:R97" si="20">-H96*H93</f>
        <v>11800000</v>
      </c>
      <c r="I97" s="255">
        <f t="shared" si="20"/>
        <v>14000000</v>
      </c>
      <c r="J97" s="255">
        <f t="shared" si="20"/>
        <v>20600000</v>
      </c>
      <c r="K97" s="255">
        <f t="shared" si="20"/>
        <v>20600000</v>
      </c>
      <c r="L97" s="255">
        <f t="shared" si="20"/>
        <v>20600000</v>
      </c>
      <c r="M97" s="255">
        <f t="shared" si="20"/>
        <v>20600000</v>
      </c>
      <c r="N97" s="255">
        <f t="shared" si="20"/>
        <v>20600000</v>
      </c>
      <c r="O97" s="255">
        <f t="shared" si="20"/>
        <v>20600000</v>
      </c>
      <c r="P97" s="255">
        <f t="shared" si="20"/>
        <v>20600000</v>
      </c>
      <c r="Q97" s="255">
        <f t="shared" si="20"/>
        <v>20600000</v>
      </c>
      <c r="R97" s="255">
        <f t="shared" si="20"/>
        <v>7800000</v>
      </c>
    </row>
    <row r="98" spans="1:18" s="274" customFormat="1" outlineLevel="1" x14ac:dyDescent="0.15">
      <c r="A98" s="302"/>
      <c r="B98" s="244" t="s">
        <v>161</v>
      </c>
      <c r="C98" s="303"/>
      <c r="D98" s="304" t="s">
        <v>156</v>
      </c>
      <c r="E98" s="305">
        <f t="shared" si="18"/>
        <v>25875000</v>
      </c>
      <c r="F98" s="309">
        <f>SUM(G98:R98)</f>
        <v>310500000</v>
      </c>
      <c r="G98" s="307">
        <f>G97-G93</f>
        <v>12900000</v>
      </c>
      <c r="H98" s="307">
        <f t="shared" ref="H98:R98" si="21">H97-H93</f>
        <v>17700000</v>
      </c>
      <c r="I98" s="307">
        <f t="shared" si="21"/>
        <v>21000000</v>
      </c>
      <c r="J98" s="307">
        <f t="shared" si="21"/>
        <v>30900000</v>
      </c>
      <c r="K98" s="307">
        <f t="shared" si="21"/>
        <v>30900000</v>
      </c>
      <c r="L98" s="307">
        <f t="shared" si="21"/>
        <v>30900000</v>
      </c>
      <c r="M98" s="307">
        <f t="shared" si="21"/>
        <v>30900000</v>
      </c>
      <c r="N98" s="307">
        <f t="shared" si="21"/>
        <v>30900000</v>
      </c>
      <c r="O98" s="307">
        <f t="shared" si="21"/>
        <v>30900000</v>
      </c>
      <c r="P98" s="307">
        <f t="shared" si="21"/>
        <v>30900000</v>
      </c>
      <c r="Q98" s="307">
        <f t="shared" si="21"/>
        <v>30900000</v>
      </c>
      <c r="R98" s="307">
        <f t="shared" si="21"/>
        <v>11700000</v>
      </c>
    </row>
    <row r="99" spans="1:18" s="274" customFormat="1" outlineLevel="1" x14ac:dyDescent="0.15">
      <c r="A99" s="292"/>
      <c r="D99" s="293"/>
      <c r="E99" s="293"/>
    </row>
    <row r="100" spans="1:18" s="274" customFormat="1" ht="14.25" customHeight="1" outlineLevel="1" x14ac:dyDescent="0.15">
      <c r="B100" s="274" t="s">
        <v>162</v>
      </c>
      <c r="D100" s="293" t="s">
        <v>156</v>
      </c>
      <c r="E100" s="297">
        <f t="shared" si="18"/>
        <v>8625000</v>
      </c>
      <c r="F100" s="301">
        <f>SUM(G100:R100)</f>
        <v>103500000</v>
      </c>
      <c r="G100" s="299">
        <f>-G93</f>
        <v>4300000</v>
      </c>
      <c r="H100" s="299">
        <f t="shared" ref="H100:R100" si="22">-H93</f>
        <v>5900000</v>
      </c>
      <c r="I100" s="299">
        <f t="shared" si="22"/>
        <v>7000000</v>
      </c>
      <c r="J100" s="299">
        <f t="shared" si="22"/>
        <v>10300000</v>
      </c>
      <c r="K100" s="299">
        <f t="shared" si="22"/>
        <v>10300000</v>
      </c>
      <c r="L100" s="299">
        <f t="shared" si="22"/>
        <v>10300000</v>
      </c>
      <c r="M100" s="299">
        <f t="shared" si="22"/>
        <v>10300000</v>
      </c>
      <c r="N100" s="299">
        <f t="shared" si="22"/>
        <v>10300000</v>
      </c>
      <c r="O100" s="299">
        <f t="shared" si="22"/>
        <v>10300000</v>
      </c>
      <c r="P100" s="299">
        <f t="shared" si="22"/>
        <v>10300000</v>
      </c>
      <c r="Q100" s="299">
        <f t="shared" si="22"/>
        <v>10300000</v>
      </c>
      <c r="R100" s="299">
        <f t="shared" si="22"/>
        <v>3900000</v>
      </c>
    </row>
    <row r="101" spans="1:18" s="310" customFormat="1" outlineLevel="1" x14ac:dyDescent="0.15">
      <c r="D101" s="311"/>
      <c r="E101" s="311"/>
    </row>
    <row r="102" spans="1:18" s="274" customFormat="1" outlineLevel="1" x14ac:dyDescent="0.15">
      <c r="B102" s="274" t="s">
        <v>163</v>
      </c>
      <c r="D102" s="293" t="s">
        <v>91</v>
      </c>
      <c r="E102" s="312">
        <f>IFERROR(SUMPRODUCT(G102:R102,$G$100:$R$100)/$F$100,"na")</f>
        <v>0.72131400966183579</v>
      </c>
      <c r="F102" s="298" t="s">
        <v>157</v>
      </c>
      <c r="G102" s="313">
        <f t="shared" ref="G102:R102" si="23">G26</f>
        <v>0.78</v>
      </c>
      <c r="H102" s="313">
        <f t="shared" si="23"/>
        <v>0.74</v>
      </c>
      <c r="I102" s="313">
        <f t="shared" si="23"/>
        <v>0.79</v>
      </c>
      <c r="J102" s="313">
        <f t="shared" si="23"/>
        <v>0.87</v>
      </c>
      <c r="K102" s="313">
        <f t="shared" si="23"/>
        <v>0.75</v>
      </c>
      <c r="L102" s="313">
        <f t="shared" si="23"/>
        <v>0.73</v>
      </c>
      <c r="M102" s="313">
        <f t="shared" si="23"/>
        <v>0.71</v>
      </c>
      <c r="N102" s="313">
        <f t="shared" si="23"/>
        <v>0.71</v>
      </c>
      <c r="O102" s="313">
        <f t="shared" si="23"/>
        <v>0.75</v>
      </c>
      <c r="P102" s="313">
        <f t="shared" si="23"/>
        <v>0.68</v>
      </c>
      <c r="Q102" s="313">
        <f t="shared" si="23"/>
        <v>0.57999999999999996</v>
      </c>
      <c r="R102" s="313">
        <f t="shared" si="23"/>
        <v>0.48</v>
      </c>
    </row>
    <row r="103" spans="1:18" s="310" customFormat="1" outlineLevel="1" x14ac:dyDescent="0.15">
      <c r="D103" s="311"/>
      <c r="E103" s="311"/>
    </row>
    <row r="104" spans="1:18" s="310" customFormat="1" outlineLevel="1" x14ac:dyDescent="0.15">
      <c r="B104" s="274" t="s">
        <v>164</v>
      </c>
      <c r="D104" s="311" t="s">
        <v>165</v>
      </c>
      <c r="E104" s="297">
        <f t="shared" ref="E104" si="24">IFERROR(AVERAGE(G104:R104),"na")</f>
        <v>200020.51131895752</v>
      </c>
      <c r="F104" s="301">
        <f>SUM(G104:R104)</f>
        <v>2400246.1358274901</v>
      </c>
      <c r="G104" s="314">
        <f>(G100*G102)*$F$10</f>
        <v>107833.60399117824</v>
      </c>
      <c r="H104" s="314">
        <f t="shared" ref="H104:R104" si="25">(H100*H102)*$F$10</f>
        <v>140370.15951862975</v>
      </c>
      <c r="I104" s="314">
        <f t="shared" si="25"/>
        <v>177793.62852451272</v>
      </c>
      <c r="J104" s="314">
        <f t="shared" si="25"/>
        <v>288102.8400014753</v>
      </c>
      <c r="K104" s="314">
        <f t="shared" si="25"/>
        <v>248364.51724265114</v>
      </c>
      <c r="L104" s="314">
        <f t="shared" si="25"/>
        <v>241741.46344951377</v>
      </c>
      <c r="M104" s="314">
        <f t="shared" si="25"/>
        <v>235118.4096563764</v>
      </c>
      <c r="N104" s="314">
        <f t="shared" si="25"/>
        <v>235118.4096563764</v>
      </c>
      <c r="O104" s="314">
        <f t="shared" si="25"/>
        <v>248364.51724265114</v>
      </c>
      <c r="P104" s="314">
        <f t="shared" si="25"/>
        <v>225183.82896667041</v>
      </c>
      <c r="Q104" s="314">
        <f t="shared" si="25"/>
        <v>192068.56000098353</v>
      </c>
      <c r="R104" s="314">
        <f t="shared" si="25"/>
        <v>60186.197576471575</v>
      </c>
    </row>
    <row r="105" spans="1:18" s="310" customFormat="1" outlineLevel="1" x14ac:dyDescent="0.15">
      <c r="D105" s="311"/>
      <c r="E105" s="311"/>
      <c r="F105" s="301"/>
    </row>
    <row r="106" spans="1:18" s="310" customFormat="1" outlineLevel="1" x14ac:dyDescent="0.15">
      <c r="D106" s="311"/>
      <c r="E106" s="311"/>
    </row>
    <row r="107" spans="1:18" s="310" customFormat="1" outlineLevel="1" x14ac:dyDescent="0.15">
      <c r="A107" s="315" t="s">
        <v>166</v>
      </c>
      <c r="B107" s="316"/>
      <c r="C107" s="316"/>
      <c r="D107" s="317"/>
      <c r="E107" s="317"/>
      <c r="F107" s="316"/>
    </row>
    <row r="108" spans="1:18" s="310" customFormat="1" outlineLevel="1" x14ac:dyDescent="0.15">
      <c r="D108" s="311"/>
      <c r="E108" s="297"/>
      <c r="F108" s="301"/>
    </row>
    <row r="109" spans="1:18" s="310" customFormat="1" outlineLevel="1" x14ac:dyDescent="0.15">
      <c r="A109" s="310" t="s">
        <v>167</v>
      </c>
      <c r="D109" s="311" t="s">
        <v>156</v>
      </c>
      <c r="E109" s="297">
        <f t="shared" ref="E109" si="26">IFERROR(AVERAGE(G109:R109),"na")</f>
        <v>8625000</v>
      </c>
      <c r="F109" s="301">
        <f>SUM(G109:R109)</f>
        <v>103500000</v>
      </c>
      <c r="G109" s="310">
        <f>G100</f>
        <v>4300000</v>
      </c>
      <c r="H109" s="310">
        <f t="shared" ref="H109:R109" si="27">H100</f>
        <v>5900000</v>
      </c>
      <c r="I109" s="310">
        <f t="shared" si="27"/>
        <v>7000000</v>
      </c>
      <c r="J109" s="310">
        <f t="shared" si="27"/>
        <v>10300000</v>
      </c>
      <c r="K109" s="310">
        <f t="shared" si="27"/>
        <v>10300000</v>
      </c>
      <c r="L109" s="310">
        <f t="shared" si="27"/>
        <v>10300000</v>
      </c>
      <c r="M109" s="310">
        <f t="shared" si="27"/>
        <v>10300000</v>
      </c>
      <c r="N109" s="310">
        <f t="shared" si="27"/>
        <v>10300000</v>
      </c>
      <c r="O109" s="310">
        <f t="shared" si="27"/>
        <v>10300000</v>
      </c>
      <c r="P109" s="310">
        <f t="shared" si="27"/>
        <v>10300000</v>
      </c>
      <c r="Q109" s="310">
        <f t="shared" si="27"/>
        <v>10300000</v>
      </c>
      <c r="R109" s="310">
        <f t="shared" si="27"/>
        <v>3900000</v>
      </c>
    </row>
    <row r="110" spans="1:18" s="310" customFormat="1" outlineLevel="1" x14ac:dyDescent="0.15">
      <c r="D110" s="311"/>
      <c r="E110" s="297"/>
      <c r="F110" s="301"/>
    </row>
    <row r="111" spans="1:18" s="310" customFormat="1" outlineLevel="1" x14ac:dyDescent="0.15">
      <c r="A111" s="310" t="s">
        <v>92</v>
      </c>
      <c r="D111" s="311"/>
      <c r="E111" s="311"/>
    </row>
    <row r="112" spans="1:18" s="310" customFormat="1" outlineLevel="1" x14ac:dyDescent="0.15">
      <c r="B112" s="310" t="s">
        <v>81</v>
      </c>
      <c r="D112" s="311" t="s">
        <v>93</v>
      </c>
      <c r="E112" s="318">
        <f t="shared" ref="E112" si="28">IFERROR(AVERAGE(G112:R112),"na")</f>
        <v>0.87949999999999984</v>
      </c>
      <c r="F112" s="319">
        <f>IFERROR(F115/F104,"na")</f>
        <v>0.87779992231033022</v>
      </c>
      <c r="G112" s="320">
        <f>G27</f>
        <v>0.90800000000000003</v>
      </c>
      <c r="H112" s="320">
        <f t="shared" ref="H112:Q112" si="29">H27</f>
        <v>0.91100000000000003</v>
      </c>
      <c r="I112" s="320">
        <f t="shared" si="29"/>
        <v>0.89500000000000002</v>
      </c>
      <c r="J112" s="320">
        <f t="shared" si="29"/>
        <v>0.88800000000000001</v>
      </c>
      <c r="K112" s="320">
        <f t="shared" si="29"/>
        <v>0.88400000000000001</v>
      </c>
      <c r="L112" s="320">
        <f t="shared" si="29"/>
        <v>0.88700000000000001</v>
      </c>
      <c r="M112" s="320">
        <f t="shared" si="29"/>
        <v>0.86099999999999999</v>
      </c>
      <c r="N112" s="320">
        <f t="shared" si="29"/>
        <v>0.85399999999999998</v>
      </c>
      <c r="O112" s="320">
        <f t="shared" si="29"/>
        <v>0.86099999999999999</v>
      </c>
      <c r="P112" s="320">
        <f t="shared" si="29"/>
        <v>0.86799999999999999</v>
      </c>
      <c r="Q112" s="320">
        <f t="shared" si="29"/>
        <v>0.873</v>
      </c>
      <c r="R112" s="320">
        <f t="shared" ref="R112" si="30">R27</f>
        <v>0.86399999999999999</v>
      </c>
    </row>
    <row r="113" spans="1:18" s="310" customFormat="1" outlineLevel="1" x14ac:dyDescent="0.15">
      <c r="D113" s="311"/>
      <c r="E113" s="297"/>
      <c r="G113" s="299"/>
      <c r="H113" s="299"/>
      <c r="I113" s="299"/>
      <c r="J113" s="299"/>
      <c r="K113" s="299"/>
      <c r="L113" s="299"/>
      <c r="M113" s="299"/>
      <c r="N113" s="299"/>
      <c r="O113" s="299"/>
      <c r="P113" s="299"/>
      <c r="Q113" s="299"/>
      <c r="R113" s="299"/>
    </row>
    <row r="114" spans="1:18" s="310" customFormat="1" outlineLevel="1" x14ac:dyDescent="0.15">
      <c r="A114" s="310" t="s">
        <v>168</v>
      </c>
      <c r="E114" s="311"/>
    </row>
    <row r="115" spans="1:18" s="321" customFormat="1" outlineLevel="1" x14ac:dyDescent="0.15">
      <c r="B115" s="310" t="s">
        <v>81</v>
      </c>
      <c r="C115" s="310"/>
      <c r="D115" s="311" t="s">
        <v>165</v>
      </c>
      <c r="E115" s="297">
        <f t="shared" ref="E115" si="31">IFERROR(AVERAGE(G115:R115),"na")</f>
        <v>175577.98929625342</v>
      </c>
      <c r="F115" s="301">
        <f>SUM(G115:R115)</f>
        <v>2106935.8715550411</v>
      </c>
      <c r="G115" s="310">
        <f>G104*G112</f>
        <v>97912.912423989852</v>
      </c>
      <c r="H115" s="310">
        <f t="shared" ref="H115:R115" si="32">H104*H112</f>
        <v>127877.21532147171</v>
      </c>
      <c r="I115" s="310">
        <f t="shared" si="32"/>
        <v>159125.29752943889</v>
      </c>
      <c r="J115" s="310">
        <f t="shared" si="32"/>
        <v>255835.32192131007</v>
      </c>
      <c r="K115" s="310">
        <f t="shared" si="32"/>
        <v>219554.2332425036</v>
      </c>
      <c r="L115" s="310">
        <f t="shared" si="32"/>
        <v>214424.67807971872</v>
      </c>
      <c r="M115" s="310">
        <f t="shared" si="32"/>
        <v>202436.95071414008</v>
      </c>
      <c r="N115" s="310">
        <f t="shared" si="32"/>
        <v>200791.12184654546</v>
      </c>
      <c r="O115" s="310">
        <f t="shared" si="32"/>
        <v>213841.84934592262</v>
      </c>
      <c r="P115" s="310">
        <f t="shared" si="32"/>
        <v>195459.5635430699</v>
      </c>
      <c r="Q115" s="310">
        <f t="shared" si="32"/>
        <v>167675.85288085861</v>
      </c>
      <c r="R115" s="310">
        <f t="shared" si="32"/>
        <v>52000.874706071438</v>
      </c>
    </row>
    <row r="116" spans="1:18" s="321" customFormat="1" outlineLevel="1" x14ac:dyDescent="0.15">
      <c r="E116" s="322"/>
    </row>
    <row r="117" spans="1:18" s="321" customFormat="1" outlineLevel="1" x14ac:dyDescent="0.15">
      <c r="A117" s="310" t="s">
        <v>114</v>
      </c>
      <c r="E117" s="322"/>
    </row>
    <row r="118" spans="1:18" s="310" customFormat="1" outlineLevel="1" x14ac:dyDescent="0.15">
      <c r="B118" s="310" t="s">
        <v>81</v>
      </c>
      <c r="D118" s="311" t="s">
        <v>165</v>
      </c>
      <c r="E118" s="323">
        <f t="shared" ref="E118" si="33">IFERROR(AVERAGE(G118:R118),"na")</f>
        <v>0.99949999999999994</v>
      </c>
      <c r="F118" s="324" t="s">
        <v>157</v>
      </c>
      <c r="G118" s="325">
        <f>$E$48</f>
        <v>0.99950000000000006</v>
      </c>
      <c r="H118" s="325">
        <f t="shared" ref="H118:R118" si="34">$E$48</f>
        <v>0.99950000000000006</v>
      </c>
      <c r="I118" s="325">
        <f t="shared" si="34"/>
        <v>0.99950000000000006</v>
      </c>
      <c r="J118" s="325">
        <f t="shared" si="34"/>
        <v>0.99950000000000006</v>
      </c>
      <c r="K118" s="325">
        <f t="shared" si="34"/>
        <v>0.99950000000000006</v>
      </c>
      <c r="L118" s="325">
        <f t="shared" si="34"/>
        <v>0.99950000000000006</v>
      </c>
      <c r="M118" s="325">
        <f t="shared" si="34"/>
        <v>0.99950000000000006</v>
      </c>
      <c r="N118" s="325">
        <f t="shared" si="34"/>
        <v>0.99950000000000006</v>
      </c>
      <c r="O118" s="325">
        <f t="shared" si="34"/>
        <v>0.99950000000000006</v>
      </c>
      <c r="P118" s="325">
        <f t="shared" si="34"/>
        <v>0.99950000000000006</v>
      </c>
      <c r="Q118" s="325">
        <f t="shared" si="34"/>
        <v>0.99950000000000006</v>
      </c>
      <c r="R118" s="325">
        <f t="shared" si="34"/>
        <v>0.99950000000000006</v>
      </c>
    </row>
    <row r="119" spans="1:18" s="310" customFormat="1" outlineLevel="1" x14ac:dyDescent="0.15">
      <c r="D119" s="311"/>
      <c r="E119" s="311"/>
    </row>
    <row r="120" spans="1:18" s="310" customFormat="1" outlineLevel="1" x14ac:dyDescent="0.15">
      <c r="A120" s="310" t="s">
        <v>169</v>
      </c>
      <c r="D120" s="311"/>
      <c r="E120" s="311"/>
    </row>
    <row r="121" spans="1:18" s="310" customFormat="1" outlineLevel="1" x14ac:dyDescent="0.15">
      <c r="B121" s="310" t="s">
        <v>81</v>
      </c>
      <c r="D121" s="311" t="s">
        <v>165</v>
      </c>
      <c r="E121" s="297">
        <f t="shared" ref="E121" si="35">IFERROR(AVERAGE(G121:R121),"na")</f>
        <v>175490.20030160528</v>
      </c>
      <c r="F121" s="301">
        <f>SUM(G121:R121)</f>
        <v>2105882.4036192633</v>
      </c>
      <c r="G121" s="310">
        <f>G115*G118</f>
        <v>97863.95596777786</v>
      </c>
      <c r="H121" s="310">
        <f t="shared" ref="H121:R121" si="36">H115*H118</f>
        <v>127813.27671381098</v>
      </c>
      <c r="I121" s="310">
        <f t="shared" si="36"/>
        <v>159045.73488067416</v>
      </c>
      <c r="J121" s="310">
        <f t="shared" si="36"/>
        <v>255707.40426034943</v>
      </c>
      <c r="K121" s="310">
        <f t="shared" si="36"/>
        <v>219444.45612588237</v>
      </c>
      <c r="L121" s="310">
        <f t="shared" si="36"/>
        <v>214317.46574067889</v>
      </c>
      <c r="M121" s="310">
        <f t="shared" si="36"/>
        <v>202335.73223878304</v>
      </c>
      <c r="N121" s="310">
        <f t="shared" si="36"/>
        <v>200690.72628562219</v>
      </c>
      <c r="O121" s="310">
        <f t="shared" si="36"/>
        <v>213734.92842124967</v>
      </c>
      <c r="P121" s="310">
        <f t="shared" si="36"/>
        <v>195361.83376129839</v>
      </c>
      <c r="Q121" s="310">
        <f t="shared" si="36"/>
        <v>167592.01495441821</v>
      </c>
      <c r="R121" s="310">
        <f t="shared" si="36"/>
        <v>51974.874268718406</v>
      </c>
    </row>
    <row r="122" spans="1:18" s="310" customFormat="1" outlineLevel="1" x14ac:dyDescent="0.15">
      <c r="D122" s="311"/>
      <c r="E122" s="311"/>
    </row>
    <row r="123" spans="1:18" s="310" customFormat="1" x14ac:dyDescent="0.15">
      <c r="D123" s="311"/>
      <c r="E123" s="311"/>
    </row>
    <row r="124" spans="1:18" s="237" customFormat="1" ht="18.75" customHeight="1" x14ac:dyDescent="0.2">
      <c r="A124" s="235" t="s">
        <v>4</v>
      </c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</row>
    <row r="125" spans="1:18" s="326" customFormat="1" ht="16.5" customHeight="1" outlineLevel="1" x14ac:dyDescent="0.15">
      <c r="D125" s="327"/>
      <c r="E125" s="327"/>
      <c r="F125" s="327"/>
      <c r="G125" s="328"/>
      <c r="H125" s="328"/>
      <c r="I125" s="328"/>
      <c r="J125" s="328"/>
      <c r="K125" s="328"/>
      <c r="L125" s="328"/>
      <c r="M125" s="328"/>
      <c r="N125" s="328"/>
      <c r="O125" s="328"/>
      <c r="P125" s="328"/>
      <c r="Q125" s="328"/>
      <c r="R125" s="328"/>
    </row>
    <row r="126" spans="1:18" s="274" customFormat="1" outlineLevel="1" x14ac:dyDescent="0.15">
      <c r="A126" s="292" t="s">
        <v>78</v>
      </c>
      <c r="D126" s="293"/>
      <c r="E126" s="293"/>
      <c r="F126" s="293"/>
    </row>
    <row r="127" spans="1:18" s="274" customFormat="1" outlineLevel="1" x14ac:dyDescent="0.15">
      <c r="B127" s="274" t="s">
        <v>81</v>
      </c>
      <c r="D127" s="293" t="s">
        <v>125</v>
      </c>
      <c r="E127" s="297">
        <f t="shared" ref="E127" si="37">IFERROR(AVERAGE(G127:R127),"na")</f>
        <v>2100</v>
      </c>
      <c r="F127" s="329" t="s">
        <v>157</v>
      </c>
      <c r="G127" s="330">
        <f>G22</f>
        <v>2100</v>
      </c>
      <c r="H127" s="330">
        <f t="shared" ref="H127:R127" si="38">H22</f>
        <v>2100</v>
      </c>
      <c r="I127" s="330">
        <f t="shared" si="38"/>
        <v>2100</v>
      </c>
      <c r="J127" s="330">
        <f t="shared" si="38"/>
        <v>2100</v>
      </c>
      <c r="K127" s="330">
        <f t="shared" si="38"/>
        <v>2100</v>
      </c>
      <c r="L127" s="330">
        <f t="shared" si="38"/>
        <v>2100</v>
      </c>
      <c r="M127" s="330">
        <f t="shared" si="38"/>
        <v>2100</v>
      </c>
      <c r="N127" s="330">
        <f t="shared" si="38"/>
        <v>2100</v>
      </c>
      <c r="O127" s="330">
        <f t="shared" si="38"/>
        <v>2100</v>
      </c>
      <c r="P127" s="330">
        <f t="shared" si="38"/>
        <v>2100</v>
      </c>
      <c r="Q127" s="330">
        <f t="shared" si="38"/>
        <v>2100</v>
      </c>
      <c r="R127" s="330">
        <f t="shared" si="38"/>
        <v>2100</v>
      </c>
    </row>
    <row r="128" spans="1:18" s="274" customFormat="1" outlineLevel="1" x14ac:dyDescent="0.15">
      <c r="D128" s="293"/>
      <c r="E128" s="293"/>
      <c r="F128" s="293"/>
    </row>
    <row r="129" spans="1:18" s="310" customFormat="1" outlineLevel="1" x14ac:dyDescent="0.15">
      <c r="A129" s="292" t="s">
        <v>169</v>
      </c>
      <c r="E129" s="311"/>
      <c r="F129" s="311"/>
    </row>
    <row r="130" spans="1:18" s="321" customFormat="1" outlineLevel="1" x14ac:dyDescent="0.15">
      <c r="B130" s="274" t="s">
        <v>81</v>
      </c>
      <c r="D130" s="311" t="s">
        <v>165</v>
      </c>
      <c r="E130" s="297">
        <f t="shared" ref="E130" si="39">IFERROR(AVERAGE(G130:R130),"na")</f>
        <v>175490.20030160528</v>
      </c>
      <c r="F130" s="297">
        <f>SUM(G130:R130)</f>
        <v>2105882.4036192633</v>
      </c>
      <c r="G130" s="330">
        <f t="shared" ref="G130:R130" si="40">G121</f>
        <v>97863.95596777786</v>
      </c>
      <c r="H130" s="330">
        <f t="shared" si="40"/>
        <v>127813.27671381098</v>
      </c>
      <c r="I130" s="330">
        <f t="shared" si="40"/>
        <v>159045.73488067416</v>
      </c>
      <c r="J130" s="330">
        <f t="shared" si="40"/>
        <v>255707.40426034943</v>
      </c>
      <c r="K130" s="330">
        <f t="shared" si="40"/>
        <v>219444.45612588237</v>
      </c>
      <c r="L130" s="330">
        <f t="shared" si="40"/>
        <v>214317.46574067889</v>
      </c>
      <c r="M130" s="330">
        <f t="shared" si="40"/>
        <v>202335.73223878304</v>
      </c>
      <c r="N130" s="330">
        <f t="shared" si="40"/>
        <v>200690.72628562219</v>
      </c>
      <c r="O130" s="330">
        <f t="shared" si="40"/>
        <v>213734.92842124967</v>
      </c>
      <c r="P130" s="330">
        <f t="shared" si="40"/>
        <v>195361.83376129839</v>
      </c>
      <c r="Q130" s="330">
        <f t="shared" si="40"/>
        <v>167592.01495441821</v>
      </c>
      <c r="R130" s="330">
        <f t="shared" si="40"/>
        <v>51974.874268718406</v>
      </c>
    </row>
    <row r="131" spans="1:18" s="274" customFormat="1" outlineLevel="1" x14ac:dyDescent="0.15">
      <c r="D131" s="293"/>
      <c r="E131" s="297"/>
      <c r="F131" s="32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299"/>
      <c r="R131" s="299"/>
    </row>
    <row r="132" spans="1:18" s="274" customFormat="1" outlineLevel="1" x14ac:dyDescent="0.15">
      <c r="A132" s="292" t="s">
        <v>170</v>
      </c>
      <c r="D132" s="293"/>
      <c r="E132" s="297"/>
      <c r="F132" s="329"/>
      <c r="G132" s="299"/>
      <c r="H132" s="299"/>
      <c r="I132" s="299"/>
      <c r="J132" s="299"/>
      <c r="K132" s="299"/>
      <c r="L132" s="299"/>
      <c r="M132" s="299"/>
      <c r="N132" s="299"/>
      <c r="O132" s="299"/>
      <c r="P132" s="299"/>
      <c r="Q132" s="299"/>
      <c r="R132" s="299"/>
    </row>
    <row r="133" spans="1:18" s="274" customFormat="1" outlineLevel="1" x14ac:dyDescent="0.15">
      <c r="B133" s="274" t="s">
        <v>167</v>
      </c>
      <c r="D133" s="293" t="s">
        <v>156</v>
      </c>
      <c r="E133" s="297">
        <f t="shared" ref="E133" si="41">IFERROR(AVERAGE(G133:R133),"na")</f>
        <v>8625000</v>
      </c>
      <c r="F133" s="297">
        <f>SUM(G133:R133)</f>
        <v>103500000</v>
      </c>
      <c r="G133" s="330">
        <f t="shared" ref="G133:R133" si="42">G109</f>
        <v>4300000</v>
      </c>
      <c r="H133" s="330">
        <f t="shared" si="42"/>
        <v>5900000</v>
      </c>
      <c r="I133" s="330">
        <f t="shared" si="42"/>
        <v>7000000</v>
      </c>
      <c r="J133" s="330">
        <f t="shared" si="42"/>
        <v>10300000</v>
      </c>
      <c r="K133" s="330">
        <f t="shared" si="42"/>
        <v>10300000</v>
      </c>
      <c r="L133" s="330">
        <f t="shared" si="42"/>
        <v>10300000</v>
      </c>
      <c r="M133" s="330">
        <f t="shared" si="42"/>
        <v>10300000</v>
      </c>
      <c r="N133" s="330">
        <f t="shared" si="42"/>
        <v>10300000</v>
      </c>
      <c r="O133" s="330">
        <f t="shared" si="42"/>
        <v>10300000</v>
      </c>
      <c r="P133" s="330">
        <f t="shared" si="42"/>
        <v>10300000</v>
      </c>
      <c r="Q133" s="330">
        <f t="shared" si="42"/>
        <v>10300000</v>
      </c>
      <c r="R133" s="330">
        <f t="shared" si="42"/>
        <v>3900000</v>
      </c>
    </row>
    <row r="134" spans="1:18" s="321" customFormat="1" outlineLevel="1" x14ac:dyDescent="0.15">
      <c r="E134" s="322"/>
      <c r="F134" s="297"/>
    </row>
    <row r="135" spans="1:18" s="321" customFormat="1" outlineLevel="1" x14ac:dyDescent="0.15">
      <c r="E135" s="322"/>
      <c r="F135" s="322"/>
    </row>
    <row r="136" spans="1:18" s="310" customFormat="1" outlineLevel="1" x14ac:dyDescent="0.15">
      <c r="A136" s="294" t="s">
        <v>171</v>
      </c>
      <c r="B136" s="295"/>
      <c r="C136" s="295"/>
      <c r="D136" s="296"/>
      <c r="E136" s="296"/>
      <c r="F136" s="296"/>
    </row>
    <row r="137" spans="1:18" s="310" customFormat="1" outlineLevel="1" x14ac:dyDescent="0.15">
      <c r="A137" s="321"/>
      <c r="D137" s="311"/>
      <c r="E137" s="311"/>
      <c r="F137" s="311"/>
    </row>
    <row r="138" spans="1:18" s="310" customFormat="1" outlineLevel="1" x14ac:dyDescent="0.15">
      <c r="A138" s="310" t="s">
        <v>172</v>
      </c>
      <c r="D138" s="311"/>
      <c r="E138" s="311"/>
      <c r="F138" s="311"/>
    </row>
    <row r="139" spans="1:18" s="310" customFormat="1" outlineLevel="1" x14ac:dyDescent="0.15">
      <c r="B139" s="310" t="s">
        <v>81</v>
      </c>
      <c r="D139" s="311" t="s">
        <v>173</v>
      </c>
      <c r="E139" s="297">
        <f t="shared" ref="E139:E140" si="43">IFERROR(AVERAGE(G139:R139),"na")</f>
        <v>368529420.63337111</v>
      </c>
      <c r="F139" s="297">
        <f>SUM(G139:R139)</f>
        <v>4422353047.6004534</v>
      </c>
      <c r="G139" s="310">
        <f>G130*G127</f>
        <v>205514307.53233349</v>
      </c>
      <c r="H139" s="310">
        <f t="shared" ref="H139:R139" si="44">H130*H127</f>
        <v>268407881.09900305</v>
      </c>
      <c r="I139" s="310">
        <f t="shared" si="44"/>
        <v>333996043.24941576</v>
      </c>
      <c r="J139" s="310">
        <f t="shared" si="44"/>
        <v>536985548.94673383</v>
      </c>
      <c r="K139" s="310">
        <f t="shared" si="44"/>
        <v>460833357.86435294</v>
      </c>
      <c r="L139" s="310">
        <f t="shared" si="44"/>
        <v>450066678.05542564</v>
      </c>
      <c r="M139" s="310">
        <f t="shared" si="44"/>
        <v>424905037.70144439</v>
      </c>
      <c r="N139" s="310">
        <f t="shared" si="44"/>
        <v>421450525.19980663</v>
      </c>
      <c r="O139" s="310">
        <f t="shared" si="44"/>
        <v>448843349.68462431</v>
      </c>
      <c r="P139" s="310">
        <f t="shared" si="44"/>
        <v>410259850.89872664</v>
      </c>
      <c r="Q139" s="310">
        <f t="shared" si="44"/>
        <v>351943231.40427822</v>
      </c>
      <c r="R139" s="310">
        <f t="shared" si="44"/>
        <v>109147235.96430865</v>
      </c>
    </row>
    <row r="140" spans="1:18" s="310" customFormat="1" outlineLevel="1" x14ac:dyDescent="0.15">
      <c r="A140" s="331" t="s">
        <v>174</v>
      </c>
      <c r="B140" s="332"/>
      <c r="C140" s="332"/>
      <c r="D140" s="333"/>
      <c r="E140" s="334">
        <f t="shared" si="43"/>
        <v>368529420.63337111</v>
      </c>
      <c r="F140" s="334">
        <f>SUM(G140:R140)</f>
        <v>4422353047.6004534</v>
      </c>
      <c r="G140" s="331">
        <f t="shared" ref="G140:R140" si="45">SUM(G139:G139)</f>
        <v>205514307.53233349</v>
      </c>
      <c r="H140" s="331">
        <f t="shared" si="45"/>
        <v>268407881.09900305</v>
      </c>
      <c r="I140" s="331">
        <f t="shared" si="45"/>
        <v>333996043.24941576</v>
      </c>
      <c r="J140" s="331">
        <f t="shared" si="45"/>
        <v>536985548.94673383</v>
      </c>
      <c r="K140" s="331">
        <f t="shared" si="45"/>
        <v>460833357.86435294</v>
      </c>
      <c r="L140" s="331">
        <f t="shared" si="45"/>
        <v>450066678.05542564</v>
      </c>
      <c r="M140" s="331">
        <f t="shared" si="45"/>
        <v>424905037.70144439</v>
      </c>
      <c r="N140" s="331">
        <f t="shared" si="45"/>
        <v>421450525.19980663</v>
      </c>
      <c r="O140" s="331">
        <f t="shared" si="45"/>
        <v>448843349.68462431</v>
      </c>
      <c r="P140" s="331">
        <f t="shared" si="45"/>
        <v>410259850.89872664</v>
      </c>
      <c r="Q140" s="331">
        <f t="shared" si="45"/>
        <v>351943231.40427822</v>
      </c>
      <c r="R140" s="331">
        <f t="shared" si="45"/>
        <v>109147235.96430865</v>
      </c>
    </row>
    <row r="141" spans="1:18" s="310" customFormat="1" outlineLevel="1" x14ac:dyDescent="0.15">
      <c r="D141" s="311"/>
      <c r="E141" s="311"/>
      <c r="F141" s="311"/>
    </row>
    <row r="142" spans="1:18" s="310" customFormat="1" outlineLevel="1" x14ac:dyDescent="0.15">
      <c r="A142" s="310" t="s">
        <v>109</v>
      </c>
      <c r="D142" s="311"/>
      <c r="E142" s="311"/>
      <c r="F142" s="311"/>
    </row>
    <row r="143" spans="1:18" s="310" customFormat="1" outlineLevel="1" x14ac:dyDescent="0.15">
      <c r="B143" s="310" t="s">
        <v>175</v>
      </c>
      <c r="D143" s="311" t="s">
        <v>173</v>
      </c>
      <c r="E143" s="318">
        <f>Orezone!$E$45</f>
        <v>0.06</v>
      </c>
      <c r="F143" s="297">
        <f>SUM(G143:R143)</f>
        <v>265341182.85602722</v>
      </c>
      <c r="G143" s="310">
        <f t="shared" ref="G143:R143" si="46">G139*$E$143</f>
        <v>12330858.451940009</v>
      </c>
      <c r="H143" s="310">
        <f t="shared" si="46"/>
        <v>16104472.865940182</v>
      </c>
      <c r="I143" s="310">
        <f t="shared" si="46"/>
        <v>20039762.594964944</v>
      </c>
      <c r="J143" s="310">
        <f t="shared" si="46"/>
        <v>32219132.93680403</v>
      </c>
      <c r="K143" s="310">
        <f t="shared" si="46"/>
        <v>27650001.471861176</v>
      </c>
      <c r="L143" s="310">
        <f t="shared" si="46"/>
        <v>27004000.683325537</v>
      </c>
      <c r="M143" s="310">
        <f t="shared" si="46"/>
        <v>25494302.262086663</v>
      </c>
      <c r="N143" s="310">
        <f t="shared" si="46"/>
        <v>25287031.511988398</v>
      </c>
      <c r="O143" s="310">
        <f t="shared" si="46"/>
        <v>26930600.981077459</v>
      </c>
      <c r="P143" s="310">
        <f t="shared" si="46"/>
        <v>24615591.053923599</v>
      </c>
      <c r="Q143" s="310">
        <f t="shared" si="46"/>
        <v>21116593.884256691</v>
      </c>
      <c r="R143" s="310">
        <f t="shared" si="46"/>
        <v>6548834.1578585189</v>
      </c>
    </row>
    <row r="144" spans="1:18" s="310" customFormat="1" outlineLevel="1" x14ac:dyDescent="0.15">
      <c r="A144" s="332" t="s">
        <v>176</v>
      </c>
      <c r="B144" s="332"/>
      <c r="C144" s="332"/>
      <c r="D144" s="333" t="s">
        <v>173</v>
      </c>
      <c r="E144" s="305">
        <f t="shared" ref="E144" si="47">IFERROR(AVERAGE(G144:R144),"na")</f>
        <v>22111765.238002267</v>
      </c>
      <c r="F144" s="305">
        <f>SUM(G144:R144)</f>
        <v>265341182.85602722</v>
      </c>
      <c r="G144" s="332">
        <f>SUM(G143)</f>
        <v>12330858.451940009</v>
      </c>
      <c r="H144" s="332">
        <f t="shared" ref="H144:R144" si="48">SUM(H143)</f>
        <v>16104472.865940182</v>
      </c>
      <c r="I144" s="332">
        <f t="shared" si="48"/>
        <v>20039762.594964944</v>
      </c>
      <c r="J144" s="332">
        <f t="shared" si="48"/>
        <v>32219132.93680403</v>
      </c>
      <c r="K144" s="332">
        <f t="shared" si="48"/>
        <v>27650001.471861176</v>
      </c>
      <c r="L144" s="332">
        <f t="shared" si="48"/>
        <v>27004000.683325537</v>
      </c>
      <c r="M144" s="332">
        <f t="shared" si="48"/>
        <v>25494302.262086663</v>
      </c>
      <c r="N144" s="332">
        <f t="shared" si="48"/>
        <v>25287031.511988398</v>
      </c>
      <c r="O144" s="332">
        <f t="shared" si="48"/>
        <v>26930600.981077459</v>
      </c>
      <c r="P144" s="332">
        <f t="shared" si="48"/>
        <v>24615591.053923599</v>
      </c>
      <c r="Q144" s="332">
        <f t="shared" si="48"/>
        <v>21116593.884256691</v>
      </c>
      <c r="R144" s="332">
        <f t="shared" si="48"/>
        <v>6548834.1578585189</v>
      </c>
    </row>
    <row r="145" spans="1:18" s="310" customFormat="1" outlineLevel="1" x14ac:dyDescent="0.15">
      <c r="D145" s="311"/>
      <c r="E145" s="311"/>
      <c r="F145" s="297"/>
    </row>
    <row r="146" spans="1:18" s="310" customFormat="1" outlineLevel="1" x14ac:dyDescent="0.15">
      <c r="A146" s="310" t="s">
        <v>177</v>
      </c>
      <c r="D146" s="311"/>
      <c r="E146" s="311"/>
      <c r="F146" s="311"/>
    </row>
    <row r="147" spans="1:18" s="310" customFormat="1" outlineLevel="1" x14ac:dyDescent="0.15">
      <c r="B147" s="274" t="s">
        <v>118</v>
      </c>
      <c r="D147" s="311" t="s">
        <v>113</v>
      </c>
      <c r="E147" s="335">
        <f t="shared" ref="E147:E151" si="49">IFERROR(AVERAGE(G147:R147),"na")</f>
        <v>8.120000000000001</v>
      </c>
      <c r="F147" s="329" t="s">
        <v>157</v>
      </c>
      <c r="G147" s="336">
        <f>$G51</f>
        <v>8.1199999999999992</v>
      </c>
      <c r="H147" s="336">
        <f t="shared" ref="H147:R147" si="50">$G51</f>
        <v>8.1199999999999992</v>
      </c>
      <c r="I147" s="336">
        <f t="shared" si="50"/>
        <v>8.1199999999999992</v>
      </c>
      <c r="J147" s="336">
        <f t="shared" si="50"/>
        <v>8.1199999999999992</v>
      </c>
      <c r="K147" s="336">
        <f t="shared" si="50"/>
        <v>8.1199999999999992</v>
      </c>
      <c r="L147" s="336">
        <f t="shared" si="50"/>
        <v>8.1199999999999992</v>
      </c>
      <c r="M147" s="336">
        <f t="shared" si="50"/>
        <v>8.1199999999999992</v>
      </c>
      <c r="N147" s="336">
        <f t="shared" si="50"/>
        <v>8.1199999999999992</v>
      </c>
      <c r="O147" s="336">
        <f t="shared" si="50"/>
        <v>8.1199999999999992</v>
      </c>
      <c r="P147" s="336">
        <f t="shared" si="50"/>
        <v>8.1199999999999992</v>
      </c>
      <c r="Q147" s="336">
        <f t="shared" si="50"/>
        <v>8.1199999999999992</v>
      </c>
      <c r="R147" s="336">
        <f t="shared" si="50"/>
        <v>8.1199999999999992</v>
      </c>
    </row>
    <row r="148" spans="1:18" s="310" customFormat="1" outlineLevel="1" x14ac:dyDescent="0.15">
      <c r="B148" s="274" t="s">
        <v>121</v>
      </c>
      <c r="D148" s="311" t="s">
        <v>113</v>
      </c>
      <c r="E148" s="335">
        <f t="shared" si="49"/>
        <v>9.129999999999999</v>
      </c>
      <c r="F148" s="329" t="s">
        <v>157</v>
      </c>
      <c r="G148" s="336">
        <f>$G52</f>
        <v>9.1300000000000008</v>
      </c>
      <c r="H148" s="336">
        <f t="shared" ref="H148:R148" si="51">$G52</f>
        <v>9.1300000000000008</v>
      </c>
      <c r="I148" s="336">
        <f t="shared" si="51"/>
        <v>9.1300000000000008</v>
      </c>
      <c r="J148" s="336">
        <f t="shared" si="51"/>
        <v>9.1300000000000008</v>
      </c>
      <c r="K148" s="336">
        <f t="shared" si="51"/>
        <v>9.1300000000000008</v>
      </c>
      <c r="L148" s="336">
        <f t="shared" si="51"/>
        <v>9.1300000000000008</v>
      </c>
      <c r="M148" s="336">
        <f t="shared" si="51"/>
        <v>9.1300000000000008</v>
      </c>
      <c r="N148" s="336">
        <f t="shared" si="51"/>
        <v>9.1300000000000008</v>
      </c>
      <c r="O148" s="336">
        <f t="shared" si="51"/>
        <v>9.1300000000000008</v>
      </c>
      <c r="P148" s="336">
        <f t="shared" si="51"/>
        <v>9.1300000000000008</v>
      </c>
      <c r="Q148" s="336">
        <f t="shared" si="51"/>
        <v>9.1300000000000008</v>
      </c>
      <c r="R148" s="336">
        <f t="shared" si="51"/>
        <v>9.1300000000000008</v>
      </c>
    </row>
    <row r="149" spans="1:18" s="310" customFormat="1" outlineLevel="1" x14ac:dyDescent="0.15">
      <c r="B149" s="274" t="s">
        <v>122</v>
      </c>
      <c r="D149" s="311" t="s">
        <v>113</v>
      </c>
      <c r="E149" s="335">
        <f t="shared" si="49"/>
        <v>6.0000000000000019E-2</v>
      </c>
      <c r="F149" s="329" t="s">
        <v>157</v>
      </c>
      <c r="G149" s="336">
        <f t="shared" ref="G149:R150" si="52">$G53</f>
        <v>0.06</v>
      </c>
      <c r="H149" s="336">
        <f t="shared" si="52"/>
        <v>0.06</v>
      </c>
      <c r="I149" s="336">
        <f t="shared" si="52"/>
        <v>0.06</v>
      </c>
      <c r="J149" s="336">
        <f t="shared" si="52"/>
        <v>0.06</v>
      </c>
      <c r="K149" s="336">
        <f t="shared" si="52"/>
        <v>0.06</v>
      </c>
      <c r="L149" s="336">
        <f t="shared" si="52"/>
        <v>0.06</v>
      </c>
      <c r="M149" s="336">
        <f t="shared" si="52"/>
        <v>0.06</v>
      </c>
      <c r="N149" s="336">
        <f t="shared" si="52"/>
        <v>0.06</v>
      </c>
      <c r="O149" s="336">
        <f t="shared" si="52"/>
        <v>0.06</v>
      </c>
      <c r="P149" s="336">
        <f t="shared" si="52"/>
        <v>0.06</v>
      </c>
      <c r="Q149" s="336">
        <f t="shared" si="52"/>
        <v>0.06</v>
      </c>
      <c r="R149" s="336">
        <f t="shared" si="52"/>
        <v>0.06</v>
      </c>
    </row>
    <row r="150" spans="1:18" s="310" customFormat="1" outlineLevel="1" x14ac:dyDescent="0.15">
      <c r="B150" s="274" t="s">
        <v>123</v>
      </c>
      <c r="D150" s="311" t="s">
        <v>113</v>
      </c>
      <c r="E150" s="335">
        <f t="shared" si="49"/>
        <v>2.3500000000000005</v>
      </c>
      <c r="F150" s="329" t="s">
        <v>157</v>
      </c>
      <c r="G150" s="336">
        <f t="shared" si="52"/>
        <v>2.35</v>
      </c>
      <c r="H150" s="336">
        <f t="shared" si="52"/>
        <v>2.35</v>
      </c>
      <c r="I150" s="336">
        <f t="shared" si="52"/>
        <v>2.35</v>
      </c>
      <c r="J150" s="336">
        <f t="shared" si="52"/>
        <v>2.35</v>
      </c>
      <c r="K150" s="336">
        <f t="shared" si="52"/>
        <v>2.35</v>
      </c>
      <c r="L150" s="336">
        <f t="shared" si="52"/>
        <v>2.35</v>
      </c>
      <c r="M150" s="336">
        <f t="shared" si="52"/>
        <v>2.35</v>
      </c>
      <c r="N150" s="336">
        <f t="shared" si="52"/>
        <v>2.35</v>
      </c>
      <c r="O150" s="336">
        <f t="shared" si="52"/>
        <v>2.35</v>
      </c>
      <c r="P150" s="336">
        <f t="shared" si="52"/>
        <v>2.35</v>
      </c>
      <c r="Q150" s="336">
        <f t="shared" si="52"/>
        <v>2.35</v>
      </c>
      <c r="R150" s="336">
        <f t="shared" si="52"/>
        <v>2.35</v>
      </c>
    </row>
    <row r="151" spans="1:18" s="310" customFormat="1" outlineLevel="1" x14ac:dyDescent="0.15">
      <c r="A151" s="303" t="s">
        <v>64</v>
      </c>
      <c r="B151" s="302"/>
      <c r="C151" s="332"/>
      <c r="D151" s="333" t="s">
        <v>113</v>
      </c>
      <c r="E151" s="337">
        <f t="shared" si="49"/>
        <v>19.66</v>
      </c>
      <c r="F151" s="338" t="s">
        <v>157</v>
      </c>
      <c r="G151" s="339">
        <f>SUM(G147:G150)</f>
        <v>19.66</v>
      </c>
      <c r="H151" s="339">
        <f t="shared" ref="H151:R151" si="53">SUM(H147:H150)</f>
        <v>19.66</v>
      </c>
      <c r="I151" s="339">
        <f t="shared" si="53"/>
        <v>19.66</v>
      </c>
      <c r="J151" s="339">
        <f t="shared" si="53"/>
        <v>19.66</v>
      </c>
      <c r="K151" s="339">
        <f t="shared" si="53"/>
        <v>19.66</v>
      </c>
      <c r="L151" s="339">
        <f t="shared" si="53"/>
        <v>19.66</v>
      </c>
      <c r="M151" s="339">
        <f t="shared" si="53"/>
        <v>19.66</v>
      </c>
      <c r="N151" s="339">
        <f t="shared" si="53"/>
        <v>19.66</v>
      </c>
      <c r="O151" s="339">
        <f t="shared" si="53"/>
        <v>19.66</v>
      </c>
      <c r="P151" s="339">
        <f t="shared" si="53"/>
        <v>19.66</v>
      </c>
      <c r="Q151" s="339">
        <f t="shared" si="53"/>
        <v>19.66</v>
      </c>
      <c r="R151" s="339">
        <f t="shared" si="53"/>
        <v>19.66</v>
      </c>
    </row>
    <row r="152" spans="1:18" s="310" customFormat="1" outlineLevel="1" x14ac:dyDescent="0.15">
      <c r="D152" s="311"/>
      <c r="E152" s="311"/>
      <c r="F152" s="311"/>
    </row>
    <row r="153" spans="1:18" s="310" customFormat="1" outlineLevel="1" x14ac:dyDescent="0.15">
      <c r="A153" s="310" t="s">
        <v>178</v>
      </c>
      <c r="D153" s="311"/>
      <c r="E153" s="311"/>
      <c r="F153" s="311"/>
    </row>
    <row r="154" spans="1:18" s="310" customFormat="1" outlineLevel="1" x14ac:dyDescent="0.15">
      <c r="B154" s="274" t="s">
        <v>118</v>
      </c>
      <c r="D154" s="311" t="s">
        <v>173</v>
      </c>
      <c r="E154" s="297">
        <f t="shared" ref="E154:E158" si="54">IFERROR(AVERAGE(G154:R154),"na")</f>
        <v>70035000</v>
      </c>
      <c r="F154" s="297">
        <f>SUM(G154:R154)</f>
        <v>840420000</v>
      </c>
      <c r="G154" s="310">
        <f>G147*G$133</f>
        <v>34916000</v>
      </c>
      <c r="H154" s="310">
        <f t="shared" ref="H154:R154" si="55">H147*H$133</f>
        <v>47907999.999999993</v>
      </c>
      <c r="I154" s="310">
        <f t="shared" si="55"/>
        <v>56839999.999999993</v>
      </c>
      <c r="J154" s="310">
        <f t="shared" si="55"/>
        <v>83635999.999999985</v>
      </c>
      <c r="K154" s="310">
        <f t="shared" si="55"/>
        <v>83635999.999999985</v>
      </c>
      <c r="L154" s="310">
        <f t="shared" si="55"/>
        <v>83635999.999999985</v>
      </c>
      <c r="M154" s="310">
        <f t="shared" si="55"/>
        <v>83635999.999999985</v>
      </c>
      <c r="N154" s="310">
        <f t="shared" si="55"/>
        <v>83635999.999999985</v>
      </c>
      <c r="O154" s="310">
        <f t="shared" si="55"/>
        <v>83635999.999999985</v>
      </c>
      <c r="P154" s="310">
        <f t="shared" si="55"/>
        <v>83635999.999999985</v>
      </c>
      <c r="Q154" s="310">
        <f t="shared" si="55"/>
        <v>83635999.999999985</v>
      </c>
      <c r="R154" s="310">
        <f t="shared" si="55"/>
        <v>31667999.999999996</v>
      </c>
    </row>
    <row r="155" spans="1:18" s="310" customFormat="1" outlineLevel="1" x14ac:dyDescent="0.15">
      <c r="B155" s="274" t="s">
        <v>121</v>
      </c>
      <c r="D155" s="311" t="s">
        <v>173</v>
      </c>
      <c r="E155" s="297">
        <f t="shared" si="54"/>
        <v>78746250</v>
      </c>
      <c r="F155" s="297">
        <f>SUM(G155:R155)</f>
        <v>944955000</v>
      </c>
      <c r="G155" s="310">
        <f>G148*G$133</f>
        <v>39259000</v>
      </c>
      <c r="H155" s="310">
        <f t="shared" ref="H155:R155" si="56">H148*H$133</f>
        <v>53867000.000000007</v>
      </c>
      <c r="I155" s="310">
        <f t="shared" si="56"/>
        <v>63910000.000000007</v>
      </c>
      <c r="J155" s="310">
        <f t="shared" si="56"/>
        <v>94039000.000000015</v>
      </c>
      <c r="K155" s="310">
        <f t="shared" si="56"/>
        <v>94039000.000000015</v>
      </c>
      <c r="L155" s="310">
        <f t="shared" si="56"/>
        <v>94039000.000000015</v>
      </c>
      <c r="M155" s="310">
        <f t="shared" si="56"/>
        <v>94039000.000000015</v>
      </c>
      <c r="N155" s="310">
        <f t="shared" si="56"/>
        <v>94039000.000000015</v>
      </c>
      <c r="O155" s="310">
        <f t="shared" si="56"/>
        <v>94039000.000000015</v>
      </c>
      <c r="P155" s="310">
        <f t="shared" si="56"/>
        <v>94039000.000000015</v>
      </c>
      <c r="Q155" s="310">
        <f t="shared" si="56"/>
        <v>94039000.000000015</v>
      </c>
      <c r="R155" s="310">
        <f t="shared" si="56"/>
        <v>35607000</v>
      </c>
    </row>
    <row r="156" spans="1:18" s="310" customFormat="1" outlineLevel="1" x14ac:dyDescent="0.15">
      <c r="B156" s="274" t="s">
        <v>122</v>
      </c>
      <c r="D156" s="311" t="s">
        <v>173</v>
      </c>
      <c r="E156" s="297">
        <f t="shared" si="54"/>
        <v>517500</v>
      </c>
      <c r="F156" s="297">
        <f>SUM(G156:R156)</f>
        <v>6210000</v>
      </c>
      <c r="G156" s="310">
        <f>G149*G$133</f>
        <v>258000</v>
      </c>
      <c r="H156" s="310">
        <f t="shared" ref="H156:R156" si="57">H149*H$133</f>
        <v>354000</v>
      </c>
      <c r="I156" s="310">
        <f t="shared" si="57"/>
        <v>420000</v>
      </c>
      <c r="J156" s="310">
        <f t="shared" si="57"/>
        <v>618000</v>
      </c>
      <c r="K156" s="310">
        <f t="shared" si="57"/>
        <v>618000</v>
      </c>
      <c r="L156" s="310">
        <f t="shared" si="57"/>
        <v>618000</v>
      </c>
      <c r="M156" s="310">
        <f t="shared" si="57"/>
        <v>618000</v>
      </c>
      <c r="N156" s="310">
        <f t="shared" si="57"/>
        <v>618000</v>
      </c>
      <c r="O156" s="310">
        <f t="shared" si="57"/>
        <v>618000</v>
      </c>
      <c r="P156" s="310">
        <f t="shared" si="57"/>
        <v>618000</v>
      </c>
      <c r="Q156" s="310">
        <f t="shared" si="57"/>
        <v>618000</v>
      </c>
      <c r="R156" s="310">
        <f t="shared" si="57"/>
        <v>234000</v>
      </c>
    </row>
    <row r="157" spans="1:18" s="310" customFormat="1" outlineLevel="1" x14ac:dyDescent="0.15">
      <c r="B157" s="274" t="s">
        <v>123</v>
      </c>
      <c r="D157" s="311" t="s">
        <v>173</v>
      </c>
      <c r="E157" s="297">
        <f t="shared" si="54"/>
        <v>20268750</v>
      </c>
      <c r="F157" s="297">
        <f>SUM(G157:R157)</f>
        <v>243225000</v>
      </c>
      <c r="G157" s="310">
        <f>G150*G$133</f>
        <v>10105000</v>
      </c>
      <c r="H157" s="310">
        <f t="shared" ref="H157:R157" si="58">H150*H$133</f>
        <v>13865000</v>
      </c>
      <c r="I157" s="310">
        <f t="shared" si="58"/>
        <v>16450000</v>
      </c>
      <c r="J157" s="310">
        <f t="shared" si="58"/>
        <v>24205000</v>
      </c>
      <c r="K157" s="310">
        <f t="shared" si="58"/>
        <v>24205000</v>
      </c>
      <c r="L157" s="310">
        <f t="shared" si="58"/>
        <v>24205000</v>
      </c>
      <c r="M157" s="310">
        <f t="shared" si="58"/>
        <v>24205000</v>
      </c>
      <c r="N157" s="310">
        <f t="shared" si="58"/>
        <v>24205000</v>
      </c>
      <c r="O157" s="310">
        <f t="shared" si="58"/>
        <v>24205000</v>
      </c>
      <c r="P157" s="310">
        <f t="shared" si="58"/>
        <v>24205000</v>
      </c>
      <c r="Q157" s="310">
        <f t="shared" si="58"/>
        <v>24205000</v>
      </c>
      <c r="R157" s="310">
        <f t="shared" si="58"/>
        <v>9165000</v>
      </c>
    </row>
    <row r="158" spans="1:18" s="310" customFormat="1" outlineLevel="1" x14ac:dyDescent="0.15">
      <c r="A158" s="303" t="s">
        <v>64</v>
      </c>
      <c r="B158" s="302"/>
      <c r="C158" s="332"/>
      <c r="D158" s="333" t="s">
        <v>173</v>
      </c>
      <c r="E158" s="305">
        <f t="shared" si="54"/>
        <v>169567500</v>
      </c>
      <c r="F158" s="305">
        <f>SUM(G158:R158)</f>
        <v>2034810000</v>
      </c>
      <c r="G158" s="332">
        <f>SUM(G154:G157)</f>
        <v>84538000</v>
      </c>
      <c r="H158" s="332">
        <f t="shared" ref="H158:R158" si="59">SUM(H154:H157)</f>
        <v>115994000</v>
      </c>
      <c r="I158" s="332">
        <f t="shared" si="59"/>
        <v>137620000</v>
      </c>
      <c r="J158" s="332">
        <f t="shared" si="59"/>
        <v>202498000</v>
      </c>
      <c r="K158" s="332">
        <f t="shared" si="59"/>
        <v>202498000</v>
      </c>
      <c r="L158" s="332">
        <f t="shared" si="59"/>
        <v>202498000</v>
      </c>
      <c r="M158" s="332">
        <f t="shared" si="59"/>
        <v>202498000</v>
      </c>
      <c r="N158" s="332">
        <f t="shared" si="59"/>
        <v>202498000</v>
      </c>
      <c r="O158" s="332">
        <f t="shared" si="59"/>
        <v>202498000</v>
      </c>
      <c r="P158" s="332">
        <f t="shared" si="59"/>
        <v>202498000</v>
      </c>
      <c r="Q158" s="332">
        <f t="shared" si="59"/>
        <v>202498000</v>
      </c>
      <c r="R158" s="332">
        <f t="shared" si="59"/>
        <v>76674000</v>
      </c>
    </row>
    <row r="159" spans="1:18" s="310" customFormat="1" outlineLevel="1" x14ac:dyDescent="0.15">
      <c r="D159" s="311"/>
      <c r="E159" s="311"/>
      <c r="F159" s="297"/>
    </row>
    <row r="160" spans="1:18" s="310" customFormat="1" outlineLevel="1" x14ac:dyDescent="0.15">
      <c r="A160" s="321" t="s">
        <v>179</v>
      </c>
      <c r="D160" s="311"/>
      <c r="E160" s="340" t="str">
        <f t="shared" ref="E160" si="60">IFERROR(AVERAGE(G160:R160),"na")</f>
        <v>na</v>
      </c>
      <c r="F160" s="340">
        <f>SUM(G160:R160)</f>
        <v>0</v>
      </c>
      <c r="G160" s="321"/>
      <c r="H160" s="321"/>
      <c r="I160" s="321"/>
      <c r="J160" s="321"/>
      <c r="K160" s="321"/>
      <c r="L160" s="321"/>
      <c r="M160" s="321"/>
      <c r="N160" s="321"/>
      <c r="O160" s="321"/>
      <c r="P160" s="321"/>
      <c r="Q160" s="321"/>
      <c r="R160" s="321"/>
    </row>
    <row r="161" spans="1:18" s="310" customFormat="1" outlineLevel="1" x14ac:dyDescent="0.15">
      <c r="D161" s="311"/>
      <c r="E161" s="311"/>
      <c r="F161" s="311"/>
    </row>
    <row r="162" spans="1:18" s="310" customFormat="1" outlineLevel="1" x14ac:dyDescent="0.15">
      <c r="A162" s="310" t="s">
        <v>128</v>
      </c>
      <c r="D162" s="311"/>
      <c r="E162" s="311"/>
      <c r="F162" s="311"/>
    </row>
    <row r="163" spans="1:18" s="310" customFormat="1" outlineLevel="1" x14ac:dyDescent="0.15">
      <c r="B163" s="310" t="s">
        <v>129</v>
      </c>
      <c r="D163" s="311" t="s">
        <v>173</v>
      </c>
      <c r="E163" s="297">
        <f>IFERROR(AVERAGE(G163:R163),"na")</f>
        <v>13958333.333333334</v>
      </c>
      <c r="F163" s="297">
        <f>SUM(G163:R163)</f>
        <v>167500000</v>
      </c>
      <c r="G163" s="310">
        <f>G61</f>
        <v>6958937.1980676325</v>
      </c>
      <c r="H163" s="310">
        <f t="shared" ref="H163:R163" si="61">H61</f>
        <v>9548309.1787439603</v>
      </c>
      <c r="I163" s="310">
        <f t="shared" si="61"/>
        <v>11328502.415458936</v>
      </c>
      <c r="J163" s="310">
        <f t="shared" si="61"/>
        <v>16669082.125603864</v>
      </c>
      <c r="K163" s="310">
        <f t="shared" si="61"/>
        <v>16669082.125603864</v>
      </c>
      <c r="L163" s="310">
        <f t="shared" si="61"/>
        <v>16669082.125603864</v>
      </c>
      <c r="M163" s="310">
        <f t="shared" si="61"/>
        <v>16669082.125603864</v>
      </c>
      <c r="N163" s="310">
        <f t="shared" si="61"/>
        <v>16669082.125603864</v>
      </c>
      <c r="O163" s="310">
        <f t="shared" si="61"/>
        <v>16669082.125603864</v>
      </c>
      <c r="P163" s="310">
        <f t="shared" si="61"/>
        <v>16669082.125603864</v>
      </c>
      <c r="Q163" s="310">
        <f t="shared" si="61"/>
        <v>16669082.125603864</v>
      </c>
      <c r="R163" s="310">
        <f t="shared" si="61"/>
        <v>6311594.2028985508</v>
      </c>
    </row>
    <row r="164" spans="1:18" s="310" customFormat="1" outlineLevel="1" x14ac:dyDescent="0.15">
      <c r="B164" s="310" t="s">
        <v>131</v>
      </c>
      <c r="D164" s="311" t="s">
        <v>173</v>
      </c>
      <c r="E164" s="297">
        <f>IFERROR(AVERAGE(G164:R164),"na")</f>
        <v>4808333.333333334</v>
      </c>
      <c r="F164" s="297">
        <f>SUM(G164:R164)</f>
        <v>57700000.000000007</v>
      </c>
      <c r="G164" s="310">
        <f t="shared" ref="G164:R164" si="62">G64</f>
        <v>16300000</v>
      </c>
      <c r="H164" s="310">
        <f t="shared" si="62"/>
        <v>23000000</v>
      </c>
      <c r="I164" s="310">
        <f t="shared" si="62"/>
        <v>6133333.333333333</v>
      </c>
      <c r="J164" s="310">
        <f t="shared" si="62"/>
        <v>6133333.333333333</v>
      </c>
      <c r="K164" s="310">
        <f t="shared" si="62"/>
        <v>6133333.333333333</v>
      </c>
      <c r="L164" s="310">
        <f t="shared" si="62"/>
        <v>0</v>
      </c>
      <c r="M164" s="310">
        <f t="shared" si="62"/>
        <v>0</v>
      </c>
      <c r="N164" s="310">
        <f t="shared" si="62"/>
        <v>0</v>
      </c>
      <c r="O164" s="310">
        <f t="shared" si="62"/>
        <v>0</v>
      </c>
      <c r="P164" s="310">
        <f t="shared" si="62"/>
        <v>0</v>
      </c>
      <c r="Q164" s="310">
        <f t="shared" si="62"/>
        <v>0</v>
      </c>
      <c r="R164" s="310">
        <f t="shared" si="62"/>
        <v>0</v>
      </c>
    </row>
    <row r="165" spans="1:18" s="310" customFormat="1" outlineLevel="1" x14ac:dyDescent="0.15">
      <c r="B165" s="310" t="s">
        <v>133</v>
      </c>
      <c r="D165" s="311" t="s">
        <v>173</v>
      </c>
      <c r="E165" s="297">
        <f>IFERROR(AVERAGE(G165:R165),"na")</f>
        <v>8416666.666666666</v>
      </c>
      <c r="F165" s="297">
        <f>SUM(G165:R165)</f>
        <v>101000000</v>
      </c>
      <c r="G165" s="310">
        <f t="shared" ref="G165:R165" si="63">G62</f>
        <v>4196135.2657004828</v>
      </c>
      <c r="H165" s="310">
        <f t="shared" si="63"/>
        <v>5757487.9227053141</v>
      </c>
      <c r="I165" s="310">
        <f t="shared" si="63"/>
        <v>6830917.8743961351</v>
      </c>
      <c r="J165" s="310">
        <f t="shared" si="63"/>
        <v>10051207.729468599</v>
      </c>
      <c r="K165" s="310">
        <f t="shared" si="63"/>
        <v>10051207.729468599</v>
      </c>
      <c r="L165" s="310">
        <f t="shared" si="63"/>
        <v>10051207.729468599</v>
      </c>
      <c r="M165" s="310">
        <f t="shared" si="63"/>
        <v>10051207.729468599</v>
      </c>
      <c r="N165" s="310">
        <f t="shared" si="63"/>
        <v>10051207.729468599</v>
      </c>
      <c r="O165" s="310">
        <f t="shared" si="63"/>
        <v>10051207.729468599</v>
      </c>
      <c r="P165" s="310">
        <f t="shared" si="63"/>
        <v>10051207.729468599</v>
      </c>
      <c r="Q165" s="310">
        <f t="shared" si="63"/>
        <v>10051207.729468599</v>
      </c>
      <c r="R165" s="310">
        <f t="shared" si="63"/>
        <v>3805797.1014492754</v>
      </c>
    </row>
    <row r="166" spans="1:18" s="310" customFormat="1" outlineLevel="1" x14ac:dyDescent="0.15">
      <c r="A166" s="331" t="s">
        <v>180</v>
      </c>
      <c r="B166" s="332"/>
      <c r="C166" s="332"/>
      <c r="D166" s="341" t="s">
        <v>173</v>
      </c>
      <c r="E166" s="334">
        <f>IFERROR(AVERAGE(G166:R166),"na")</f>
        <v>27183333.333333328</v>
      </c>
      <c r="F166" s="334">
        <f>SUM(G166:R166)</f>
        <v>326199999.99999994</v>
      </c>
      <c r="G166" s="331">
        <f>SUM(G163:G165)</f>
        <v>27455072.463768113</v>
      </c>
      <c r="H166" s="331">
        <f t="shared" ref="H166:R166" si="64">SUM(H163:H165)</f>
        <v>38305797.101449274</v>
      </c>
      <c r="I166" s="331">
        <f t="shared" si="64"/>
        <v>24292753.623188403</v>
      </c>
      <c r="J166" s="331">
        <f t="shared" si="64"/>
        <v>32853623.188405797</v>
      </c>
      <c r="K166" s="331">
        <f t="shared" si="64"/>
        <v>32853623.188405797</v>
      </c>
      <c r="L166" s="331">
        <f t="shared" si="64"/>
        <v>26720289.855072461</v>
      </c>
      <c r="M166" s="331">
        <f t="shared" si="64"/>
        <v>26720289.855072461</v>
      </c>
      <c r="N166" s="331">
        <f t="shared" si="64"/>
        <v>26720289.855072461</v>
      </c>
      <c r="O166" s="331">
        <f t="shared" si="64"/>
        <v>26720289.855072461</v>
      </c>
      <c r="P166" s="331">
        <f t="shared" si="64"/>
        <v>26720289.855072461</v>
      </c>
      <c r="Q166" s="331">
        <f t="shared" si="64"/>
        <v>26720289.855072461</v>
      </c>
      <c r="R166" s="331">
        <f t="shared" si="64"/>
        <v>10117391.304347826</v>
      </c>
    </row>
    <row r="167" spans="1:18" s="310" customFormat="1" outlineLevel="1" x14ac:dyDescent="0.15">
      <c r="D167" s="311"/>
      <c r="E167" s="311"/>
      <c r="F167" s="297"/>
    </row>
    <row r="168" spans="1:18" s="310" customFormat="1" outlineLevel="1" x14ac:dyDescent="0.15">
      <c r="A168" s="310" t="s">
        <v>181</v>
      </c>
      <c r="D168" s="311"/>
      <c r="E168" s="311"/>
      <c r="F168" s="297"/>
    </row>
    <row r="169" spans="1:18" s="310" customFormat="1" outlineLevel="1" x14ac:dyDescent="0.15">
      <c r="B169" s="310" t="s">
        <v>182</v>
      </c>
      <c r="D169" s="311" t="s">
        <v>125</v>
      </c>
      <c r="E169" s="297">
        <f t="shared" ref="E169:E173" si="65">IFERROR(AVERAGE(G169:R169),"na")</f>
        <v>997.78642954761619</v>
      </c>
      <c r="F169" s="329" t="s">
        <v>157</v>
      </c>
      <c r="G169" s="336">
        <f>G158/G121</f>
        <v>863.83182821502237</v>
      </c>
      <c r="H169" s="336">
        <f t="shared" ref="H169:R169" si="66">H158/H121</f>
        <v>907.52700331534618</v>
      </c>
      <c r="I169" s="336">
        <f t="shared" si="66"/>
        <v>865.2856997595751</v>
      </c>
      <c r="J169" s="336">
        <f t="shared" si="66"/>
        <v>791.91293105390844</v>
      </c>
      <c r="K169" s="336">
        <f t="shared" si="66"/>
        <v>922.77564708145928</v>
      </c>
      <c r="L169" s="336">
        <f t="shared" si="66"/>
        <v>944.85066487777397</v>
      </c>
      <c r="M169" s="336">
        <f t="shared" si="66"/>
        <v>1000.8019728370343</v>
      </c>
      <c r="N169" s="336">
        <f t="shared" si="66"/>
        <v>1009.0052676963544</v>
      </c>
      <c r="O169" s="336">
        <f t="shared" si="66"/>
        <v>947.42586761905932</v>
      </c>
      <c r="P169" s="336">
        <f t="shared" si="66"/>
        <v>1036.5279445903486</v>
      </c>
      <c r="Q169" s="336">
        <f t="shared" si="66"/>
        <v>1208.279523669881</v>
      </c>
      <c r="R169" s="336">
        <f t="shared" si="66"/>
        <v>1475.2128038556316</v>
      </c>
    </row>
    <row r="170" spans="1:18" s="310" customFormat="1" outlineLevel="1" x14ac:dyDescent="0.15">
      <c r="B170" s="310" t="s">
        <v>183</v>
      </c>
      <c r="D170" s="311" t="s">
        <v>125</v>
      </c>
      <c r="E170" s="297">
        <f t="shared" si="65"/>
        <v>168.07844704351396</v>
      </c>
      <c r="F170" s="329" t="s">
        <v>157</v>
      </c>
      <c r="G170" s="336">
        <f>G166/G121</f>
        <v>280.54325203048012</v>
      </c>
      <c r="H170" s="336">
        <f t="shared" ref="H170:R170" si="67">H166/H121</f>
        <v>299.70123672848541</v>
      </c>
      <c r="I170" s="336">
        <f t="shared" si="67"/>
        <v>152.74067953733126</v>
      </c>
      <c r="J170" s="336">
        <f t="shared" si="67"/>
        <v>128.48131356789247</v>
      </c>
      <c r="K170" s="336">
        <f t="shared" si="67"/>
        <v>149.71270529413422</v>
      </c>
      <c r="L170" s="336">
        <f t="shared" si="67"/>
        <v>124.67621228502037</v>
      </c>
      <c r="M170" s="336">
        <f t="shared" si="67"/>
        <v>132.05917491399379</v>
      </c>
      <c r="N170" s="336">
        <f t="shared" si="67"/>
        <v>133.14162716738718</v>
      </c>
      <c r="O170" s="336">
        <f t="shared" si="67"/>
        <v>125.0160189185808</v>
      </c>
      <c r="P170" s="336">
        <f t="shared" si="67"/>
        <v>136.77333663708581</v>
      </c>
      <c r="Q170" s="336">
        <f t="shared" si="67"/>
        <v>159.43653319246661</v>
      </c>
      <c r="R170" s="336">
        <f t="shared" si="67"/>
        <v>194.65927424930931</v>
      </c>
    </row>
    <row r="171" spans="1:18" s="310" customFormat="1" outlineLevel="1" x14ac:dyDescent="0.15">
      <c r="B171" s="310" t="s">
        <v>124</v>
      </c>
      <c r="D171" s="311" t="s">
        <v>125</v>
      </c>
      <c r="E171" s="297">
        <f t="shared" si="65"/>
        <v>0</v>
      </c>
      <c r="F171" s="329" t="s">
        <v>157</v>
      </c>
      <c r="G171" s="336">
        <f>$G$57</f>
        <v>0</v>
      </c>
      <c r="H171" s="336">
        <f t="shared" ref="H171:R171" si="68">$G$57</f>
        <v>0</v>
      </c>
      <c r="I171" s="336">
        <f t="shared" si="68"/>
        <v>0</v>
      </c>
      <c r="J171" s="336">
        <f t="shared" si="68"/>
        <v>0</v>
      </c>
      <c r="K171" s="336">
        <f t="shared" si="68"/>
        <v>0</v>
      </c>
      <c r="L171" s="336">
        <f t="shared" si="68"/>
        <v>0</v>
      </c>
      <c r="M171" s="336">
        <f t="shared" si="68"/>
        <v>0</v>
      </c>
      <c r="N171" s="336">
        <f t="shared" si="68"/>
        <v>0</v>
      </c>
      <c r="O171" s="336">
        <f t="shared" si="68"/>
        <v>0</v>
      </c>
      <c r="P171" s="336">
        <f t="shared" si="68"/>
        <v>0</v>
      </c>
      <c r="Q171" s="336">
        <f t="shared" si="68"/>
        <v>0</v>
      </c>
      <c r="R171" s="336">
        <f t="shared" si="68"/>
        <v>0</v>
      </c>
    </row>
    <row r="172" spans="1:18" s="310" customFormat="1" outlineLevel="1" x14ac:dyDescent="0.15">
      <c r="B172" s="310" t="s">
        <v>127</v>
      </c>
      <c r="D172" s="311" t="s">
        <v>125</v>
      </c>
      <c r="E172" s="297">
        <f t="shared" si="65"/>
        <v>4.4808978254449343</v>
      </c>
      <c r="F172" s="329" t="s">
        <v>157</v>
      </c>
      <c r="G172" s="336">
        <f>$G$58</f>
        <v>4.4808978254449343</v>
      </c>
      <c r="H172" s="336">
        <f t="shared" ref="H172:R172" si="69">$G$58</f>
        <v>4.4808978254449343</v>
      </c>
      <c r="I172" s="336">
        <f t="shared" si="69"/>
        <v>4.4808978254449343</v>
      </c>
      <c r="J172" s="336">
        <f t="shared" si="69"/>
        <v>4.4808978254449343</v>
      </c>
      <c r="K172" s="336">
        <f t="shared" si="69"/>
        <v>4.4808978254449343</v>
      </c>
      <c r="L172" s="336">
        <f t="shared" si="69"/>
        <v>4.4808978254449343</v>
      </c>
      <c r="M172" s="336">
        <f t="shared" si="69"/>
        <v>4.4808978254449343</v>
      </c>
      <c r="N172" s="336">
        <f t="shared" si="69"/>
        <v>4.4808978254449343</v>
      </c>
      <c r="O172" s="336">
        <f t="shared" si="69"/>
        <v>4.4808978254449343</v>
      </c>
      <c r="P172" s="336">
        <f t="shared" si="69"/>
        <v>4.4808978254449343</v>
      </c>
      <c r="Q172" s="336">
        <f t="shared" si="69"/>
        <v>4.4808978254449343</v>
      </c>
      <c r="R172" s="336">
        <f t="shared" si="69"/>
        <v>4.4808978254449343</v>
      </c>
    </row>
    <row r="173" spans="1:18" s="310" customFormat="1" outlineLevel="1" x14ac:dyDescent="0.15">
      <c r="A173" s="331" t="s">
        <v>181</v>
      </c>
      <c r="B173" s="332"/>
      <c r="C173" s="332"/>
      <c r="D173" s="341" t="s">
        <v>125</v>
      </c>
      <c r="E173" s="334">
        <f t="shared" si="65"/>
        <v>1170.3457744165753</v>
      </c>
      <c r="F173" s="342" t="s">
        <v>157</v>
      </c>
      <c r="G173" s="343">
        <f>SUM(G169:G172)</f>
        <v>1148.8559780709475</v>
      </c>
      <c r="H173" s="343">
        <f t="shared" ref="H173:R173" si="70">SUM(H169:H172)</f>
        <v>1211.7091378692767</v>
      </c>
      <c r="I173" s="343">
        <f t="shared" si="70"/>
        <v>1022.5072771223513</v>
      </c>
      <c r="J173" s="343">
        <f t="shared" si="70"/>
        <v>924.87514244724582</v>
      </c>
      <c r="K173" s="343">
        <f t="shared" si="70"/>
        <v>1076.9692502010384</v>
      </c>
      <c r="L173" s="343">
        <f t="shared" si="70"/>
        <v>1074.0077749882394</v>
      </c>
      <c r="M173" s="343">
        <f t="shared" si="70"/>
        <v>1137.3420455764731</v>
      </c>
      <c r="N173" s="343">
        <f t="shared" si="70"/>
        <v>1146.6277926891867</v>
      </c>
      <c r="O173" s="343">
        <f t="shared" si="70"/>
        <v>1076.9227843630852</v>
      </c>
      <c r="P173" s="343">
        <f t="shared" si="70"/>
        <v>1177.7821790528794</v>
      </c>
      <c r="Q173" s="343">
        <f t="shared" si="70"/>
        <v>1372.1969546877926</v>
      </c>
      <c r="R173" s="343">
        <f t="shared" si="70"/>
        <v>1674.352975930386</v>
      </c>
    </row>
    <row r="174" spans="1:18" s="310" customFormat="1" outlineLevel="1" x14ac:dyDescent="0.15">
      <c r="D174" s="311"/>
      <c r="E174" s="311"/>
      <c r="F174" s="311"/>
    </row>
    <row r="175" spans="1:18" s="310" customFormat="1" outlineLevel="1" x14ac:dyDescent="0.15">
      <c r="A175" s="321" t="s">
        <v>21</v>
      </c>
      <c r="D175" s="322" t="s">
        <v>173</v>
      </c>
      <c r="E175" s="340">
        <f t="shared" ref="E175" si="71">IFERROR(AVERAGE(G175:R175),"na")</f>
        <v>176850155.39536887</v>
      </c>
      <c r="F175" s="340">
        <f>F140-F144-F158</f>
        <v>2122201864.7444263</v>
      </c>
      <c r="G175" s="340">
        <f>G140-G144-G158</f>
        <v>108645449.08039349</v>
      </c>
      <c r="H175" s="340">
        <f t="shared" ref="H175:Q175" si="72">H140-H144-H158</f>
        <v>136309408.23306286</v>
      </c>
      <c r="I175" s="340">
        <f t="shared" si="72"/>
        <v>176336280.65445083</v>
      </c>
      <c r="J175" s="340">
        <f t="shared" si="72"/>
        <v>302268416.00992978</v>
      </c>
      <c r="K175" s="340">
        <f t="shared" si="72"/>
        <v>230685356.39249176</v>
      </c>
      <c r="L175" s="340">
        <f t="shared" si="72"/>
        <v>220564677.37210011</v>
      </c>
      <c r="M175" s="340">
        <f t="shared" si="72"/>
        <v>196912735.4393577</v>
      </c>
      <c r="N175" s="340">
        <f t="shared" si="72"/>
        <v>193665493.68781823</v>
      </c>
      <c r="O175" s="340">
        <f t="shared" si="72"/>
        <v>219414748.70354688</v>
      </c>
      <c r="P175" s="340">
        <f t="shared" si="72"/>
        <v>183146259.84480304</v>
      </c>
      <c r="Q175" s="340">
        <f t="shared" si="72"/>
        <v>128328637.52002156</v>
      </c>
      <c r="R175" s="340">
        <f>R140-R144-R158</f>
        <v>25924401.806450129</v>
      </c>
    </row>
    <row r="176" spans="1:18" s="310" customFormat="1" outlineLevel="1" x14ac:dyDescent="0.15">
      <c r="D176" s="311"/>
      <c r="E176" s="311"/>
      <c r="F176" s="311"/>
    </row>
    <row r="177" spans="1:18" s="310" customFormat="1" outlineLevel="1" x14ac:dyDescent="0.15">
      <c r="A177" s="310" t="s">
        <v>184</v>
      </c>
      <c r="D177" s="311"/>
      <c r="E177" s="311"/>
      <c r="F177" s="311"/>
    </row>
    <row r="178" spans="1:18" s="310" customFormat="1" outlineLevel="1" x14ac:dyDescent="0.15">
      <c r="B178" s="310" t="s">
        <v>185</v>
      </c>
      <c r="D178" s="311" t="s">
        <v>93</v>
      </c>
      <c r="E178" s="329" t="s">
        <v>157</v>
      </c>
      <c r="F178" s="329" t="s">
        <v>157</v>
      </c>
      <c r="G178" s="344">
        <f t="shared" ref="G178:R178" si="73">G28</f>
        <v>4.1545893719806763E-2</v>
      </c>
      <c r="H178" s="344">
        <f t="shared" si="73"/>
        <v>5.9475806451612906E-2</v>
      </c>
      <c r="I178" s="344">
        <f t="shared" si="73"/>
        <v>7.5026795284030015E-2</v>
      </c>
      <c r="J178" s="344">
        <f t="shared" si="73"/>
        <v>0.11935110081112399</v>
      </c>
      <c r="K178" s="344">
        <f t="shared" si="73"/>
        <v>0.13552631578947369</v>
      </c>
      <c r="L178" s="344">
        <f t="shared" si="73"/>
        <v>0.15677321156773211</v>
      </c>
      <c r="M178" s="344">
        <f t="shared" si="73"/>
        <v>0.18592057761732853</v>
      </c>
      <c r="N178" s="344">
        <f t="shared" si="73"/>
        <v>0.22838137472283815</v>
      </c>
      <c r="O178" s="344">
        <f t="shared" si="73"/>
        <v>0.29597701149425287</v>
      </c>
      <c r="P178" s="344">
        <f t="shared" si="73"/>
        <v>0.42040816326530611</v>
      </c>
      <c r="Q178" s="344">
        <f t="shared" si="73"/>
        <v>0.72535211267605637</v>
      </c>
      <c r="R178" s="344">
        <f t="shared" si="73"/>
        <v>1</v>
      </c>
    </row>
    <row r="179" spans="1:18" s="310" customFormat="1" outlineLevel="1" x14ac:dyDescent="0.15">
      <c r="B179" s="310" t="s">
        <v>155</v>
      </c>
      <c r="D179" s="311" t="s">
        <v>173</v>
      </c>
      <c r="E179" s="297">
        <f t="shared" ref="E179:E183" si="74">IFERROR(AVERAGE(G179:R179),"na")</f>
        <v>178711063.0115349</v>
      </c>
      <c r="F179" s="329" t="s">
        <v>157</v>
      </c>
      <c r="G179" s="345">
        <f>$F$71</f>
        <v>180383000</v>
      </c>
      <c r="H179" s="310">
        <f>G183</f>
        <v>199203253.99425891</v>
      </c>
      <c r="I179" s="310">
        <f t="shared" ref="I179:R179" si="75">H183</f>
        <v>223383008.7422336</v>
      </c>
      <c r="J179" s="310">
        <f t="shared" si="75"/>
        <v>229093443.64561543</v>
      </c>
      <c r="K179" s="310">
        <f t="shared" si="75"/>
        <v>230683396.05313572</v>
      </c>
      <c r="L179" s="310">
        <f t="shared" si="75"/>
        <v>227820817.94959575</v>
      </c>
      <c r="M179" s="310">
        <f t="shared" si="75"/>
        <v>214635880.85812205</v>
      </c>
      <c r="N179" s="310">
        <f t="shared" si="75"/>
        <v>196483092.04269084</v>
      </c>
      <c r="O179" s="310">
        <f t="shared" si="75"/>
        <v>172227886.69716549</v>
      </c>
      <c r="P179" s="310">
        <f t="shared" si="75"/>
        <v>140064089.81407559</v>
      </c>
      <c r="Q179" s="310">
        <f t="shared" si="75"/>
        <v>96666864.951098055</v>
      </c>
      <c r="R179" s="310">
        <f t="shared" si="75"/>
        <v>33888021.390427113</v>
      </c>
    </row>
    <row r="180" spans="1:18" s="310" customFormat="1" outlineLevel="1" x14ac:dyDescent="0.15">
      <c r="B180" s="310" t="s">
        <v>186</v>
      </c>
      <c r="D180" s="311" t="s">
        <v>173</v>
      </c>
      <c r="E180" s="297">
        <f t="shared" si="74"/>
        <v>27183333.333333328</v>
      </c>
      <c r="F180" s="297">
        <f>SUM(G180:R180)</f>
        <v>326199999.99999994</v>
      </c>
      <c r="G180" s="310">
        <f>G166</f>
        <v>27455072.463768113</v>
      </c>
      <c r="H180" s="310">
        <f>H166</f>
        <v>38305797.101449274</v>
      </c>
      <c r="I180" s="310">
        <f t="shared" ref="I180:R180" si="76">I166</f>
        <v>24292753.623188403</v>
      </c>
      <c r="J180" s="310">
        <f t="shared" si="76"/>
        <v>32853623.188405797</v>
      </c>
      <c r="K180" s="310">
        <f t="shared" si="76"/>
        <v>32853623.188405797</v>
      </c>
      <c r="L180" s="310">
        <f t="shared" si="76"/>
        <v>26720289.855072461</v>
      </c>
      <c r="M180" s="310">
        <f t="shared" si="76"/>
        <v>26720289.855072461</v>
      </c>
      <c r="N180" s="310">
        <f t="shared" si="76"/>
        <v>26720289.855072461</v>
      </c>
      <c r="O180" s="310">
        <f t="shared" si="76"/>
        <v>26720289.855072461</v>
      </c>
      <c r="P180" s="310">
        <f t="shared" si="76"/>
        <v>26720289.855072461</v>
      </c>
      <c r="Q180" s="310">
        <f t="shared" si="76"/>
        <v>26720289.855072461</v>
      </c>
      <c r="R180" s="310">
        <f t="shared" si="76"/>
        <v>10117391.304347826</v>
      </c>
    </row>
    <row r="181" spans="1:18" s="310" customFormat="1" outlineLevel="1" x14ac:dyDescent="0.15">
      <c r="B181" s="310" t="s">
        <v>187</v>
      </c>
      <c r="D181" s="311" t="s">
        <v>173</v>
      </c>
      <c r="E181" s="297">
        <f t="shared" si="74"/>
        <v>205894396.34486821</v>
      </c>
      <c r="F181" s="329" t="s">
        <v>157</v>
      </c>
      <c r="G181" s="310">
        <f>SUM(G179:G180)</f>
        <v>207838072.46376812</v>
      </c>
      <c r="H181" s="310">
        <f>SUM(H179:H180)</f>
        <v>237509051.09570819</v>
      </c>
      <c r="I181" s="310">
        <f t="shared" ref="I181:R181" si="77">SUM(I179:I180)</f>
        <v>247675762.36542201</v>
      </c>
      <c r="J181" s="310">
        <f t="shared" si="77"/>
        <v>261947066.83402121</v>
      </c>
      <c r="K181" s="310">
        <f t="shared" si="77"/>
        <v>263537019.2415415</v>
      </c>
      <c r="L181" s="310">
        <f t="shared" si="77"/>
        <v>254541107.80466822</v>
      </c>
      <c r="M181" s="310">
        <f t="shared" si="77"/>
        <v>241356170.71319452</v>
      </c>
      <c r="N181" s="310">
        <f t="shared" si="77"/>
        <v>223203381.89776331</v>
      </c>
      <c r="O181" s="310">
        <f t="shared" si="77"/>
        <v>198948176.55223796</v>
      </c>
      <c r="P181" s="310">
        <f t="shared" si="77"/>
        <v>166784379.66914806</v>
      </c>
      <c r="Q181" s="310">
        <f t="shared" si="77"/>
        <v>123387154.80617052</v>
      </c>
      <c r="R181" s="310">
        <f t="shared" si="77"/>
        <v>44005412.694774941</v>
      </c>
    </row>
    <row r="182" spans="1:18" s="310" customFormat="1" outlineLevel="1" x14ac:dyDescent="0.15">
      <c r="B182" s="310" t="s">
        <v>188</v>
      </c>
      <c r="D182" s="311" t="s">
        <v>173</v>
      </c>
      <c r="E182" s="297">
        <f t="shared" si="74"/>
        <v>42215250</v>
      </c>
      <c r="F182" s="297">
        <f>SUM(G182:R182)</f>
        <v>506583000</v>
      </c>
      <c r="G182" s="310">
        <f>G181*G178</f>
        <v>8634818.4695092067</v>
      </c>
      <c r="H182" s="310">
        <f>H181*H178</f>
        <v>14126042.35347458</v>
      </c>
      <c r="I182" s="310">
        <f t="shared" ref="I182:R182" si="78">I181*I178</f>
        <v>18582318.719806582</v>
      </c>
      <c r="J182" s="310">
        <f t="shared" si="78"/>
        <v>31263670.780885499</v>
      </c>
      <c r="K182" s="310">
        <f t="shared" si="78"/>
        <v>35716201.291945755</v>
      </c>
      <c r="L182" s="310">
        <f t="shared" si="78"/>
        <v>39905226.94654616</v>
      </c>
      <c r="M182" s="310">
        <f t="shared" si="78"/>
        <v>44873078.670503676</v>
      </c>
      <c r="N182" s="310">
        <f t="shared" si="78"/>
        <v>50975495.20059783</v>
      </c>
      <c r="O182" s="310">
        <f t="shared" si="78"/>
        <v>58884086.738162383</v>
      </c>
      <c r="P182" s="310">
        <f t="shared" si="78"/>
        <v>70117514.718050003</v>
      </c>
      <c r="Q182" s="310">
        <f t="shared" si="78"/>
        <v>89499133.415743411</v>
      </c>
      <c r="R182" s="310">
        <f t="shared" si="78"/>
        <v>44005412.694774941</v>
      </c>
    </row>
    <row r="183" spans="1:18" s="310" customFormat="1" outlineLevel="1" x14ac:dyDescent="0.15">
      <c r="A183" s="332"/>
      <c r="B183" s="332" t="s">
        <v>189</v>
      </c>
      <c r="C183" s="332"/>
      <c r="D183" s="333" t="s">
        <v>173</v>
      </c>
      <c r="E183" s="305">
        <f t="shared" si="74"/>
        <v>163679146.34486821</v>
      </c>
      <c r="F183" s="338" t="s">
        <v>157</v>
      </c>
      <c r="G183" s="332">
        <f>G181-G182</f>
        <v>199203253.99425891</v>
      </c>
      <c r="H183" s="332">
        <f>H181-H182</f>
        <v>223383008.7422336</v>
      </c>
      <c r="I183" s="332">
        <f t="shared" ref="I183:Q183" si="79">I181-I182</f>
        <v>229093443.64561543</v>
      </c>
      <c r="J183" s="332">
        <f t="shared" si="79"/>
        <v>230683396.05313572</v>
      </c>
      <c r="K183" s="332">
        <f t="shared" si="79"/>
        <v>227820817.94959575</v>
      </c>
      <c r="L183" s="332">
        <f t="shared" si="79"/>
        <v>214635880.85812205</v>
      </c>
      <c r="M183" s="332">
        <f t="shared" si="79"/>
        <v>196483092.04269084</v>
      </c>
      <c r="N183" s="332">
        <f t="shared" si="79"/>
        <v>172227886.69716549</v>
      </c>
      <c r="O183" s="332">
        <f t="shared" si="79"/>
        <v>140064089.81407559</v>
      </c>
      <c r="P183" s="332">
        <f t="shared" si="79"/>
        <v>96666864.951098055</v>
      </c>
      <c r="Q183" s="332">
        <f t="shared" si="79"/>
        <v>33888021.390427113</v>
      </c>
      <c r="R183" s="332">
        <f>R181-R182</f>
        <v>0</v>
      </c>
    </row>
    <row r="184" spans="1:18" s="310" customFormat="1" outlineLevel="1" x14ac:dyDescent="0.15">
      <c r="D184" s="311"/>
      <c r="E184" s="311"/>
      <c r="F184" s="297"/>
    </row>
    <row r="185" spans="1:18" s="310" customFormat="1" outlineLevel="1" x14ac:dyDescent="0.15">
      <c r="A185" s="321" t="s">
        <v>22</v>
      </c>
      <c r="D185" s="311" t="s">
        <v>173</v>
      </c>
      <c r="E185" s="297">
        <f t="shared" ref="E185" si="80">IFERROR(AVERAGE(G185:R185),"na")</f>
        <v>134634905.39536884</v>
      </c>
      <c r="F185" s="297">
        <f>SUM(G185:R185)</f>
        <v>1615618864.744426</v>
      </c>
      <c r="G185" s="321">
        <f>G175-G182</f>
        <v>100010630.61088428</v>
      </c>
      <c r="H185" s="321">
        <f t="shared" ref="H185:Q185" si="81">H175-H182</f>
        <v>122183365.87958828</v>
      </c>
      <c r="I185" s="321">
        <f t="shared" si="81"/>
        <v>157753961.93464425</v>
      </c>
      <c r="J185" s="321">
        <f t="shared" si="81"/>
        <v>271004745.22904426</v>
      </c>
      <c r="K185" s="321">
        <f t="shared" si="81"/>
        <v>194969155.100546</v>
      </c>
      <c r="L185" s="321">
        <f t="shared" si="81"/>
        <v>180659450.42555395</v>
      </c>
      <c r="M185" s="321">
        <f t="shared" si="81"/>
        <v>152039656.76885402</v>
      </c>
      <c r="N185" s="321">
        <f t="shared" si="81"/>
        <v>142689998.48722041</v>
      </c>
      <c r="O185" s="321">
        <f t="shared" si="81"/>
        <v>160530661.96538448</v>
      </c>
      <c r="P185" s="321">
        <f t="shared" si="81"/>
        <v>113028745.12675303</v>
      </c>
      <c r="Q185" s="321">
        <f t="shared" si="81"/>
        <v>38829504.104278147</v>
      </c>
      <c r="R185" s="321">
        <f>R175-R182</f>
        <v>-18081010.888324812</v>
      </c>
    </row>
    <row r="186" spans="1:18" s="310" customFormat="1" outlineLevel="1" x14ac:dyDescent="0.15">
      <c r="D186" s="311"/>
      <c r="E186" s="311"/>
      <c r="F186" s="297"/>
    </row>
    <row r="187" spans="1:18" s="310" customFormat="1" outlineLevel="1" x14ac:dyDescent="0.15">
      <c r="A187" s="346" t="s">
        <v>190</v>
      </c>
      <c r="B187" s="346"/>
      <c r="C187" s="346"/>
      <c r="D187" s="347" t="s">
        <v>173</v>
      </c>
      <c r="E187" s="311"/>
      <c r="F187" s="297"/>
    </row>
    <row r="188" spans="1:18" s="310" customFormat="1" outlineLevel="1" x14ac:dyDescent="0.15">
      <c r="A188" s="310" t="s">
        <v>141</v>
      </c>
      <c r="D188" s="311" t="s">
        <v>173</v>
      </c>
      <c r="E188" s="323">
        <f>Orezone!$F$72</f>
        <v>0.26300000000000001</v>
      </c>
      <c r="F188" s="297">
        <f>SUM(G188:R188)</f>
        <v>429663067.29141361</v>
      </c>
      <c r="G188" s="310">
        <f>IF(G185&gt;0,G185*$E$188,0)</f>
        <v>26302795.850662567</v>
      </c>
      <c r="H188" s="310">
        <f t="shared" ref="H188:R188" si="82">IF(H185&gt;0,H185*$E$188,0)</f>
        <v>32134225.226331718</v>
      </c>
      <c r="I188" s="310">
        <f t="shared" si="82"/>
        <v>41489291.988811441</v>
      </c>
      <c r="J188" s="310">
        <f t="shared" si="82"/>
        <v>71274247.995238647</v>
      </c>
      <c r="K188" s="310">
        <f t="shared" si="82"/>
        <v>51276887.791443601</v>
      </c>
      <c r="L188" s="310">
        <f t="shared" si="82"/>
        <v>47513435.461920694</v>
      </c>
      <c r="M188" s="310">
        <f t="shared" si="82"/>
        <v>39986429.730208613</v>
      </c>
      <c r="N188" s="310">
        <f t="shared" si="82"/>
        <v>37527469.602138966</v>
      </c>
      <c r="O188" s="310">
        <f t="shared" si="82"/>
        <v>42219564.096896119</v>
      </c>
      <c r="P188" s="310">
        <f t="shared" si="82"/>
        <v>29726559.968336049</v>
      </c>
      <c r="Q188" s="310">
        <f t="shared" si="82"/>
        <v>10212159.579425152</v>
      </c>
      <c r="R188" s="310">
        <f t="shared" si="82"/>
        <v>0</v>
      </c>
    </row>
    <row r="189" spans="1:18" s="310" customFormat="1" outlineLevel="1" x14ac:dyDescent="0.15">
      <c r="D189" s="311"/>
      <c r="E189" s="311"/>
      <c r="F189" s="297"/>
    </row>
    <row r="190" spans="1:18" s="310" customFormat="1" outlineLevel="1" x14ac:dyDescent="0.15">
      <c r="A190" s="321" t="s">
        <v>191</v>
      </c>
      <c r="D190" s="311" t="s">
        <v>173</v>
      </c>
      <c r="E190" s="340">
        <f t="shared" ref="E190" si="83">IFERROR(AVERAGE(G190:R190),"na")</f>
        <v>98829649.787751064</v>
      </c>
      <c r="F190" s="340">
        <f>SUM(G190:R190)</f>
        <v>1185955797.4530127</v>
      </c>
      <c r="G190" s="321">
        <f>G185-G188</f>
        <v>73707834.76022172</v>
      </c>
      <c r="H190" s="321">
        <f t="shared" ref="H190:R190" si="84">H185-H188</f>
        <v>90049140.653256565</v>
      </c>
      <c r="I190" s="321">
        <f t="shared" si="84"/>
        <v>116264669.94583282</v>
      </c>
      <c r="J190" s="321">
        <f t="shared" si="84"/>
        <v>199730497.2338056</v>
      </c>
      <c r="K190" s="321">
        <f t="shared" si="84"/>
        <v>143692267.30910242</v>
      </c>
      <c r="L190" s="321">
        <f t="shared" si="84"/>
        <v>133146014.96363325</v>
      </c>
      <c r="M190" s="321">
        <f t="shared" si="84"/>
        <v>112053227.03864542</v>
      </c>
      <c r="N190" s="321">
        <f t="shared" si="84"/>
        <v>105162528.88508144</v>
      </c>
      <c r="O190" s="321">
        <f t="shared" si="84"/>
        <v>118311097.86848837</v>
      </c>
      <c r="P190" s="321">
        <f t="shared" si="84"/>
        <v>83302185.158416986</v>
      </c>
      <c r="Q190" s="321">
        <f t="shared" si="84"/>
        <v>28617344.524852995</v>
      </c>
      <c r="R190" s="321">
        <f t="shared" si="84"/>
        <v>-18081010.888324812</v>
      </c>
    </row>
    <row r="191" spans="1:18" s="310" customFormat="1" outlineLevel="1" x14ac:dyDescent="0.15">
      <c r="D191" s="311"/>
      <c r="E191" s="311"/>
      <c r="F191" s="311"/>
    </row>
    <row r="192" spans="1:18" s="310" customFormat="1" outlineLevel="1" x14ac:dyDescent="0.15">
      <c r="A192" s="321" t="s">
        <v>192</v>
      </c>
      <c r="D192" s="311"/>
      <c r="E192" s="311"/>
      <c r="F192" s="311"/>
    </row>
    <row r="193" spans="1:18" s="310" customFormat="1" outlineLevel="1" x14ac:dyDescent="0.15">
      <c r="A193" s="310" t="s">
        <v>193</v>
      </c>
      <c r="D193" s="311"/>
      <c r="E193" s="311"/>
      <c r="F193" s="311"/>
      <c r="G193" s="310">
        <f>(G140/$I$75)*$F$75</f>
        <v>11261057.946977178</v>
      </c>
      <c r="H193" s="310">
        <f t="shared" ref="H193:R193" si="85">(H140/$I$75)*$F$75</f>
        <v>14707281.156109756</v>
      </c>
      <c r="I193" s="310">
        <f t="shared" si="85"/>
        <v>18301153.054762509</v>
      </c>
      <c r="J193" s="310">
        <f t="shared" si="85"/>
        <v>29423865.695711445</v>
      </c>
      <c r="K193" s="310">
        <f t="shared" si="85"/>
        <v>25251142.896676876</v>
      </c>
      <c r="L193" s="310">
        <f t="shared" si="85"/>
        <v>24661187.83865346</v>
      </c>
      <c r="M193" s="310">
        <f t="shared" si="85"/>
        <v>23282467.819257226</v>
      </c>
      <c r="N193" s="310">
        <f t="shared" si="85"/>
        <v>23093179.463003099</v>
      </c>
      <c r="O193" s="310">
        <f t="shared" si="85"/>
        <v>24594156.147102706</v>
      </c>
      <c r="P193" s="310">
        <f t="shared" si="85"/>
        <v>22479991.830067217</v>
      </c>
      <c r="Q193" s="310">
        <f t="shared" si="85"/>
        <v>19284560.624891959</v>
      </c>
      <c r="R193" s="310">
        <f t="shared" si="85"/>
        <v>5980670.4637977341</v>
      </c>
    </row>
    <row r="194" spans="1:18" s="310" customFormat="1" outlineLevel="1" x14ac:dyDescent="0.15">
      <c r="A194" s="310" t="s">
        <v>194</v>
      </c>
      <c r="D194" s="311"/>
      <c r="E194" s="311"/>
      <c r="F194" s="311"/>
      <c r="G194" s="310">
        <f>(G158/$I$75)*$F$77</f>
        <v>4632219.1780821914</v>
      </c>
      <c r="H194" s="310">
        <f t="shared" ref="H194:R194" si="86">(H158/$I$75)*$F$77</f>
        <v>6355835.6164383562</v>
      </c>
      <c r="I194" s="310">
        <f t="shared" si="86"/>
        <v>7540821.9178082189</v>
      </c>
      <c r="J194" s="310">
        <f t="shared" si="86"/>
        <v>11095780.82191781</v>
      </c>
      <c r="K194" s="310">
        <f t="shared" si="86"/>
        <v>11095780.82191781</v>
      </c>
      <c r="L194" s="310">
        <f t="shared" si="86"/>
        <v>11095780.82191781</v>
      </c>
      <c r="M194" s="310">
        <f t="shared" si="86"/>
        <v>11095780.82191781</v>
      </c>
      <c r="N194" s="310">
        <f t="shared" si="86"/>
        <v>11095780.82191781</v>
      </c>
      <c r="O194" s="310">
        <f t="shared" si="86"/>
        <v>11095780.82191781</v>
      </c>
      <c r="P194" s="310">
        <f t="shared" si="86"/>
        <v>11095780.82191781</v>
      </c>
      <c r="Q194" s="310">
        <f t="shared" si="86"/>
        <v>11095780.82191781</v>
      </c>
      <c r="R194" s="310">
        <f t="shared" si="86"/>
        <v>4201315.0684931511</v>
      </c>
    </row>
    <row r="195" spans="1:18" s="310" customFormat="1" outlineLevel="1" x14ac:dyDescent="0.15">
      <c r="A195" s="310" t="s">
        <v>195</v>
      </c>
      <c r="D195" s="311"/>
      <c r="E195" s="311"/>
      <c r="F195" s="311"/>
      <c r="G195" s="310">
        <f>G158/$I$75*$F$76</f>
        <v>6948328.7671232875</v>
      </c>
      <c r="H195" s="310">
        <f t="shared" ref="H195:R195" si="87">H158/$I$75*$F$76</f>
        <v>9533753.4246575348</v>
      </c>
      <c r="I195" s="310">
        <f t="shared" si="87"/>
        <v>11311232.876712328</v>
      </c>
      <c r="J195" s="310">
        <f t="shared" si="87"/>
        <v>16643671.232876714</v>
      </c>
      <c r="K195" s="310">
        <f t="shared" si="87"/>
        <v>16643671.232876714</v>
      </c>
      <c r="L195" s="310">
        <f t="shared" si="87"/>
        <v>16643671.232876714</v>
      </c>
      <c r="M195" s="310">
        <f t="shared" si="87"/>
        <v>16643671.232876714</v>
      </c>
      <c r="N195" s="310">
        <f t="shared" si="87"/>
        <v>16643671.232876714</v>
      </c>
      <c r="O195" s="310">
        <f t="shared" si="87"/>
        <v>16643671.232876714</v>
      </c>
      <c r="P195" s="310">
        <f t="shared" si="87"/>
        <v>16643671.232876714</v>
      </c>
      <c r="Q195" s="310">
        <f t="shared" si="87"/>
        <v>16643671.232876714</v>
      </c>
      <c r="R195" s="310">
        <f t="shared" si="87"/>
        <v>6301972.6027397262</v>
      </c>
    </row>
    <row r="196" spans="1:18" s="310" customFormat="1" outlineLevel="1" x14ac:dyDescent="0.15">
      <c r="A196" s="332" t="s">
        <v>196</v>
      </c>
      <c r="B196" s="332"/>
      <c r="C196" s="332"/>
      <c r="D196" s="333"/>
      <c r="E196" s="333"/>
      <c r="F196" s="348">
        <v>-2000000</v>
      </c>
      <c r="G196" s="332">
        <f>G193+G194-G195</f>
        <v>8944948.3579360824</v>
      </c>
      <c r="H196" s="332">
        <f t="shared" ref="H196:R196" si="88">H193+H194-H195</f>
        <v>11529363.347890578</v>
      </c>
      <c r="I196" s="332">
        <f t="shared" si="88"/>
        <v>14530742.095858401</v>
      </c>
      <c r="J196" s="332">
        <f t="shared" si="88"/>
        <v>23875975.284752537</v>
      </c>
      <c r="K196" s="332">
        <f t="shared" si="88"/>
        <v>19703252.485717971</v>
      </c>
      <c r="L196" s="332">
        <f t="shared" si="88"/>
        <v>19113297.427694555</v>
      </c>
      <c r="M196" s="332">
        <f t="shared" si="88"/>
        <v>17734577.408298317</v>
      </c>
      <c r="N196" s="332">
        <f t="shared" si="88"/>
        <v>17545289.052044194</v>
      </c>
      <c r="O196" s="332">
        <f t="shared" si="88"/>
        <v>19046265.736143801</v>
      </c>
      <c r="P196" s="332">
        <f t="shared" si="88"/>
        <v>16932101.419108313</v>
      </c>
      <c r="Q196" s="332">
        <f t="shared" si="88"/>
        <v>13736670.213933054</v>
      </c>
      <c r="R196" s="332">
        <f t="shared" si="88"/>
        <v>3880012.929551159</v>
      </c>
    </row>
    <row r="197" spans="1:18" s="310" customFormat="1" outlineLevel="1" x14ac:dyDescent="0.15">
      <c r="D197" s="311"/>
      <c r="E197" s="311"/>
      <c r="F197" s="311"/>
    </row>
    <row r="198" spans="1:18" s="310" customFormat="1" outlineLevel="1" x14ac:dyDescent="0.15">
      <c r="A198" s="310" t="s">
        <v>197</v>
      </c>
      <c r="D198" s="311"/>
      <c r="E198" s="311"/>
      <c r="F198" s="311"/>
      <c r="G198" s="310">
        <f>G196-F196</f>
        <v>10944948.357936082</v>
      </c>
      <c r="H198" s="310">
        <f t="shared" ref="H198:R198" si="89">H196-G196</f>
        <v>2584414.9899544958</v>
      </c>
      <c r="I198" s="310">
        <f t="shared" si="89"/>
        <v>3001378.7479678225</v>
      </c>
      <c r="J198" s="310">
        <f t="shared" si="89"/>
        <v>9345233.1888941359</v>
      </c>
      <c r="K198" s="310">
        <f t="shared" si="89"/>
        <v>-4172722.7990345657</v>
      </c>
      <c r="L198" s="310">
        <f t="shared" si="89"/>
        <v>-589955.05802341551</v>
      </c>
      <c r="M198" s="310">
        <f t="shared" si="89"/>
        <v>-1378720.019396238</v>
      </c>
      <c r="N198" s="310">
        <f t="shared" si="89"/>
        <v>-189288.35625412315</v>
      </c>
      <c r="O198" s="310">
        <f t="shared" si="89"/>
        <v>1500976.6840996072</v>
      </c>
      <c r="P198" s="310">
        <f t="shared" si="89"/>
        <v>-2114164.3170354888</v>
      </c>
      <c r="Q198" s="310">
        <f t="shared" si="89"/>
        <v>-3195431.2051752582</v>
      </c>
      <c r="R198" s="310">
        <f t="shared" si="89"/>
        <v>-9856657.2843818963</v>
      </c>
    </row>
    <row r="199" spans="1:18" s="310" customFormat="1" x14ac:dyDescent="0.15">
      <c r="D199" s="311"/>
      <c r="E199" s="311"/>
      <c r="F199" s="311"/>
    </row>
    <row r="200" spans="1:18" s="237" customFormat="1" ht="18.75" customHeight="1" x14ac:dyDescent="0.2">
      <c r="A200" s="235" t="s">
        <v>198</v>
      </c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</row>
    <row r="201" spans="1:18" s="310" customFormat="1" outlineLevel="1" x14ac:dyDescent="0.15">
      <c r="D201" s="311"/>
      <c r="E201" s="311"/>
      <c r="F201" s="311"/>
    </row>
    <row r="202" spans="1:18" s="310" customFormat="1" outlineLevel="1" x14ac:dyDescent="0.15">
      <c r="A202" s="321" t="s">
        <v>199</v>
      </c>
      <c r="D202" s="311"/>
      <c r="E202" s="311"/>
      <c r="F202" s="311"/>
    </row>
    <row r="203" spans="1:18" s="310" customFormat="1" outlineLevel="1" x14ac:dyDescent="0.15">
      <c r="A203" s="310" t="s">
        <v>22</v>
      </c>
      <c r="D203" s="311" t="s">
        <v>173</v>
      </c>
      <c r="E203" s="297">
        <f t="shared" ref="E203" si="90">IFERROR(AVERAGE(G203:R203),"na")</f>
        <v>134634905.39536884</v>
      </c>
      <c r="F203" s="297">
        <f>SUM(G203:R203)</f>
        <v>1615618864.744426</v>
      </c>
      <c r="G203" s="310">
        <f>G185</f>
        <v>100010630.61088428</v>
      </c>
      <c r="H203" s="310">
        <f t="shared" ref="H203:R203" si="91">H185</f>
        <v>122183365.87958828</v>
      </c>
      <c r="I203" s="310">
        <f t="shared" si="91"/>
        <v>157753961.93464425</v>
      </c>
      <c r="J203" s="310">
        <f t="shared" si="91"/>
        <v>271004745.22904426</v>
      </c>
      <c r="K203" s="310">
        <f t="shared" si="91"/>
        <v>194969155.100546</v>
      </c>
      <c r="L203" s="310">
        <f t="shared" si="91"/>
        <v>180659450.42555395</v>
      </c>
      <c r="M203" s="310">
        <f t="shared" si="91"/>
        <v>152039656.76885402</v>
      </c>
      <c r="N203" s="310">
        <f t="shared" si="91"/>
        <v>142689998.48722041</v>
      </c>
      <c r="O203" s="310">
        <f t="shared" si="91"/>
        <v>160530661.96538448</v>
      </c>
      <c r="P203" s="310">
        <f t="shared" si="91"/>
        <v>113028745.12675303</v>
      </c>
      <c r="Q203" s="310">
        <f t="shared" si="91"/>
        <v>38829504.104278147</v>
      </c>
      <c r="R203" s="310">
        <f t="shared" si="91"/>
        <v>-18081010.888324812</v>
      </c>
    </row>
    <row r="204" spans="1:18" s="310" customFormat="1" outlineLevel="1" x14ac:dyDescent="0.15">
      <c r="A204" s="310" t="s">
        <v>200</v>
      </c>
      <c r="D204" s="311"/>
      <c r="E204" s="311"/>
      <c r="F204" s="311"/>
    </row>
    <row r="205" spans="1:18" s="310" customFormat="1" outlineLevel="1" x14ac:dyDescent="0.15">
      <c r="A205" s="310" t="s">
        <v>201</v>
      </c>
      <c r="B205" s="310" t="s">
        <v>184</v>
      </c>
      <c r="D205" s="311" t="s">
        <v>173</v>
      </c>
      <c r="E205" s="311" t="s">
        <v>157</v>
      </c>
      <c r="F205" s="297">
        <f t="shared" ref="F205:F210" si="92">SUM(G205:R205)</f>
        <v>506583000</v>
      </c>
      <c r="G205" s="310">
        <f>G182</f>
        <v>8634818.4695092067</v>
      </c>
      <c r="H205" s="310">
        <f t="shared" ref="H205:R205" si="93">H182</f>
        <v>14126042.35347458</v>
      </c>
      <c r="I205" s="310">
        <f t="shared" si="93"/>
        <v>18582318.719806582</v>
      </c>
      <c r="J205" s="310">
        <f t="shared" si="93"/>
        <v>31263670.780885499</v>
      </c>
      <c r="K205" s="310">
        <f t="shared" si="93"/>
        <v>35716201.291945755</v>
      </c>
      <c r="L205" s="310">
        <f t="shared" si="93"/>
        <v>39905226.94654616</v>
      </c>
      <c r="M205" s="310">
        <f t="shared" si="93"/>
        <v>44873078.670503676</v>
      </c>
      <c r="N205" s="310">
        <f t="shared" si="93"/>
        <v>50975495.20059783</v>
      </c>
      <c r="O205" s="310">
        <f t="shared" si="93"/>
        <v>58884086.738162383</v>
      </c>
      <c r="P205" s="310">
        <f t="shared" si="93"/>
        <v>70117514.718050003</v>
      </c>
      <c r="Q205" s="310">
        <f t="shared" si="93"/>
        <v>89499133.415743411</v>
      </c>
      <c r="R205" s="310">
        <f t="shared" si="93"/>
        <v>44005412.694774941</v>
      </c>
    </row>
    <row r="206" spans="1:18" s="310" customFormat="1" outlineLevel="1" x14ac:dyDescent="0.15">
      <c r="A206" s="310" t="s">
        <v>202</v>
      </c>
      <c r="B206" s="310" t="s">
        <v>203</v>
      </c>
      <c r="D206" s="311" t="s">
        <v>173</v>
      </c>
      <c r="E206" s="297">
        <f t="shared" ref="E206:E210" si="94">IFERROR(AVERAGE(G206:R206),"na")</f>
        <v>-27183333.333333328</v>
      </c>
      <c r="F206" s="297">
        <f t="shared" si="92"/>
        <v>-326199999.99999994</v>
      </c>
      <c r="G206" s="310">
        <f>-G180</f>
        <v>-27455072.463768113</v>
      </c>
      <c r="H206" s="310">
        <f t="shared" ref="H206:R206" si="95">-H180</f>
        <v>-38305797.101449274</v>
      </c>
      <c r="I206" s="310">
        <f t="shared" si="95"/>
        <v>-24292753.623188403</v>
      </c>
      <c r="J206" s="310">
        <f t="shared" si="95"/>
        <v>-32853623.188405797</v>
      </c>
      <c r="K206" s="310">
        <f t="shared" si="95"/>
        <v>-32853623.188405797</v>
      </c>
      <c r="L206" s="310">
        <f t="shared" si="95"/>
        <v>-26720289.855072461</v>
      </c>
      <c r="M206" s="310">
        <f t="shared" si="95"/>
        <v>-26720289.855072461</v>
      </c>
      <c r="N206" s="310">
        <f t="shared" si="95"/>
        <v>-26720289.855072461</v>
      </c>
      <c r="O206" s="310">
        <f t="shared" si="95"/>
        <v>-26720289.855072461</v>
      </c>
      <c r="P206" s="310">
        <f t="shared" si="95"/>
        <v>-26720289.855072461</v>
      </c>
      <c r="Q206" s="310">
        <f t="shared" si="95"/>
        <v>-26720289.855072461</v>
      </c>
      <c r="R206" s="310">
        <f t="shared" si="95"/>
        <v>-10117391.304347826</v>
      </c>
    </row>
    <row r="207" spans="1:18" s="310" customFormat="1" outlineLevel="1" x14ac:dyDescent="0.15">
      <c r="A207" s="310" t="s">
        <v>202</v>
      </c>
      <c r="B207" s="310" t="s">
        <v>141</v>
      </c>
      <c r="D207" s="311" t="s">
        <v>173</v>
      </c>
      <c r="E207" s="297">
        <f t="shared" si="94"/>
        <v>-35805255.607617803</v>
      </c>
      <c r="F207" s="297">
        <f>SUM(G207:R207)</f>
        <v>-429663067.29141361</v>
      </c>
      <c r="G207" s="310">
        <f>-G185*$E$188</f>
        <v>-26302795.850662567</v>
      </c>
      <c r="H207" s="310">
        <f t="shared" ref="H207:Q207" si="96">-H185*$E$188</f>
        <v>-32134225.226331718</v>
      </c>
      <c r="I207" s="310">
        <f t="shared" si="96"/>
        <v>-41489291.988811441</v>
      </c>
      <c r="J207" s="310">
        <f t="shared" si="96"/>
        <v>-71274247.995238647</v>
      </c>
      <c r="K207" s="310">
        <f t="shared" si="96"/>
        <v>-51276887.791443601</v>
      </c>
      <c r="L207" s="310">
        <f t="shared" si="96"/>
        <v>-47513435.461920694</v>
      </c>
      <c r="M207" s="310">
        <f t="shared" si="96"/>
        <v>-39986429.730208613</v>
      </c>
      <c r="N207" s="310">
        <f t="shared" si="96"/>
        <v>-37527469.602138966</v>
      </c>
      <c r="O207" s="310">
        <f t="shared" si="96"/>
        <v>-42219564.096896119</v>
      </c>
      <c r="P207" s="310">
        <f t="shared" si="96"/>
        <v>-29726559.968336049</v>
      </c>
      <c r="Q207" s="310">
        <f t="shared" si="96"/>
        <v>-10212159.579425152</v>
      </c>
      <c r="R207" s="310">
        <v>0</v>
      </c>
    </row>
    <row r="208" spans="1:18" s="310" customFormat="1" outlineLevel="1" x14ac:dyDescent="0.15">
      <c r="A208" s="310" t="s">
        <v>202</v>
      </c>
      <c r="B208" s="310" t="s">
        <v>204</v>
      </c>
      <c r="D208" s="311" t="s">
        <v>173</v>
      </c>
      <c r="E208" s="297">
        <f t="shared" si="94"/>
        <v>-490001.07746259653</v>
      </c>
      <c r="F208" s="297">
        <f t="shared" si="92"/>
        <v>-5880012.9295511581</v>
      </c>
      <c r="G208" s="310">
        <f>-G198</f>
        <v>-10944948.357936082</v>
      </c>
      <c r="H208" s="310">
        <f t="shared" ref="H208:R208" si="97">-H198</f>
        <v>-2584414.9899544958</v>
      </c>
      <c r="I208" s="310">
        <f t="shared" si="97"/>
        <v>-3001378.7479678225</v>
      </c>
      <c r="J208" s="310">
        <f t="shared" si="97"/>
        <v>-9345233.1888941359</v>
      </c>
      <c r="K208" s="310">
        <f t="shared" si="97"/>
        <v>4172722.7990345657</v>
      </c>
      <c r="L208" s="310">
        <f t="shared" si="97"/>
        <v>589955.05802341551</v>
      </c>
      <c r="M208" s="310">
        <f t="shared" si="97"/>
        <v>1378720.019396238</v>
      </c>
      <c r="N208" s="310">
        <f t="shared" si="97"/>
        <v>189288.35625412315</v>
      </c>
      <c r="O208" s="310">
        <f t="shared" si="97"/>
        <v>-1500976.6840996072</v>
      </c>
      <c r="P208" s="310">
        <f t="shared" si="97"/>
        <v>2114164.3170354888</v>
      </c>
      <c r="Q208" s="310">
        <f t="shared" si="97"/>
        <v>3195431.2051752582</v>
      </c>
      <c r="R208" s="310">
        <f t="shared" si="97"/>
        <v>9856657.2843818963</v>
      </c>
    </row>
    <row r="209" spans="1:18" s="310" customFormat="1" outlineLevel="1" x14ac:dyDescent="0.15">
      <c r="A209" s="310" t="s">
        <v>202</v>
      </c>
      <c r="B209" s="310" t="s">
        <v>134</v>
      </c>
      <c r="D209" s="311" t="s">
        <v>173</v>
      </c>
      <c r="E209" s="297">
        <f t="shared" si="94"/>
        <v>-1666666.6666666667</v>
      </c>
      <c r="F209" s="297">
        <f t="shared" si="92"/>
        <v>-20000000</v>
      </c>
      <c r="G209" s="310">
        <f>IF(G2=MAX(G2:R2),-$F$68,0)</f>
        <v>0</v>
      </c>
      <c r="H209" s="310">
        <f t="shared" ref="H209:R209" si="98">IF(H2=MAX(H2:S2),-$F$68,0)</f>
        <v>0</v>
      </c>
      <c r="I209" s="310">
        <f t="shared" si="98"/>
        <v>0</v>
      </c>
      <c r="J209" s="310">
        <f t="shared" si="98"/>
        <v>0</v>
      </c>
      <c r="K209" s="310">
        <f t="shared" si="98"/>
        <v>0</v>
      </c>
      <c r="L209" s="310">
        <f t="shared" si="98"/>
        <v>0</v>
      </c>
      <c r="M209" s="310">
        <f t="shared" si="98"/>
        <v>0</v>
      </c>
      <c r="N209" s="310">
        <f t="shared" si="98"/>
        <v>0</v>
      </c>
      <c r="O209" s="310">
        <f t="shared" si="98"/>
        <v>0</v>
      </c>
      <c r="P209" s="310">
        <f t="shared" si="98"/>
        <v>0</v>
      </c>
      <c r="Q209" s="310">
        <f t="shared" si="98"/>
        <v>0</v>
      </c>
      <c r="R209" s="310">
        <f t="shared" si="98"/>
        <v>-20000000</v>
      </c>
    </row>
    <row r="210" spans="1:18" s="310" customFormat="1" outlineLevel="1" x14ac:dyDescent="0.15">
      <c r="A210" s="332"/>
      <c r="B210" s="332" t="s">
        <v>205</v>
      </c>
      <c r="C210" s="332"/>
      <c r="D210" s="333" t="s">
        <v>173</v>
      </c>
      <c r="E210" s="305">
        <f t="shared" si="94"/>
        <v>-22930006.68508039</v>
      </c>
      <c r="F210" s="305">
        <f t="shared" si="92"/>
        <v>-275160080.22096467</v>
      </c>
      <c r="G210" s="332">
        <f>SUM(G205:G209)</f>
        <v>-56067998.202857554</v>
      </c>
      <c r="H210" s="332">
        <f>SUM(H205:H209)</f>
        <v>-58898394.964260906</v>
      </c>
      <c r="I210" s="332">
        <f t="shared" ref="I210:R210" si="99">SUM(I205:I209)</f>
        <v>-50201105.640161082</v>
      </c>
      <c r="J210" s="332">
        <f t="shared" si="99"/>
        <v>-82209433.591653079</v>
      </c>
      <c r="K210" s="332">
        <f t="shared" si="99"/>
        <v>-44241586.888869077</v>
      </c>
      <c r="L210" s="332">
        <f t="shared" si="99"/>
        <v>-33738543.312423579</v>
      </c>
      <c r="M210" s="332">
        <f t="shared" si="99"/>
        <v>-20454920.89538116</v>
      </c>
      <c r="N210" s="332">
        <f t="shared" si="99"/>
        <v>-13082975.900359474</v>
      </c>
      <c r="O210" s="332">
        <f t="shared" si="99"/>
        <v>-11556743.897905804</v>
      </c>
      <c r="P210" s="332">
        <f t="shared" si="99"/>
        <v>15784829.211676981</v>
      </c>
      <c r="Q210" s="332">
        <f t="shared" si="99"/>
        <v>55762115.186421059</v>
      </c>
      <c r="R210" s="332">
        <f t="shared" si="99"/>
        <v>23744678.674809009</v>
      </c>
    </row>
    <row r="211" spans="1:18" s="310" customFormat="1" outlineLevel="1" x14ac:dyDescent="0.15">
      <c r="D211" s="311"/>
      <c r="E211" s="311"/>
      <c r="F211" s="311"/>
    </row>
    <row r="212" spans="1:18" s="310" customFormat="1" outlineLevel="1" x14ac:dyDescent="0.15">
      <c r="A212" s="321" t="s">
        <v>199</v>
      </c>
      <c r="D212" s="311"/>
      <c r="E212" s="297">
        <f t="shared" ref="E212" si="100">IFERROR(AVERAGE(G212:R212),"na")</f>
        <v>111704898.71028847</v>
      </c>
      <c r="F212" s="297">
        <f>SUM(G212:R212)</f>
        <v>1340458784.5234616</v>
      </c>
      <c r="G212" s="321">
        <f>G203+G210</f>
        <v>43942632.408026725</v>
      </c>
      <c r="H212" s="321">
        <f t="shared" ref="H212:R212" si="101">H203+H210</f>
        <v>63284970.91532737</v>
      </c>
      <c r="I212" s="321">
        <f t="shared" si="101"/>
        <v>107552856.29448317</v>
      </c>
      <c r="J212" s="321">
        <f t="shared" si="101"/>
        <v>188795311.63739118</v>
      </c>
      <c r="K212" s="321">
        <f t="shared" si="101"/>
        <v>150727568.21167693</v>
      </c>
      <c r="L212" s="321">
        <f t="shared" si="101"/>
        <v>146920907.11313036</v>
      </c>
      <c r="M212" s="321">
        <f t="shared" si="101"/>
        <v>131584735.87347287</v>
      </c>
      <c r="N212" s="321">
        <f t="shared" si="101"/>
        <v>129607022.58686092</v>
      </c>
      <c r="O212" s="321">
        <f t="shared" si="101"/>
        <v>148973918.06747869</v>
      </c>
      <c r="P212" s="321">
        <f t="shared" si="101"/>
        <v>128813574.33843002</v>
      </c>
      <c r="Q212" s="321">
        <f t="shared" si="101"/>
        <v>94591619.290699214</v>
      </c>
      <c r="R212" s="321">
        <f t="shared" si="101"/>
        <v>5663667.7864841968</v>
      </c>
    </row>
    <row r="213" spans="1:18" s="310" customFormat="1" outlineLevel="1" x14ac:dyDescent="0.15">
      <c r="D213" s="311"/>
      <c r="E213" s="311"/>
      <c r="F213" s="311"/>
    </row>
    <row r="214" spans="1:18" s="310" customFormat="1" outlineLevel="1" x14ac:dyDescent="0.15">
      <c r="A214" s="310" t="s">
        <v>206</v>
      </c>
      <c r="D214" s="349">
        <f>F81</f>
        <v>0.14330000000000001</v>
      </c>
      <c r="E214" s="329" t="s">
        <v>157</v>
      </c>
      <c r="F214" s="329" t="s">
        <v>157</v>
      </c>
      <c r="G214" s="350"/>
      <c r="H214" s="350"/>
      <c r="I214" s="350"/>
      <c r="J214" s="350"/>
      <c r="K214" s="350"/>
      <c r="L214" s="350"/>
      <c r="M214" s="350"/>
      <c r="N214" s="350"/>
      <c r="O214" s="350"/>
      <c r="P214" s="350"/>
      <c r="Q214" s="350"/>
      <c r="R214" s="350"/>
    </row>
    <row r="215" spans="1:18" s="310" customFormat="1" outlineLevel="1" x14ac:dyDescent="0.15">
      <c r="D215" s="311"/>
      <c r="E215" s="311"/>
      <c r="F215" s="311"/>
    </row>
    <row r="216" spans="1:18" s="310" customFormat="1" outlineLevel="1" x14ac:dyDescent="0.15">
      <c r="A216" s="321" t="s">
        <v>207</v>
      </c>
      <c r="B216" s="321"/>
      <c r="C216" s="321"/>
      <c r="D216" s="311" t="s">
        <v>173</v>
      </c>
      <c r="E216" s="322"/>
    </row>
    <row r="217" spans="1:18" s="310" customFormat="1" outlineLevel="1" x14ac:dyDescent="0.15">
      <c r="A217" s="351" t="s">
        <v>302</v>
      </c>
      <c r="B217" s="352"/>
      <c r="C217" s="353"/>
      <c r="D217" s="311"/>
      <c r="E217" s="354">
        <f>XNPV(D214,H217:R217,H1:R1)</f>
        <v>746170712.35004139</v>
      </c>
      <c r="F217" s="321">
        <v>0</v>
      </c>
      <c r="G217" s="321">
        <f>G212</f>
        <v>43942632.408026725</v>
      </c>
      <c r="H217" s="321">
        <f t="shared" ref="H217:R217" si="102">H212</f>
        <v>63284970.91532737</v>
      </c>
      <c r="I217" s="321">
        <f t="shared" si="102"/>
        <v>107552856.29448317</v>
      </c>
      <c r="J217" s="321">
        <f t="shared" si="102"/>
        <v>188795311.63739118</v>
      </c>
      <c r="K217" s="321">
        <f t="shared" si="102"/>
        <v>150727568.21167693</v>
      </c>
      <c r="L217" s="321">
        <f t="shared" si="102"/>
        <v>146920907.11313036</v>
      </c>
      <c r="M217" s="321">
        <f t="shared" si="102"/>
        <v>131584735.87347287</v>
      </c>
      <c r="N217" s="321">
        <f t="shared" si="102"/>
        <v>129607022.58686092</v>
      </c>
      <c r="O217" s="321">
        <f t="shared" si="102"/>
        <v>148973918.06747869</v>
      </c>
      <c r="P217" s="321">
        <f t="shared" si="102"/>
        <v>128813574.33843002</v>
      </c>
      <c r="Q217" s="321">
        <f t="shared" si="102"/>
        <v>94591619.290699214</v>
      </c>
      <c r="R217" s="321">
        <f t="shared" si="102"/>
        <v>5663667.7864841968</v>
      </c>
    </row>
    <row r="218" spans="1:18" s="310" customFormat="1" outlineLevel="1" x14ac:dyDescent="0.15">
      <c r="A218" s="310" t="s">
        <v>209</v>
      </c>
      <c r="C218" s="311"/>
      <c r="D218" s="311"/>
      <c r="E218" s="355"/>
    </row>
    <row r="219" spans="1:18" s="310" customFormat="1" outlineLevel="1" x14ac:dyDescent="0.15">
      <c r="C219" s="311"/>
      <c r="D219" s="311"/>
      <c r="E219" s="322"/>
    </row>
    <row r="220" spans="1:18" s="310" customFormat="1" outlineLevel="1" x14ac:dyDescent="0.15">
      <c r="A220" s="310" t="s">
        <v>210</v>
      </c>
      <c r="C220" s="356" t="s">
        <v>211</v>
      </c>
      <c r="D220" s="311"/>
      <c r="E220" s="321"/>
      <c r="F220" s="321"/>
      <c r="G220" s="321"/>
    </row>
    <row r="221" spans="1:18" s="310" customFormat="1" outlineLevel="1" x14ac:dyDescent="0.15">
      <c r="C221" s="356" t="s">
        <v>212</v>
      </c>
      <c r="D221" s="311"/>
      <c r="E221" s="357"/>
      <c r="F221" s="321"/>
      <c r="G221" s="321"/>
      <c r="H221" s="321"/>
      <c r="I221" s="321"/>
      <c r="J221" s="321"/>
      <c r="K221" s="321"/>
      <c r="L221" s="321"/>
      <c r="M221" s="321"/>
      <c r="N221" s="321"/>
      <c r="O221" s="321"/>
      <c r="P221" s="321"/>
      <c r="Q221" s="321"/>
      <c r="R221" s="321"/>
    </row>
    <row r="222" spans="1:18" s="310" customFormat="1" outlineLevel="1" x14ac:dyDescent="0.15">
      <c r="A222" s="332" t="s">
        <v>213</v>
      </c>
      <c r="B222" s="332"/>
      <c r="C222" s="358" t="s">
        <v>214</v>
      </c>
      <c r="D222" s="333"/>
      <c r="E222" s="359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</row>
    <row r="223" spans="1:18" s="310" customFormat="1" outlineLevel="1" x14ac:dyDescent="0.15">
      <c r="D223" s="311"/>
      <c r="E223" s="311"/>
      <c r="F223" s="322"/>
    </row>
    <row r="224" spans="1:18" s="310" customFormat="1" outlineLevel="1" x14ac:dyDescent="0.15">
      <c r="A224" s="321" t="s">
        <v>215</v>
      </c>
      <c r="D224" s="311"/>
      <c r="E224" s="311"/>
      <c r="F224" s="311"/>
    </row>
    <row r="225" spans="1:18" s="310" customFormat="1" outlineLevel="1" x14ac:dyDescent="0.15">
      <c r="B225" s="310" t="s">
        <v>211</v>
      </c>
      <c r="D225" s="311"/>
      <c r="E225" s="311"/>
      <c r="F225" s="311"/>
    </row>
    <row r="226" spans="1:18" s="310" customFormat="1" outlineLevel="1" x14ac:dyDescent="0.15">
      <c r="B226" s="310" t="s">
        <v>216</v>
      </c>
      <c r="D226" s="311"/>
      <c r="E226" s="311"/>
      <c r="F226" s="311"/>
    </row>
    <row r="227" spans="1:18" s="310" customFormat="1" outlineLevel="1" x14ac:dyDescent="0.15">
      <c r="A227" s="332"/>
      <c r="B227" s="332" t="s">
        <v>64</v>
      </c>
      <c r="C227" s="332"/>
      <c r="D227" s="333"/>
      <c r="E227" s="333"/>
      <c r="F227" s="333"/>
      <c r="G227" s="332"/>
      <c r="H227" s="332"/>
      <c r="I227" s="332"/>
      <c r="J227" s="332"/>
      <c r="K227" s="332"/>
      <c r="L227" s="332"/>
      <c r="M227" s="332"/>
      <c r="N227" s="332"/>
      <c r="O227" s="332"/>
      <c r="P227" s="332"/>
      <c r="Q227" s="332"/>
      <c r="R227" s="332"/>
    </row>
    <row r="228" spans="1:18" s="310" customFormat="1" outlineLevel="1" x14ac:dyDescent="0.15">
      <c r="D228" s="311"/>
      <c r="E228" s="311"/>
      <c r="F228" s="311"/>
    </row>
    <row r="229" spans="1:18" s="310" customFormat="1" outlineLevel="1" x14ac:dyDescent="0.15">
      <c r="B229" s="310" t="s">
        <v>217</v>
      </c>
      <c r="D229" s="311"/>
      <c r="E229" s="311"/>
      <c r="F229" s="311"/>
    </row>
    <row r="230" spans="1:18" s="310" customFormat="1" outlineLevel="1" x14ac:dyDescent="0.15">
      <c r="B230" s="310" t="s">
        <v>218</v>
      </c>
      <c r="D230" s="311"/>
      <c r="E230" s="360"/>
    </row>
    <row r="231" spans="1:18" s="310" customFormat="1" outlineLevel="1" x14ac:dyDescent="0.15">
      <c r="D231" s="311"/>
      <c r="E231" s="311"/>
      <c r="F231" s="311"/>
      <c r="I231" s="361"/>
      <c r="J231" s="361"/>
    </row>
    <row r="232" spans="1:18" s="310" customFormat="1" outlineLevel="1" x14ac:dyDescent="0.15">
      <c r="A232" s="321" t="s">
        <v>12</v>
      </c>
      <c r="D232" s="311"/>
      <c r="E232" s="311"/>
      <c r="F232" s="311"/>
      <c r="I232" s="361"/>
      <c r="J232" s="361"/>
    </row>
    <row r="233" spans="1:18" s="310" customFormat="1" outlineLevel="1" x14ac:dyDescent="0.15">
      <c r="A233" s="310" t="s">
        <v>219</v>
      </c>
      <c r="D233" s="311"/>
      <c r="E233" s="311">
        <f>E217</f>
        <v>746170712.35004139</v>
      </c>
      <c r="F233" s="311"/>
      <c r="I233" s="361"/>
      <c r="J233" s="361"/>
    </row>
    <row r="234" spans="1:18" s="310" customFormat="1" outlineLevel="1" x14ac:dyDescent="0.15">
      <c r="A234" s="310" t="s">
        <v>220</v>
      </c>
      <c r="D234" s="311"/>
      <c r="E234" s="311">
        <v>1000000</v>
      </c>
      <c r="F234" s="311"/>
      <c r="I234" s="361"/>
      <c r="J234" s="361"/>
    </row>
    <row r="235" spans="1:18" s="310" customFormat="1" outlineLevel="1" x14ac:dyDescent="0.15">
      <c r="A235" s="310" t="s">
        <v>221</v>
      </c>
      <c r="D235" s="311"/>
      <c r="E235" s="311">
        <v>11800000</v>
      </c>
      <c r="F235" s="311"/>
      <c r="I235" s="361"/>
      <c r="J235" s="361"/>
    </row>
    <row r="236" spans="1:18" s="310" customFormat="1" outlineLevel="1" x14ac:dyDescent="0.15">
      <c r="A236" s="310" t="s">
        <v>222</v>
      </c>
      <c r="D236" s="311"/>
      <c r="E236" s="311">
        <v>102000000</v>
      </c>
      <c r="F236" s="311"/>
      <c r="I236" s="361"/>
      <c r="J236" s="361"/>
    </row>
    <row r="237" spans="1:18" s="310" customFormat="1" outlineLevel="1" x14ac:dyDescent="0.15">
      <c r="A237" s="321" t="s">
        <v>223</v>
      </c>
      <c r="D237" s="311"/>
      <c r="E237" s="362">
        <f>SUM(E233:E235)-E236</f>
        <v>656970712.35004139</v>
      </c>
      <c r="F237" s="311"/>
      <c r="I237" s="361"/>
      <c r="J237" s="361"/>
    </row>
    <row r="238" spans="1:18" s="310" customFormat="1" outlineLevel="1" x14ac:dyDescent="0.15">
      <c r="A238" s="321"/>
      <c r="D238" s="311"/>
      <c r="E238" s="311"/>
      <c r="F238" s="311"/>
      <c r="I238" s="361"/>
      <c r="J238" s="361"/>
    </row>
    <row r="239" spans="1:18" s="310" customFormat="1" outlineLevel="1" x14ac:dyDescent="0.15">
      <c r="A239" s="310" t="s">
        <v>224</v>
      </c>
      <c r="D239" s="311"/>
      <c r="E239" s="311">
        <v>461400000</v>
      </c>
      <c r="F239" s="311"/>
      <c r="I239" s="361"/>
      <c r="J239" s="361"/>
    </row>
    <row r="240" spans="1:18" s="310" customFormat="1" outlineLevel="1" x14ac:dyDescent="0.15">
      <c r="A240" s="321" t="s">
        <v>225</v>
      </c>
      <c r="B240" s="321"/>
      <c r="C240" s="321"/>
      <c r="D240" s="322"/>
      <c r="E240" s="363">
        <f>E237/E239</f>
        <v>1.4238637025358505</v>
      </c>
      <c r="F240" s="311"/>
      <c r="I240" s="361"/>
      <c r="J240" s="361"/>
    </row>
    <row r="241" spans="1:18" s="310" customFormat="1" outlineLevel="1" x14ac:dyDescent="0.15">
      <c r="A241" s="321"/>
      <c r="D241" s="311"/>
      <c r="E241" s="311"/>
      <c r="F241" s="311"/>
      <c r="I241" s="361"/>
      <c r="J241" s="361"/>
    </row>
    <row r="242" spans="1:18" s="310" customFormat="1" outlineLevel="1" x14ac:dyDescent="0.15">
      <c r="A242" s="310" t="s">
        <v>15</v>
      </c>
      <c r="D242" s="311"/>
      <c r="E242" s="364">
        <f>$F$83</f>
        <v>0.55000000000000004</v>
      </c>
      <c r="F242" s="311"/>
      <c r="I242" s="361"/>
      <c r="J242" s="361"/>
    </row>
    <row r="243" spans="1:18" s="310" customFormat="1" outlineLevel="1" x14ac:dyDescent="0.15">
      <c r="A243" s="321" t="s">
        <v>56</v>
      </c>
      <c r="D243" s="311"/>
      <c r="E243" s="365">
        <f>E242/E240</f>
        <v>0.38627292698062998</v>
      </c>
      <c r="F243" s="311"/>
      <c r="I243" s="361"/>
      <c r="J243" s="361"/>
    </row>
    <row r="244" spans="1:18" s="310" customFormat="1" x14ac:dyDescent="0.15">
      <c r="D244" s="311"/>
      <c r="E244" s="311"/>
      <c r="F244" s="311"/>
    </row>
    <row r="245" spans="1:18" s="237" customFormat="1" ht="18.75" customHeight="1" x14ac:dyDescent="0.2">
      <c r="A245" s="235" t="s">
        <v>226</v>
      </c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</row>
    <row r="246" spans="1:18" ht="16.5" customHeight="1" outlineLevel="1" x14ac:dyDescent="0.15"/>
    <row r="247" spans="1:18" outlineLevel="1" x14ac:dyDescent="0.15">
      <c r="G247" s="239" t="s">
        <v>227</v>
      </c>
      <c r="H247" s="366"/>
      <c r="I247" s="270"/>
    </row>
    <row r="248" spans="1:18" outlineLevel="1" x14ac:dyDescent="0.15">
      <c r="G248" s="239" t="s">
        <v>210</v>
      </c>
      <c r="H248" s="283"/>
      <c r="I248" s="270"/>
    </row>
    <row r="249" spans="1:18" outlineLevel="1" x14ac:dyDescent="0.15">
      <c r="G249" s="239" t="s">
        <v>228</v>
      </c>
      <c r="H249" s="367"/>
      <c r="I249" s="254"/>
    </row>
    <row r="250" spans="1:18" outlineLevel="1" x14ac:dyDescent="0.15">
      <c r="G250" s="239" t="s">
        <v>229</v>
      </c>
      <c r="H250" s="368"/>
      <c r="I250" s="261"/>
    </row>
    <row r="251" spans="1:18" outlineLevel="1" x14ac:dyDescent="0.15">
      <c r="H251" s="261"/>
    </row>
    <row r="252" spans="1:18" ht="15.75" customHeight="1" outlineLevel="1" x14ac:dyDescent="0.15">
      <c r="G252" s="369" t="s">
        <v>229</v>
      </c>
      <c r="H252" s="370"/>
      <c r="I252" s="370"/>
      <c r="J252" s="370"/>
      <c r="K252" s="370"/>
      <c r="L252" s="370"/>
    </row>
    <row r="253" spans="1:18" outlineLevel="1" x14ac:dyDescent="0.15">
      <c r="G253" s="371"/>
      <c r="H253" s="372" t="s">
        <v>230</v>
      </c>
      <c r="I253" s="372"/>
      <c r="J253" s="372"/>
      <c r="K253" s="372"/>
      <c r="L253" s="372"/>
    </row>
    <row r="254" spans="1:18" outlineLevel="1" x14ac:dyDescent="0.15">
      <c r="G254" s="373">
        <f>E222</f>
        <v>0</v>
      </c>
      <c r="H254" s="374">
        <v>1000</v>
      </c>
      <c r="I254" s="375">
        <f>+H254+200</f>
        <v>1200</v>
      </c>
      <c r="J254" s="375">
        <f t="shared" ref="J254:L254" si="103">+I254+200</f>
        <v>1400</v>
      </c>
      <c r="K254" s="375">
        <f t="shared" si="103"/>
        <v>1600</v>
      </c>
      <c r="L254" s="375">
        <f t="shared" si="103"/>
        <v>1800</v>
      </c>
    </row>
    <row r="255" spans="1:18" outlineLevel="1" x14ac:dyDescent="0.15">
      <c r="G255" s="376">
        <v>12</v>
      </c>
      <c r="H255" s="377"/>
      <c r="I255" s="377"/>
      <c r="J255" s="377"/>
      <c r="K255" s="377"/>
      <c r="L255" s="377"/>
    </row>
    <row r="256" spans="1:18" outlineLevel="1" x14ac:dyDescent="0.15">
      <c r="G256" s="378">
        <f>+G255-1</f>
        <v>11</v>
      </c>
      <c r="H256" s="261"/>
      <c r="I256" s="261"/>
      <c r="J256" s="261"/>
      <c r="K256" s="261"/>
      <c r="L256" s="261"/>
    </row>
    <row r="257" spans="7:12" outlineLevel="1" x14ac:dyDescent="0.15">
      <c r="G257" s="378">
        <f t="shared" ref="G257:G263" si="104">+G256-1</f>
        <v>10</v>
      </c>
      <c r="H257" s="261"/>
      <c r="I257" s="261"/>
      <c r="J257" s="261"/>
      <c r="K257" s="261"/>
      <c r="L257" s="261"/>
    </row>
    <row r="258" spans="7:12" outlineLevel="1" x14ac:dyDescent="0.15">
      <c r="G258" s="378">
        <f t="shared" si="104"/>
        <v>9</v>
      </c>
      <c r="H258" s="261"/>
      <c r="I258" s="379"/>
      <c r="J258" s="379"/>
      <c r="K258" s="379"/>
      <c r="L258" s="261"/>
    </row>
    <row r="259" spans="7:12" outlineLevel="1" x14ac:dyDescent="0.15">
      <c r="G259" s="378">
        <f t="shared" si="104"/>
        <v>8</v>
      </c>
      <c r="H259" s="261"/>
      <c r="I259" s="379"/>
      <c r="J259" s="379"/>
      <c r="K259" s="379"/>
      <c r="L259" s="261"/>
    </row>
    <row r="260" spans="7:12" outlineLevel="1" x14ac:dyDescent="0.15">
      <c r="G260" s="378">
        <f t="shared" si="104"/>
        <v>7</v>
      </c>
      <c r="H260" s="261"/>
      <c r="I260" s="379"/>
      <c r="J260" s="379"/>
      <c r="K260" s="379"/>
      <c r="L260" s="261"/>
    </row>
    <row r="261" spans="7:12" outlineLevel="1" x14ac:dyDescent="0.15">
      <c r="G261" s="378">
        <f t="shared" si="104"/>
        <v>6</v>
      </c>
      <c r="H261" s="261"/>
      <c r="I261" s="261"/>
      <c r="J261" s="261"/>
      <c r="K261" s="261"/>
      <c r="L261" s="261"/>
    </row>
    <row r="262" spans="7:12" outlineLevel="1" x14ac:dyDescent="0.15">
      <c r="G262" s="378">
        <f t="shared" si="104"/>
        <v>5</v>
      </c>
      <c r="H262" s="261"/>
      <c r="I262" s="261"/>
      <c r="J262" s="261"/>
      <c r="K262" s="261"/>
      <c r="L262" s="261"/>
    </row>
    <row r="263" spans="7:12" outlineLevel="1" x14ac:dyDescent="0.15">
      <c r="G263" s="378">
        <f t="shared" si="104"/>
        <v>4</v>
      </c>
      <c r="H263" s="261"/>
      <c r="I263" s="261"/>
      <c r="J263" s="261"/>
      <c r="K263" s="261"/>
      <c r="L263" s="261"/>
    </row>
    <row r="264" spans="7:12" outlineLevel="1" x14ac:dyDescent="0.15"/>
    <row r="265" spans="7:12" outlineLevel="1" x14ac:dyDescent="0.15"/>
    <row r="266" spans="7:12" ht="15.75" customHeight="1" outlineLevel="1" x14ac:dyDescent="0.15">
      <c r="G266" s="526" t="s">
        <v>301</v>
      </c>
      <c r="H266" s="526"/>
      <c r="I266" s="526"/>
      <c r="J266" s="526"/>
      <c r="K266" s="526"/>
      <c r="L266" s="526"/>
    </row>
    <row r="267" spans="7:12" ht="15" customHeight="1" outlineLevel="1" x14ac:dyDescent="0.15">
      <c r="H267" s="527" t="s">
        <v>149</v>
      </c>
      <c r="I267" s="527"/>
      <c r="J267" s="527"/>
      <c r="K267" s="527"/>
      <c r="L267" s="527"/>
    </row>
    <row r="268" spans="7:12" outlineLevel="1" x14ac:dyDescent="0.15">
      <c r="G268" s="380">
        <f>E240</f>
        <v>1.4238637025358505</v>
      </c>
      <c r="H268" s="381">
        <v>0.14729999999999999</v>
      </c>
      <c r="I268" s="382">
        <f>+H268+1%</f>
        <v>0.1573</v>
      </c>
      <c r="J268" s="382">
        <f t="shared" ref="J268:L268" si="105">+I268+1%</f>
        <v>0.1673</v>
      </c>
      <c r="K268" s="382">
        <f t="shared" si="105"/>
        <v>0.17730000000000001</v>
      </c>
      <c r="L268" s="382">
        <f t="shared" si="105"/>
        <v>0.18730000000000002</v>
      </c>
    </row>
    <row r="269" spans="7:12" outlineLevel="1" x14ac:dyDescent="0.15">
      <c r="G269" s="383">
        <v>1600</v>
      </c>
      <c r="H269" s="384">
        <f t="dataTable" ref="H269:L279" dt2D="1" dtr="1" r1="F81" r2="H18"/>
        <v>1.3082938027839432</v>
      </c>
      <c r="I269" s="385">
        <v>1.2588336058505598</v>
      </c>
      <c r="J269" s="385">
        <v>1.2120152485650983</v>
      </c>
      <c r="K269" s="385">
        <v>1.1676591117817494</v>
      </c>
      <c r="L269" s="385">
        <v>1.1255999340961849</v>
      </c>
    </row>
    <row r="270" spans="7:12" outlineLevel="1" x14ac:dyDescent="0.15">
      <c r="G270" s="386">
        <f>G269+100</f>
        <v>1700</v>
      </c>
      <c r="H270" s="387">
        <v>1.3272897537940054</v>
      </c>
      <c r="I270" s="387">
        <v>1.2778181251147054</v>
      </c>
      <c r="J270" s="387">
        <v>1.2309885319497875</v>
      </c>
      <c r="K270" s="387">
        <v>1.1866213501623659</v>
      </c>
      <c r="L270" s="387">
        <v>1.1445513135251848</v>
      </c>
    </row>
    <row r="271" spans="7:12" outlineLevel="1" x14ac:dyDescent="0.15">
      <c r="G271" s="386">
        <f t="shared" ref="G271:G279" si="106">G270+100</f>
        <v>1800</v>
      </c>
      <c r="H271" s="387">
        <v>1.3462857048040675</v>
      </c>
      <c r="I271" s="387">
        <v>1.2968026443788516</v>
      </c>
      <c r="J271" s="387">
        <v>1.2499618153344769</v>
      </c>
      <c r="K271" s="387">
        <v>1.2055835885429824</v>
      </c>
      <c r="L271" s="387">
        <v>1.1635026929541845</v>
      </c>
    </row>
    <row r="272" spans="7:12" outlineLevel="1" x14ac:dyDescent="0.15">
      <c r="G272" s="386">
        <f t="shared" si="106"/>
        <v>1900</v>
      </c>
      <c r="H272" s="387">
        <v>1.3652816558141294</v>
      </c>
      <c r="I272" s="388">
        <v>1.3157871636429972</v>
      </c>
      <c r="J272" s="388">
        <v>1.2689350987191661</v>
      </c>
      <c r="K272" s="388">
        <v>1.2245458269235985</v>
      </c>
      <c r="L272" s="387">
        <v>1.1824540723831845</v>
      </c>
    </row>
    <row r="273" spans="1:18" outlineLevel="1" x14ac:dyDescent="0.15">
      <c r="G273" s="386">
        <f t="shared" si="106"/>
        <v>2000</v>
      </c>
      <c r="H273" s="387">
        <v>1.3842776068241915</v>
      </c>
      <c r="I273" s="389">
        <v>1.3347716829071434</v>
      </c>
      <c r="J273" s="389">
        <v>1.2879083821038555</v>
      </c>
      <c r="K273" s="389">
        <v>1.243508065304215</v>
      </c>
      <c r="L273" s="387">
        <v>1.2014054518121839</v>
      </c>
    </row>
    <row r="274" spans="1:18" outlineLevel="1" x14ac:dyDescent="0.15">
      <c r="G274" s="386">
        <f t="shared" si="106"/>
        <v>2100</v>
      </c>
      <c r="H274" s="387">
        <v>1.4032735578342537</v>
      </c>
      <c r="I274" s="389">
        <v>1.353756202171289</v>
      </c>
      <c r="J274" s="390">
        <v>1.3068816654885449</v>
      </c>
      <c r="K274" s="389">
        <v>1.2624703036848315</v>
      </c>
      <c r="L274" s="387">
        <v>1.2203568312411837</v>
      </c>
    </row>
    <row r="275" spans="1:18" outlineLevel="1" x14ac:dyDescent="0.15">
      <c r="G275" s="386">
        <f t="shared" si="106"/>
        <v>2200</v>
      </c>
      <c r="H275" s="387">
        <v>1.4222695088443158</v>
      </c>
      <c r="I275" s="389">
        <v>1.3727407214354348</v>
      </c>
      <c r="J275" s="389">
        <v>1.3258549488732339</v>
      </c>
      <c r="K275" s="389">
        <v>1.2814325420654473</v>
      </c>
      <c r="L275" s="387">
        <v>1.2393082106701836</v>
      </c>
    </row>
    <row r="276" spans="1:18" outlineLevel="1" x14ac:dyDescent="0.15">
      <c r="G276" s="386">
        <f t="shared" si="106"/>
        <v>2300</v>
      </c>
      <c r="H276" s="387">
        <v>1.4412654598543779</v>
      </c>
      <c r="I276" s="388">
        <v>1.3917252406995808</v>
      </c>
      <c r="J276" s="388">
        <v>1.3448282322579235</v>
      </c>
      <c r="K276" s="388">
        <v>1.3003947804460638</v>
      </c>
      <c r="L276" s="387">
        <v>1.2582595900991831</v>
      </c>
    </row>
    <row r="277" spans="1:18" outlineLevel="1" x14ac:dyDescent="0.15">
      <c r="G277" s="386">
        <f t="shared" si="106"/>
        <v>2400</v>
      </c>
      <c r="H277" s="387">
        <v>1.4602614108644403</v>
      </c>
      <c r="I277" s="387">
        <v>1.4107097599637271</v>
      </c>
      <c r="J277" s="387">
        <v>1.3638015156426129</v>
      </c>
      <c r="K277" s="387">
        <v>1.3193570188266803</v>
      </c>
      <c r="L277" s="387">
        <v>1.277210969528183</v>
      </c>
    </row>
    <row r="278" spans="1:18" outlineLevel="1" x14ac:dyDescent="0.15">
      <c r="G278" s="386">
        <f>G277+100</f>
        <v>2500</v>
      </c>
      <c r="H278" s="387">
        <v>1.4792573618745022</v>
      </c>
      <c r="I278" s="387">
        <v>1.4296942792278726</v>
      </c>
      <c r="J278" s="387">
        <v>1.382774799027302</v>
      </c>
      <c r="K278" s="387">
        <v>1.3383192572072968</v>
      </c>
      <c r="L278" s="387">
        <v>1.296162348957183</v>
      </c>
    </row>
    <row r="279" spans="1:18" x14ac:dyDescent="0.15">
      <c r="G279" s="386">
        <f t="shared" si="106"/>
        <v>2600</v>
      </c>
      <c r="H279" s="391">
        <v>1.4982533128845643</v>
      </c>
      <c r="I279" s="391">
        <v>1.4486787984920189</v>
      </c>
      <c r="J279" s="391">
        <v>1.4017480824119914</v>
      </c>
      <c r="K279" s="391">
        <v>1.3572814955879129</v>
      </c>
      <c r="L279" s="391">
        <v>1.3151137283861827</v>
      </c>
    </row>
    <row r="280" spans="1:18" x14ac:dyDescent="0.15">
      <c r="G280" s="392"/>
    </row>
    <row r="281" spans="1:18" s="237" customFormat="1" ht="18.75" customHeight="1" x14ac:dyDescent="0.2">
      <c r="A281" s="235" t="s">
        <v>232</v>
      </c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</row>
    <row r="282" spans="1:18" s="274" customFormat="1" ht="24" hidden="1" customHeight="1" outlineLevel="2" x14ac:dyDescent="0.2">
      <c r="G282" s="393">
        <f t="shared" ref="G282:R282" si="107">G2</f>
        <v>2023</v>
      </c>
      <c r="H282" s="393">
        <f t="shared" si="107"/>
        <v>2024</v>
      </c>
      <c r="I282" s="393">
        <f t="shared" si="107"/>
        <v>2025</v>
      </c>
      <c r="J282" s="393">
        <f t="shared" si="107"/>
        <v>2026</v>
      </c>
      <c r="K282" s="393">
        <f t="shared" si="107"/>
        <v>2027</v>
      </c>
      <c r="L282" s="393">
        <f t="shared" si="107"/>
        <v>2028</v>
      </c>
      <c r="M282" s="393">
        <f t="shared" si="107"/>
        <v>2029</v>
      </c>
      <c r="N282" s="393">
        <f t="shared" si="107"/>
        <v>2030</v>
      </c>
      <c r="O282" s="393">
        <f t="shared" si="107"/>
        <v>2031</v>
      </c>
      <c r="P282" s="393">
        <f t="shared" si="107"/>
        <v>2032</v>
      </c>
      <c r="Q282" s="393">
        <f t="shared" si="107"/>
        <v>2033</v>
      </c>
      <c r="R282" s="393">
        <f t="shared" si="107"/>
        <v>2034</v>
      </c>
    </row>
    <row r="283" spans="1:18" s="274" customFormat="1" hidden="1" outlineLevel="2" x14ac:dyDescent="0.15">
      <c r="A283" s="303" t="s">
        <v>233</v>
      </c>
      <c r="B283" s="303"/>
      <c r="C283" s="303"/>
      <c r="D283" s="303"/>
      <c r="E283" s="303"/>
      <c r="F283" s="303"/>
      <c r="G283" s="394"/>
      <c r="H283" s="394"/>
      <c r="I283" s="394"/>
      <c r="J283" s="394"/>
      <c r="K283" s="394"/>
      <c r="L283" s="394"/>
      <c r="M283" s="394"/>
      <c r="N283" s="394"/>
      <c r="O283" s="394"/>
      <c r="P283" s="394"/>
      <c r="Q283" s="394"/>
      <c r="R283" s="394"/>
    </row>
    <row r="284" spans="1:18" s="274" customFormat="1" hidden="1" outlineLevel="2" x14ac:dyDescent="0.15">
      <c r="A284" s="274" t="s">
        <v>203</v>
      </c>
      <c r="G284" s="299"/>
      <c r="H284" s="299"/>
      <c r="I284" s="299"/>
      <c r="J284" s="299"/>
      <c r="K284" s="299"/>
      <c r="L284" s="299"/>
      <c r="M284" s="299"/>
      <c r="N284" s="299"/>
      <c r="O284" s="299"/>
      <c r="P284" s="299"/>
      <c r="Q284" s="299"/>
      <c r="R284" s="299"/>
    </row>
    <row r="285" spans="1:18" s="274" customFormat="1" hidden="1" outlineLevel="2" x14ac:dyDescent="0.15">
      <c r="A285" s="303" t="s">
        <v>199</v>
      </c>
      <c r="B285" s="303"/>
      <c r="C285" s="303"/>
      <c r="D285" s="303"/>
      <c r="E285" s="303"/>
      <c r="F285" s="303"/>
      <c r="G285" s="395"/>
      <c r="H285" s="395"/>
      <c r="I285" s="395"/>
      <c r="J285" s="395"/>
      <c r="K285" s="395"/>
      <c r="L285" s="395"/>
      <c r="M285" s="395"/>
      <c r="N285" s="395"/>
      <c r="O285" s="395"/>
      <c r="P285" s="395"/>
      <c r="Q285" s="395"/>
      <c r="R285" s="395"/>
    </row>
    <row r="286" spans="1:18" s="274" customFormat="1" hidden="1" outlineLevel="2" x14ac:dyDescent="0.15">
      <c r="G286" s="396"/>
      <c r="H286" s="326"/>
      <c r="I286" s="326"/>
      <c r="J286" s="326"/>
      <c r="K286" s="326"/>
      <c r="L286" s="326"/>
      <c r="M286" s="326"/>
      <c r="N286" s="326"/>
      <c r="O286" s="326"/>
      <c r="P286" s="326"/>
      <c r="Q286" s="326"/>
      <c r="R286" s="326"/>
    </row>
    <row r="287" spans="1:18" s="274" customFormat="1" hidden="1" outlineLevel="2" x14ac:dyDescent="0.15">
      <c r="A287" s="274" t="s">
        <v>215</v>
      </c>
      <c r="G287" s="396"/>
      <c r="H287" s="396"/>
      <c r="I287" s="396"/>
      <c r="J287" s="396"/>
      <c r="K287" s="396"/>
      <c r="L287" s="396"/>
      <c r="M287" s="396"/>
      <c r="N287" s="396"/>
      <c r="O287" s="396"/>
      <c r="P287" s="396"/>
      <c r="Q287" s="396"/>
      <c r="R287" s="396"/>
    </row>
    <row r="288" spans="1:18" s="274" customFormat="1" hidden="1" outlineLevel="2" x14ac:dyDescent="0.15">
      <c r="A288" s="274" t="s">
        <v>234</v>
      </c>
      <c r="G288" s="299"/>
      <c r="H288" s="299"/>
      <c r="I288" s="299"/>
      <c r="J288" s="299"/>
      <c r="K288" s="299"/>
      <c r="L288" s="299"/>
      <c r="M288" s="299"/>
      <c r="N288" s="299"/>
      <c r="O288" s="299"/>
      <c r="P288" s="299"/>
      <c r="Q288" s="299"/>
      <c r="R288" s="299"/>
    </row>
    <row r="289" spans="1:18" s="274" customFormat="1" hidden="1" outlineLevel="2" x14ac:dyDescent="0.15">
      <c r="A289" s="303" t="s">
        <v>199</v>
      </c>
      <c r="B289" s="303"/>
      <c r="C289" s="303"/>
      <c r="D289" s="303"/>
      <c r="E289" s="303"/>
      <c r="F289" s="303"/>
      <c r="G289" s="395"/>
      <c r="H289" s="395"/>
      <c r="I289" s="395"/>
      <c r="J289" s="395"/>
      <c r="K289" s="395"/>
      <c r="L289" s="395"/>
      <c r="M289" s="395"/>
      <c r="N289" s="395"/>
      <c r="O289" s="395"/>
      <c r="P289" s="395"/>
      <c r="Q289" s="395"/>
      <c r="R289" s="395"/>
    </row>
    <row r="290" spans="1:18" s="274" customFormat="1" hidden="1" outlineLevel="2" x14ac:dyDescent="0.15">
      <c r="G290" s="326"/>
      <c r="H290" s="326"/>
      <c r="I290" s="326"/>
      <c r="J290" s="326"/>
      <c r="K290" s="326"/>
      <c r="L290" s="326"/>
      <c r="M290" s="326"/>
      <c r="N290" s="326"/>
      <c r="O290" s="326"/>
      <c r="P290" s="326"/>
      <c r="Q290" s="326"/>
      <c r="R290" s="326"/>
    </row>
    <row r="291" spans="1:18" s="274" customFormat="1" hidden="1" outlineLevel="2" x14ac:dyDescent="0.15">
      <c r="A291" s="274" t="s">
        <v>235</v>
      </c>
      <c r="G291" s="299"/>
      <c r="H291" s="299"/>
      <c r="I291" s="299"/>
      <c r="J291" s="299"/>
      <c r="K291" s="299"/>
      <c r="L291" s="299"/>
      <c r="M291" s="299"/>
      <c r="N291" s="299"/>
      <c r="O291" s="299"/>
      <c r="P291" s="299"/>
      <c r="Q291" s="299"/>
      <c r="R291" s="299"/>
    </row>
    <row r="292" spans="1:18" s="274" customFormat="1" hidden="1" outlineLevel="2" x14ac:dyDescent="0.15">
      <c r="A292" s="274" t="s">
        <v>236</v>
      </c>
      <c r="G292" s="299"/>
      <c r="H292" s="299"/>
      <c r="I292" s="299"/>
      <c r="J292" s="299"/>
      <c r="K292" s="299"/>
      <c r="L292" s="299"/>
      <c r="M292" s="299"/>
      <c r="N292" s="299"/>
      <c r="O292" s="299"/>
      <c r="P292" s="299"/>
      <c r="Q292" s="299"/>
      <c r="R292" s="299"/>
    </row>
    <row r="293" spans="1:18" s="274" customFormat="1" hidden="1" outlineLevel="2" x14ac:dyDescent="0.15"/>
    <row r="294" spans="1:18" s="274" customFormat="1" hidden="1" outlineLevel="2" x14ac:dyDescent="0.15"/>
    <row r="295" spans="1:18" s="274" customFormat="1" hidden="1" outlineLevel="2" x14ac:dyDescent="0.15"/>
    <row r="296" spans="1:18" s="274" customFormat="1" hidden="1" outlineLevel="2" x14ac:dyDescent="0.15"/>
    <row r="297" spans="1:18" s="274" customFormat="1" hidden="1" outlineLevel="2" x14ac:dyDescent="0.15"/>
    <row r="298" spans="1:18" s="274" customFormat="1" hidden="1" outlineLevel="2" x14ac:dyDescent="0.15"/>
    <row r="299" spans="1:18" s="274" customFormat="1" hidden="1" outlineLevel="2" x14ac:dyDescent="0.15"/>
    <row r="300" spans="1:18" s="274" customFormat="1" hidden="1" outlineLevel="2" x14ac:dyDescent="0.15"/>
    <row r="301" spans="1:18" s="274" customFormat="1" hidden="1" outlineLevel="2" x14ac:dyDescent="0.15"/>
    <row r="302" spans="1:18" s="274" customFormat="1" hidden="1" outlineLevel="2" x14ac:dyDescent="0.15"/>
    <row r="303" spans="1:18" s="274" customFormat="1" hidden="1" outlineLevel="2" x14ac:dyDescent="0.15"/>
    <row r="304" spans="1:18" s="274" customFormat="1" hidden="1" outlineLevel="2" x14ac:dyDescent="0.15"/>
    <row r="305" spans="2:7" s="274" customFormat="1" hidden="1" outlineLevel="2" x14ac:dyDescent="0.15"/>
    <row r="306" spans="2:7" s="274" customFormat="1" hidden="1" outlineLevel="2" x14ac:dyDescent="0.15"/>
    <row r="307" spans="2:7" s="274" customFormat="1" hidden="1" outlineLevel="2" x14ac:dyDescent="0.15"/>
    <row r="308" spans="2:7" s="274" customFormat="1" hidden="1" outlineLevel="2" x14ac:dyDescent="0.15"/>
    <row r="309" spans="2:7" s="274" customFormat="1" hidden="1" outlineLevel="2" x14ac:dyDescent="0.15"/>
    <row r="310" spans="2:7" s="274" customFormat="1" hidden="1" outlineLevel="2" x14ac:dyDescent="0.15"/>
    <row r="311" spans="2:7" s="274" customFormat="1" hidden="1" outlineLevel="2" x14ac:dyDescent="0.15"/>
    <row r="312" spans="2:7" s="274" customFormat="1" hidden="1" outlineLevel="2" x14ac:dyDescent="0.15"/>
    <row r="313" spans="2:7" s="274" customFormat="1" hidden="1" outlineLevel="2" x14ac:dyDescent="0.15"/>
    <row r="314" spans="2:7" s="274" customFormat="1" hidden="1" outlineLevel="2" x14ac:dyDescent="0.15"/>
    <row r="315" spans="2:7" s="274" customFormat="1" hidden="1" outlineLevel="2" x14ac:dyDescent="0.15"/>
    <row r="316" spans="2:7" hidden="1" outlineLevel="2" x14ac:dyDescent="0.15"/>
    <row r="317" spans="2:7" collapsed="1" x14ac:dyDescent="0.15"/>
    <row r="320" spans="2:7" ht="18" x14ac:dyDescent="0.15">
      <c r="B320" s="235" t="s">
        <v>305</v>
      </c>
      <c r="C320" s="235"/>
      <c r="D320" s="235"/>
      <c r="E320" s="235"/>
      <c r="F320" s="235"/>
      <c r="G320" s="235"/>
    </row>
    <row r="321" spans="2:10" x14ac:dyDescent="0.15">
      <c r="B321" s="398"/>
    </row>
    <row r="322" spans="2:10" ht="18" x14ac:dyDescent="0.2">
      <c r="B322" s="485" t="s">
        <v>310</v>
      </c>
      <c r="G322" s="494">
        <v>4422353047.6004534</v>
      </c>
      <c r="J322" s="239" t="s">
        <v>173</v>
      </c>
    </row>
    <row r="323" spans="2:10" ht="18" x14ac:dyDescent="0.2">
      <c r="B323" s="485" t="s">
        <v>307</v>
      </c>
      <c r="G323" s="502">
        <v>1270</v>
      </c>
    </row>
    <row r="324" spans="2:10" ht="18" x14ac:dyDescent="0.2">
      <c r="B324" s="485" t="s">
        <v>309</v>
      </c>
      <c r="G324" s="502">
        <v>2408412</v>
      </c>
    </row>
    <row r="325" spans="2:10" ht="18" x14ac:dyDescent="0.2">
      <c r="B325" s="499" t="s">
        <v>308</v>
      </c>
      <c r="C325" s="249"/>
      <c r="D325" s="249"/>
      <c r="E325" s="249"/>
      <c r="F325" s="249"/>
      <c r="G325" s="503">
        <v>0.35</v>
      </c>
    </row>
    <row r="326" spans="2:10" ht="18" x14ac:dyDescent="0.2">
      <c r="B326" s="485"/>
      <c r="G326" s="501"/>
    </row>
    <row r="327" spans="2:10" ht="18" x14ac:dyDescent="0.2">
      <c r="B327" s="488" t="s">
        <v>306</v>
      </c>
      <c r="C327" s="489"/>
      <c r="D327" s="485"/>
      <c r="E327" s="485"/>
      <c r="F327" s="485"/>
      <c r="G327" s="492">
        <v>1337997368.5247214</v>
      </c>
    </row>
    <row r="328" spans="2:10" x14ac:dyDescent="0.15">
      <c r="B328" s="356"/>
      <c r="C328" s="356"/>
      <c r="D328" s="493"/>
      <c r="E328" s="493"/>
      <c r="F328" s="493"/>
    </row>
    <row r="329" spans="2:10" ht="18" x14ac:dyDescent="0.2">
      <c r="B329" s="490" t="s">
        <v>303</v>
      </c>
      <c r="C329" s="490"/>
      <c r="D329" s="494"/>
      <c r="E329" s="494"/>
      <c r="F329" s="485"/>
      <c r="G329" s="494">
        <v>1000000</v>
      </c>
    </row>
    <row r="330" spans="2:10" ht="18" x14ac:dyDescent="0.2">
      <c r="B330" s="490" t="s">
        <v>221</v>
      </c>
      <c r="C330" s="490"/>
      <c r="D330" s="494"/>
      <c r="E330" s="494"/>
      <c r="F330" s="485"/>
      <c r="G330" s="494">
        <v>11800000</v>
      </c>
      <c r="J330" s="239" t="s">
        <v>173</v>
      </c>
    </row>
    <row r="331" spans="2:10" ht="18" x14ac:dyDescent="0.2">
      <c r="B331" s="504" t="s">
        <v>222</v>
      </c>
      <c r="C331" s="504"/>
      <c r="D331" s="500"/>
      <c r="E331" s="500"/>
      <c r="F331" s="499"/>
      <c r="G331" s="500">
        <v>-102000000</v>
      </c>
    </row>
    <row r="332" spans="2:10" x14ac:dyDescent="0.15">
      <c r="B332" s="449"/>
      <c r="C332" s="265"/>
    </row>
    <row r="333" spans="2:10" ht="18" x14ac:dyDescent="0.2">
      <c r="B333" s="488" t="s">
        <v>304</v>
      </c>
      <c r="C333" s="265"/>
      <c r="G333" s="494">
        <v>1248797368.5247214</v>
      </c>
    </row>
    <row r="334" spans="2:10" ht="18" x14ac:dyDescent="0.2">
      <c r="B334" s="504" t="s">
        <v>224</v>
      </c>
      <c r="C334" s="504"/>
      <c r="D334" s="500"/>
      <c r="E334" s="500"/>
      <c r="F334" s="249"/>
      <c r="G334" s="500">
        <v>461400000</v>
      </c>
    </row>
    <row r="336" spans="2:10" ht="18" x14ac:dyDescent="0.2">
      <c r="B336" s="491" t="s">
        <v>225</v>
      </c>
      <c r="C336" s="491"/>
      <c r="D336" s="495"/>
      <c r="E336" s="495"/>
      <c r="G336" s="496">
        <v>2.7065395936816676</v>
      </c>
    </row>
    <row r="337" spans="2:7" ht="18" x14ac:dyDescent="0.2">
      <c r="B337" s="491"/>
      <c r="C337" s="490"/>
      <c r="D337" s="494"/>
      <c r="E337" s="494"/>
      <c r="G337" s="494"/>
    </row>
    <row r="338" spans="2:7" ht="18" x14ac:dyDescent="0.2">
      <c r="B338" s="490" t="s">
        <v>15</v>
      </c>
      <c r="C338" s="490"/>
      <c r="D338" s="494"/>
      <c r="E338" s="494"/>
      <c r="G338" s="498">
        <v>0.55000000000000004</v>
      </c>
    </row>
    <row r="339" spans="2:7" ht="18" x14ac:dyDescent="0.2">
      <c r="B339" s="491" t="s">
        <v>56</v>
      </c>
      <c r="C339" s="490"/>
      <c r="D339" s="494"/>
      <c r="E339" s="494"/>
      <c r="G339" s="497">
        <v>0.20321151084726707</v>
      </c>
    </row>
  </sheetData>
  <mergeCells count="2">
    <mergeCell ref="G266:L266"/>
    <mergeCell ref="H267:L267"/>
  </mergeCells>
  <conditionalFormatting sqref="A2 C2">
    <cfRule type="containsText" dxfId="35" priority="3" operator="containsText" text="OK">
      <formula>NOT(ISERROR(SEARCH("OK",A2)))</formula>
    </cfRule>
    <cfRule type="containsText" dxfId="34" priority="4" operator="containsText" text="ERROR">
      <formula>NOT(ISERROR(SEARCH("ERROR",A2)))</formula>
    </cfRule>
  </conditionalFormatting>
  <conditionalFormatting sqref="E3:R3">
    <cfRule type="containsText" dxfId="33" priority="1" operator="containsText" text="OK">
      <formula>NOT(ISERROR(SEARCH("OK",#REF!)))</formula>
    </cfRule>
    <cfRule type="containsText" dxfId="32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00000000-0002-0000-0000-000000000000}">
      <formula1>$A$15:$A$16</formula1>
    </dataValidation>
  </dataValidations>
  <pageMargins left="0.7" right="0.7" top="0.75" bottom="0.75" header="0.3" footer="0.3"/>
  <pageSetup paperSize="17" scale="75" orientation="landscape" r:id="rId1"/>
  <rowBreaks count="1" manualBreakCount="1">
    <brk id="59" max="16383" man="1"/>
  </rowBreaks>
  <ignoredErrors>
    <ignoredError sqref="E95 E110:E111 E99 E101 E103 E113:E114 E116:E117 E119:E120" evalError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17E8-E533-3F40-BEAF-3B3BF9560B35}">
  <dimension ref="A1:V297"/>
  <sheetViews>
    <sheetView showGridLines="0" zoomScale="50" zoomScaleNormal="63" workbookViewId="0">
      <pane ySplit="3" topLeftCell="A4" activePane="bottomLeft" state="frozen"/>
      <selection activeCell="B314" sqref="B314"/>
      <selection pane="bottomLeft" activeCell="Q24" sqref="Q24"/>
    </sheetView>
  </sheetViews>
  <sheetFormatPr baseColWidth="10" defaultColWidth="11.1640625" defaultRowHeight="14" outlineLevelRow="2" x14ac:dyDescent="0.15"/>
  <cols>
    <col min="1" max="1" width="13.83203125" style="239" customWidth="1"/>
    <col min="2" max="2" width="30.83203125" style="239" customWidth="1"/>
    <col min="3" max="3" width="16.6640625" style="239" bestFit="1" customWidth="1"/>
    <col min="4" max="4" width="19.1640625" style="239" customWidth="1"/>
    <col min="5" max="5" width="16.83203125" style="239" bestFit="1" customWidth="1"/>
    <col min="6" max="6" width="18.5" style="239" bestFit="1" customWidth="1"/>
    <col min="7" max="7" width="19.1640625" style="239" bestFit="1" customWidth="1"/>
    <col min="8" max="8" width="16.33203125" style="239" bestFit="1" customWidth="1"/>
    <col min="9" max="9" width="16.5" style="239" bestFit="1" customWidth="1"/>
    <col min="10" max="16" width="16.33203125" style="239" bestFit="1" customWidth="1"/>
    <col min="17" max="18" width="13.83203125" style="239" customWidth="1"/>
    <col min="19" max="16384" width="11.1640625" style="239"/>
  </cols>
  <sheetData>
    <row r="1" spans="1:22" s="225" customFormat="1" ht="16.5" customHeight="1" x14ac:dyDescent="0.15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s="225" customFormat="1" ht="16.5" customHeight="1" x14ac:dyDescent="0.15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</row>
    <row r="3" spans="1:22" s="234" customFormat="1" x14ac:dyDescent="0.15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</row>
    <row r="5" spans="1:22" ht="16.5" customHeight="1" outlineLevel="1" x14ac:dyDescent="0.15"/>
    <row r="6" spans="1:22" ht="16.5" customHeight="1" outlineLevel="1" x14ac:dyDescent="0.15">
      <c r="B6" s="235" t="s">
        <v>85</v>
      </c>
      <c r="C6" s="520">
        <v>2024</v>
      </c>
      <c r="D6" s="520">
        <v>2025</v>
      </c>
      <c r="E6" s="520">
        <v>2026</v>
      </c>
      <c r="F6" s="520">
        <v>2027</v>
      </c>
      <c r="G6" s="520">
        <v>2028</v>
      </c>
      <c r="H6" s="520">
        <v>2029</v>
      </c>
      <c r="I6" s="520">
        <v>2030</v>
      </c>
      <c r="J6" s="520">
        <v>2031</v>
      </c>
      <c r="K6" s="520">
        <v>2032</v>
      </c>
      <c r="L6" s="520">
        <v>2033</v>
      </c>
      <c r="M6" s="520">
        <v>2034</v>
      </c>
    </row>
    <row r="7" spans="1:22" ht="16.5" customHeight="1" outlineLevel="1" x14ac:dyDescent="0.2">
      <c r="B7" s="508" t="s">
        <v>87</v>
      </c>
      <c r="C7" s="492">
        <v>5900000</v>
      </c>
      <c r="D7" s="492">
        <v>7000000</v>
      </c>
      <c r="E7" s="492">
        <v>10300000</v>
      </c>
      <c r="F7" s="492">
        <v>10300000</v>
      </c>
      <c r="G7" s="492">
        <v>10300000</v>
      </c>
      <c r="H7" s="492">
        <v>10300000</v>
      </c>
      <c r="I7" s="492">
        <v>10300000</v>
      </c>
      <c r="J7" s="492">
        <v>10300000</v>
      </c>
      <c r="K7" s="492">
        <v>10300000</v>
      </c>
      <c r="L7" s="492">
        <v>10300000</v>
      </c>
      <c r="M7" s="492">
        <v>3900000</v>
      </c>
    </row>
    <row r="8" spans="1:22" ht="16.5" customHeight="1" outlineLevel="1" x14ac:dyDescent="0.2">
      <c r="B8" s="509" t="s">
        <v>90</v>
      </c>
      <c r="C8" s="511">
        <v>0.74</v>
      </c>
      <c r="D8" s="511">
        <v>0.79</v>
      </c>
      <c r="E8" s="511">
        <v>0.87</v>
      </c>
      <c r="F8" s="511">
        <v>0.75</v>
      </c>
      <c r="G8" s="511">
        <v>0.73</v>
      </c>
      <c r="H8" s="511">
        <v>0.71</v>
      </c>
      <c r="I8" s="511">
        <v>0.71</v>
      </c>
      <c r="J8" s="511">
        <v>0.75</v>
      </c>
      <c r="K8" s="511">
        <v>0.68</v>
      </c>
      <c r="L8" s="511">
        <v>0.57999999999999996</v>
      </c>
      <c r="M8" s="511">
        <v>0.48</v>
      </c>
    </row>
    <row r="9" spans="1:22" ht="16.5" customHeight="1" outlineLevel="1" x14ac:dyDescent="0.2">
      <c r="B9" s="509" t="s">
        <v>92</v>
      </c>
      <c r="C9" s="510">
        <v>0.91100000000000003</v>
      </c>
      <c r="D9" s="510">
        <v>0.89500000000000002</v>
      </c>
      <c r="E9" s="510">
        <v>0.88800000000000001</v>
      </c>
      <c r="F9" s="510">
        <v>0.88400000000000001</v>
      </c>
      <c r="G9" s="510">
        <v>0.88700000000000001</v>
      </c>
      <c r="H9" s="510">
        <v>0.86099999999999999</v>
      </c>
      <c r="I9" s="510">
        <v>0.85399999999999998</v>
      </c>
      <c r="J9" s="510">
        <v>0.86099999999999999</v>
      </c>
      <c r="K9" s="510">
        <v>0.86799999999999999</v>
      </c>
      <c r="L9" s="510">
        <v>0.873</v>
      </c>
      <c r="M9" s="510">
        <v>0.86399999999999999</v>
      </c>
    </row>
    <row r="10" spans="1:22" ht="16.5" customHeight="1" outlineLevel="1" x14ac:dyDescent="0.2">
      <c r="B10" s="505" t="s">
        <v>168</v>
      </c>
      <c r="C10" s="506">
        <v>127877.21532147171</v>
      </c>
      <c r="D10" s="506">
        <v>159125.29752943889</v>
      </c>
      <c r="E10" s="506">
        <v>255835.32192131007</v>
      </c>
      <c r="F10" s="506">
        <v>219554.2332425036</v>
      </c>
      <c r="G10" s="506">
        <v>214424.67807971872</v>
      </c>
      <c r="H10" s="506">
        <v>202436.95071414008</v>
      </c>
      <c r="I10" s="506">
        <v>200791.12184654546</v>
      </c>
      <c r="J10" s="506">
        <v>213841.84934592262</v>
      </c>
      <c r="K10" s="506">
        <v>195459.5635430699</v>
      </c>
      <c r="L10" s="506">
        <v>167675.85288085861</v>
      </c>
      <c r="M10" s="506">
        <v>52000.874706071438</v>
      </c>
    </row>
    <row r="11" spans="1:22" ht="16.5" customHeight="1" outlineLevel="1" x14ac:dyDescent="0.2">
      <c r="B11" s="509" t="s">
        <v>114</v>
      </c>
      <c r="C11" s="507">
        <v>0.99</v>
      </c>
      <c r="D11" s="507">
        <v>0.99</v>
      </c>
      <c r="E11" s="507">
        <v>0.99</v>
      </c>
      <c r="F11" s="507">
        <v>0.99</v>
      </c>
      <c r="G11" s="507">
        <v>0.99</v>
      </c>
      <c r="H11" s="507">
        <v>0.99</v>
      </c>
      <c r="I11" s="507">
        <v>0.99</v>
      </c>
      <c r="J11" s="507">
        <v>0.99</v>
      </c>
      <c r="K11" s="507">
        <v>0.99</v>
      </c>
      <c r="L11" s="507">
        <v>0.99</v>
      </c>
      <c r="M11" s="507">
        <v>0.99</v>
      </c>
    </row>
    <row r="12" spans="1:22" ht="16.5" customHeight="1" outlineLevel="1" x14ac:dyDescent="0.2">
      <c r="B12" s="505" t="s">
        <v>169</v>
      </c>
      <c r="C12" s="512">
        <v>127813.27671381098</v>
      </c>
      <c r="D12" s="512">
        <v>159045.73488067416</v>
      </c>
      <c r="E12" s="512">
        <v>255707.40426034943</v>
      </c>
      <c r="F12" s="512">
        <v>219444.45612588237</v>
      </c>
      <c r="G12" s="512">
        <v>214317.46574067889</v>
      </c>
      <c r="H12" s="512">
        <v>202335.73223878304</v>
      </c>
      <c r="I12" s="512">
        <v>200690.72628562219</v>
      </c>
      <c r="J12" s="512">
        <v>213734.92842124967</v>
      </c>
      <c r="K12" s="512">
        <v>195361.83376129839</v>
      </c>
      <c r="L12" s="512">
        <v>167592.01495441821</v>
      </c>
      <c r="M12" s="512">
        <v>51974.874268718406</v>
      </c>
    </row>
    <row r="13" spans="1:22" ht="16.5" customHeight="1" outlineLevel="1" x14ac:dyDescent="0.2">
      <c r="C13" s="485"/>
      <c r="D13" s="485"/>
      <c r="E13" s="485"/>
      <c r="F13" s="485"/>
      <c r="G13" s="485"/>
      <c r="H13" s="485"/>
      <c r="I13" s="485"/>
      <c r="J13" s="485"/>
      <c r="K13" s="485"/>
      <c r="L13" s="485"/>
      <c r="M13" s="485"/>
    </row>
    <row r="14" spans="1:22" ht="16.5" customHeight="1" outlineLevel="1" x14ac:dyDescent="0.2">
      <c r="B14" s="499" t="s">
        <v>311</v>
      </c>
      <c r="C14" s="515">
        <v>2100</v>
      </c>
      <c r="D14" s="515">
        <v>2100</v>
      </c>
      <c r="E14" s="515">
        <v>2100</v>
      </c>
      <c r="F14" s="515">
        <v>2100</v>
      </c>
      <c r="G14" s="515">
        <v>2100</v>
      </c>
      <c r="H14" s="515">
        <v>2100</v>
      </c>
      <c r="I14" s="515">
        <v>2100</v>
      </c>
      <c r="J14" s="515">
        <v>2100</v>
      </c>
      <c r="K14" s="515">
        <v>2100</v>
      </c>
      <c r="L14" s="515">
        <v>2100</v>
      </c>
      <c r="M14" s="515">
        <v>2100</v>
      </c>
    </row>
    <row r="15" spans="1:22" ht="16.5" customHeight="1" outlineLevel="1" x14ac:dyDescent="0.2">
      <c r="B15" s="485"/>
    </row>
    <row r="16" spans="1:22" ht="16.5" customHeight="1" outlineLevel="1" x14ac:dyDescent="0.2">
      <c r="B16" s="505" t="s">
        <v>174</v>
      </c>
      <c r="C16" s="513">
        <f>C12*C14</f>
        <v>268407881.09900305</v>
      </c>
      <c r="D16" s="513">
        <f t="shared" ref="D16:M16" si="0">D12*D14</f>
        <v>333996043.24941576</v>
      </c>
      <c r="E16" s="513">
        <f t="shared" si="0"/>
        <v>536985548.94673383</v>
      </c>
      <c r="F16" s="513">
        <f t="shared" si="0"/>
        <v>460833357.86435294</v>
      </c>
      <c r="G16" s="513">
        <f t="shared" si="0"/>
        <v>450066678.05542564</v>
      </c>
      <c r="H16" s="513">
        <f t="shared" si="0"/>
        <v>424905037.70144439</v>
      </c>
      <c r="I16" s="513">
        <f t="shared" si="0"/>
        <v>421450525.19980663</v>
      </c>
      <c r="J16" s="513">
        <f t="shared" si="0"/>
        <v>448843349.68462431</v>
      </c>
      <c r="K16" s="513">
        <f t="shared" si="0"/>
        <v>410259850.89872664</v>
      </c>
      <c r="L16" s="513">
        <f t="shared" si="0"/>
        <v>351943231.40427822</v>
      </c>
      <c r="M16" s="513">
        <f t="shared" si="0"/>
        <v>109147235.96430865</v>
      </c>
      <c r="O16" s="239" t="s">
        <v>173</v>
      </c>
    </row>
    <row r="17" spans="2:16" ht="16.5" customHeight="1" outlineLevel="1" x14ac:dyDescent="0.15"/>
    <row r="18" spans="2:16" ht="16.5" customHeight="1" outlineLevel="1" x14ac:dyDescent="0.2">
      <c r="B18" s="484" t="s">
        <v>312</v>
      </c>
      <c r="C18" s="490">
        <v>47907999.999999993</v>
      </c>
      <c r="D18" s="490">
        <v>56839999.999999993</v>
      </c>
      <c r="E18" s="490">
        <v>83635999.999999985</v>
      </c>
      <c r="F18" s="490">
        <v>83635999.999999985</v>
      </c>
      <c r="G18" s="490">
        <v>83635999.999999985</v>
      </c>
      <c r="H18" s="490">
        <v>83635999.999999985</v>
      </c>
      <c r="I18" s="490">
        <v>83635999.999999985</v>
      </c>
      <c r="J18" s="490">
        <v>83635999.999999985</v>
      </c>
      <c r="K18" s="490">
        <v>83635999.999999985</v>
      </c>
      <c r="L18" s="490">
        <v>83635999.999999985</v>
      </c>
      <c r="M18" s="490">
        <v>31667999.999999996</v>
      </c>
      <c r="N18" s="310"/>
      <c r="O18" s="310"/>
      <c r="P18" s="310"/>
    </row>
    <row r="19" spans="2:16" ht="16.5" customHeight="1" outlineLevel="1" x14ac:dyDescent="0.2">
      <c r="B19" s="484" t="s">
        <v>313</v>
      </c>
      <c r="C19" s="490">
        <v>53867000.000000007</v>
      </c>
      <c r="D19" s="490">
        <v>63910000.000000007</v>
      </c>
      <c r="E19" s="490">
        <v>94039000.000000015</v>
      </c>
      <c r="F19" s="490">
        <v>94039000.000000015</v>
      </c>
      <c r="G19" s="490">
        <v>94039000.000000015</v>
      </c>
      <c r="H19" s="490">
        <v>94039000.000000015</v>
      </c>
      <c r="I19" s="490">
        <v>94039000.000000015</v>
      </c>
      <c r="J19" s="490">
        <v>94039000.000000015</v>
      </c>
      <c r="K19" s="490">
        <v>94039000.000000015</v>
      </c>
      <c r="L19" s="490">
        <v>94039000.000000015</v>
      </c>
      <c r="M19" s="490">
        <v>35607000</v>
      </c>
    </row>
    <row r="20" spans="2:16" ht="16.5" customHeight="1" outlineLevel="1" x14ac:dyDescent="0.2">
      <c r="B20" s="484" t="s">
        <v>314</v>
      </c>
      <c r="C20" s="490">
        <v>354000</v>
      </c>
      <c r="D20" s="490">
        <v>420000</v>
      </c>
      <c r="E20" s="490">
        <v>618000</v>
      </c>
      <c r="F20" s="490">
        <v>618000</v>
      </c>
      <c r="G20" s="490">
        <v>618000</v>
      </c>
      <c r="H20" s="490">
        <v>618000</v>
      </c>
      <c r="I20" s="490">
        <v>618000</v>
      </c>
      <c r="J20" s="490">
        <v>618000</v>
      </c>
      <c r="K20" s="490">
        <v>618000</v>
      </c>
      <c r="L20" s="490">
        <v>618000</v>
      </c>
      <c r="M20" s="490">
        <v>234000</v>
      </c>
    </row>
    <row r="21" spans="2:16" ht="16.5" customHeight="1" outlineLevel="1" x14ac:dyDescent="0.2">
      <c r="B21" s="484" t="s">
        <v>315</v>
      </c>
      <c r="C21" s="517">
        <v>13865000</v>
      </c>
      <c r="D21" s="517">
        <v>16450000</v>
      </c>
      <c r="E21" s="517">
        <v>24205000</v>
      </c>
      <c r="F21" s="517">
        <v>24205000</v>
      </c>
      <c r="G21" s="517">
        <v>24205000</v>
      </c>
      <c r="H21" s="517">
        <v>24205000</v>
      </c>
      <c r="I21" s="517">
        <v>24205000</v>
      </c>
      <c r="J21" s="517">
        <v>24205000</v>
      </c>
      <c r="K21" s="517">
        <v>24205000</v>
      </c>
      <c r="L21" s="517">
        <v>24205000</v>
      </c>
      <c r="M21" s="517">
        <v>9165000</v>
      </c>
    </row>
    <row r="22" spans="2:16" ht="16.5" customHeight="1" outlineLevel="1" x14ac:dyDescent="0.2">
      <c r="B22" s="505" t="s">
        <v>178</v>
      </c>
      <c r="C22" s="516">
        <v>115994000</v>
      </c>
      <c r="D22" s="516">
        <v>137620000</v>
      </c>
      <c r="E22" s="516">
        <v>202498000</v>
      </c>
      <c r="F22" s="516">
        <v>202498000</v>
      </c>
      <c r="G22" s="516">
        <v>202498000</v>
      </c>
      <c r="H22" s="516">
        <v>202498000</v>
      </c>
      <c r="I22" s="516">
        <v>202498000</v>
      </c>
      <c r="J22" s="516">
        <v>202498000</v>
      </c>
      <c r="K22" s="516">
        <v>202498000</v>
      </c>
      <c r="L22" s="516">
        <v>202498000</v>
      </c>
      <c r="M22" s="516">
        <v>76674000</v>
      </c>
    </row>
    <row r="23" spans="2:16" ht="16.5" customHeight="1" outlineLevel="1" x14ac:dyDescent="0.15"/>
    <row r="24" spans="2:16" ht="16.5" customHeight="1" outlineLevel="1" x14ac:dyDescent="0.2">
      <c r="B24" s="490" t="s">
        <v>129</v>
      </c>
      <c r="C24" s="490">
        <v>9548309.1787439603</v>
      </c>
      <c r="D24" s="490">
        <v>11328502.415458936</v>
      </c>
      <c r="E24" s="490">
        <v>16669082.125603864</v>
      </c>
      <c r="F24" s="490">
        <v>16669082.125603864</v>
      </c>
      <c r="G24" s="490">
        <v>16669082.125603864</v>
      </c>
      <c r="H24" s="490">
        <v>16669082.125603864</v>
      </c>
      <c r="I24" s="490">
        <v>16669082.125603864</v>
      </c>
      <c r="J24" s="490">
        <v>16669082.125603864</v>
      </c>
      <c r="K24" s="490">
        <v>16669082.125603864</v>
      </c>
      <c r="L24" s="490">
        <v>16669082.125603864</v>
      </c>
      <c r="M24" s="490">
        <v>6311594.2028985508</v>
      </c>
    </row>
    <row r="25" spans="2:16" ht="16.5" customHeight="1" outlineLevel="1" x14ac:dyDescent="0.2">
      <c r="B25" s="490" t="s">
        <v>133</v>
      </c>
      <c r="C25" s="490">
        <v>23000000</v>
      </c>
      <c r="D25" s="490">
        <v>6133333.333333333</v>
      </c>
      <c r="E25" s="490">
        <v>6133333.333333333</v>
      </c>
      <c r="F25" s="490">
        <v>6133333.333333333</v>
      </c>
      <c r="G25" s="490">
        <v>0</v>
      </c>
      <c r="H25" s="490">
        <v>0</v>
      </c>
      <c r="I25" s="490">
        <v>0</v>
      </c>
      <c r="J25" s="490">
        <v>0</v>
      </c>
      <c r="K25" s="490">
        <v>0</v>
      </c>
      <c r="L25" s="490">
        <v>0</v>
      </c>
      <c r="M25" s="490">
        <v>0</v>
      </c>
    </row>
    <row r="26" spans="2:16" ht="16.5" customHeight="1" outlineLevel="1" x14ac:dyDescent="0.2">
      <c r="B26" s="517" t="s">
        <v>131</v>
      </c>
      <c r="C26" s="517">
        <v>5757487.9227053141</v>
      </c>
      <c r="D26" s="517">
        <v>6830917.8743961351</v>
      </c>
      <c r="E26" s="517">
        <v>10051207.729468599</v>
      </c>
      <c r="F26" s="517">
        <v>10051207.729468599</v>
      </c>
      <c r="G26" s="517">
        <v>10051207.729468599</v>
      </c>
      <c r="H26" s="517">
        <v>10051207.729468599</v>
      </c>
      <c r="I26" s="517">
        <v>10051207.729468599</v>
      </c>
      <c r="J26" s="517">
        <v>10051207.729468599</v>
      </c>
      <c r="K26" s="517">
        <v>10051207.729468599</v>
      </c>
      <c r="L26" s="517">
        <v>10051207.729468599</v>
      </c>
      <c r="M26" s="517">
        <v>3805797.1014492754</v>
      </c>
    </row>
    <row r="27" spans="2:16" ht="16.5" customHeight="1" outlineLevel="1" x14ac:dyDescent="0.2">
      <c r="B27" s="518" t="s">
        <v>180</v>
      </c>
      <c r="C27" s="518">
        <v>38305797.101449274</v>
      </c>
      <c r="D27" s="518">
        <v>24292753.623188403</v>
      </c>
      <c r="E27" s="518">
        <v>32853623.188405797</v>
      </c>
      <c r="F27" s="518">
        <v>32853623.188405797</v>
      </c>
      <c r="G27" s="518">
        <v>26720289.855072461</v>
      </c>
      <c r="H27" s="518">
        <v>26720289.855072461</v>
      </c>
      <c r="I27" s="518">
        <v>26720289.855072461</v>
      </c>
      <c r="J27" s="518">
        <v>26720289.855072461</v>
      </c>
      <c r="K27" s="518">
        <v>26720289.855072461</v>
      </c>
      <c r="L27" s="518">
        <v>26720289.855072461</v>
      </c>
      <c r="M27" s="518">
        <v>10117391.304347826</v>
      </c>
    </row>
    <row r="28" spans="2:16" ht="16.5" customHeight="1" outlineLevel="1" x14ac:dyDescent="0.2">
      <c r="B28" s="491"/>
      <c r="C28" s="491"/>
      <c r="D28" s="491"/>
      <c r="E28" s="491"/>
      <c r="F28" s="491"/>
      <c r="G28" s="491"/>
      <c r="H28" s="491"/>
      <c r="I28" s="491"/>
      <c r="J28" s="491"/>
      <c r="K28" s="491"/>
      <c r="L28" s="491"/>
      <c r="M28" s="491"/>
    </row>
    <row r="29" spans="2:16" ht="16.5" customHeight="1" outlineLevel="1" x14ac:dyDescent="0.2">
      <c r="B29" s="487" t="s">
        <v>21</v>
      </c>
      <c r="C29" s="514">
        <v>136309408.23306286</v>
      </c>
      <c r="D29" s="514">
        <v>176336280.65445083</v>
      </c>
      <c r="E29" s="514">
        <v>302268416.00992978</v>
      </c>
      <c r="F29" s="514">
        <v>230685356.39249176</v>
      </c>
      <c r="G29" s="514">
        <v>220564677.37210011</v>
      </c>
      <c r="H29" s="514">
        <v>196912735.4393577</v>
      </c>
      <c r="I29" s="514">
        <v>193665493.68781823</v>
      </c>
      <c r="J29" s="514">
        <v>219414748.70354688</v>
      </c>
      <c r="K29" s="514">
        <v>183146259.84480304</v>
      </c>
      <c r="L29" s="514">
        <v>128328637.52002156</v>
      </c>
      <c r="M29" s="514">
        <v>25924401.806450129</v>
      </c>
    </row>
    <row r="30" spans="2:16" ht="16.5" customHeight="1" outlineLevel="1" x14ac:dyDescent="0.2">
      <c r="B30" s="499" t="s">
        <v>316</v>
      </c>
      <c r="C30" s="519">
        <v>14126042.35347458</v>
      </c>
      <c r="D30" s="519">
        <v>18582318.719806582</v>
      </c>
      <c r="E30" s="519">
        <v>31263670.780885499</v>
      </c>
      <c r="F30" s="519">
        <v>35716201.291945755</v>
      </c>
      <c r="G30" s="519">
        <v>39905226.94654616</v>
      </c>
      <c r="H30" s="519">
        <v>44873078.670503676</v>
      </c>
      <c r="I30" s="519">
        <v>50975495.20059783</v>
      </c>
      <c r="J30" s="519">
        <v>58884086.738162383</v>
      </c>
      <c r="K30" s="519">
        <v>70117514.718050003</v>
      </c>
      <c r="L30" s="519">
        <v>89499133.415743411</v>
      </c>
      <c r="M30" s="519">
        <v>44005412.694774941</v>
      </c>
    </row>
    <row r="31" spans="2:16" ht="16.5" customHeight="1" outlineLevel="1" x14ac:dyDescent="0.2">
      <c r="N31" s="485"/>
    </row>
    <row r="32" spans="2:16" ht="16.5" customHeight="1" outlineLevel="1" x14ac:dyDescent="0.2">
      <c r="B32" s="505" t="s">
        <v>317</v>
      </c>
      <c r="C32" s="487">
        <v>122183365.87958828</v>
      </c>
      <c r="D32" s="487">
        <v>157753961.93464425</v>
      </c>
      <c r="E32" s="487">
        <v>271004745.22904426</v>
      </c>
      <c r="F32" s="487">
        <v>194969155.100546</v>
      </c>
      <c r="G32" s="487">
        <v>180659450.42555395</v>
      </c>
      <c r="H32" s="487">
        <v>152039656.76885402</v>
      </c>
      <c r="I32" s="487">
        <v>142689998.48722041</v>
      </c>
      <c r="J32" s="487">
        <v>160530661.96538448</v>
      </c>
      <c r="K32" s="487">
        <v>113028745.12675303</v>
      </c>
      <c r="L32" s="487">
        <v>38829504.104278147</v>
      </c>
      <c r="M32" s="487">
        <v>-18081010.888324812</v>
      </c>
      <c r="N32" s="485"/>
    </row>
    <row r="33" spans="2:14" ht="16.5" customHeight="1" outlineLevel="1" x14ac:dyDescent="0.2">
      <c r="B33" s="486" t="s">
        <v>184</v>
      </c>
      <c r="C33" s="486">
        <v>14126042.35347458</v>
      </c>
      <c r="D33" s="486">
        <v>18582318.719806582</v>
      </c>
      <c r="E33" s="486">
        <v>31263670.780885499</v>
      </c>
      <c r="F33" s="486">
        <v>35716201.291945755</v>
      </c>
      <c r="G33" s="486">
        <v>39905226.94654616</v>
      </c>
      <c r="H33" s="486">
        <v>44873078.670503676</v>
      </c>
      <c r="I33" s="486">
        <v>50975495.20059783</v>
      </c>
      <c r="J33" s="486">
        <v>58884086.738162383</v>
      </c>
      <c r="K33" s="486">
        <v>70117514.718050003</v>
      </c>
      <c r="L33" s="486">
        <v>89499133.415743411</v>
      </c>
      <c r="M33" s="486">
        <v>44005412.694774941</v>
      </c>
      <c r="N33" s="485"/>
    </row>
    <row r="34" spans="2:14" ht="16.5" customHeight="1" outlineLevel="1" x14ac:dyDescent="0.2">
      <c r="B34" s="486" t="s">
        <v>203</v>
      </c>
      <c r="C34" s="486">
        <v>-38305797.101449274</v>
      </c>
      <c r="D34" s="486">
        <v>-24292753.623188403</v>
      </c>
      <c r="E34" s="486">
        <v>-32853623.188405797</v>
      </c>
      <c r="F34" s="486">
        <v>-32853623.188405797</v>
      </c>
      <c r="G34" s="486">
        <v>-26720289.855072461</v>
      </c>
      <c r="H34" s="486">
        <v>-26720289.855072461</v>
      </c>
      <c r="I34" s="486">
        <v>-26720289.855072461</v>
      </c>
      <c r="J34" s="486">
        <v>-26720289.855072461</v>
      </c>
      <c r="K34" s="486">
        <v>-26720289.855072461</v>
      </c>
      <c r="L34" s="486">
        <v>-26720289.855072461</v>
      </c>
      <c r="M34" s="486">
        <v>-10117391.304347826</v>
      </c>
      <c r="N34" s="485"/>
    </row>
    <row r="35" spans="2:14" ht="16.5" customHeight="1" outlineLevel="1" x14ac:dyDescent="0.2">
      <c r="B35" s="486" t="s">
        <v>141</v>
      </c>
      <c r="C35" s="486">
        <f>-C32*26.3%</f>
        <v>-32134225.226331718</v>
      </c>
      <c r="D35" s="486">
        <f t="shared" ref="D35:L35" si="1">-D32*26.3%</f>
        <v>-41489291.988811441</v>
      </c>
      <c r="E35" s="486">
        <f t="shared" si="1"/>
        <v>-71274247.995238647</v>
      </c>
      <c r="F35" s="486">
        <f t="shared" si="1"/>
        <v>-51276887.791443601</v>
      </c>
      <c r="G35" s="486">
        <f t="shared" si="1"/>
        <v>-47513435.461920694</v>
      </c>
      <c r="H35" s="486">
        <f t="shared" si="1"/>
        <v>-39986429.730208613</v>
      </c>
      <c r="I35" s="486">
        <f t="shared" si="1"/>
        <v>-37527469.602138966</v>
      </c>
      <c r="J35" s="486">
        <f t="shared" si="1"/>
        <v>-42219564.096896119</v>
      </c>
      <c r="K35" s="486">
        <f t="shared" si="1"/>
        <v>-29726559.968336049</v>
      </c>
      <c r="L35" s="486">
        <f t="shared" si="1"/>
        <v>-10212159.579425152</v>
      </c>
      <c r="M35" s="486">
        <v>0</v>
      </c>
      <c r="N35" s="485"/>
    </row>
    <row r="36" spans="2:14" ht="16.5" customHeight="1" outlineLevel="1" x14ac:dyDescent="0.2">
      <c r="B36" s="486" t="s">
        <v>204</v>
      </c>
      <c r="C36" s="486">
        <v>517185.89826482441</v>
      </c>
      <c r="D36" s="486">
        <v>233105.9608196551</v>
      </c>
      <c r="E36" s="486">
        <v>665208.18795990199</v>
      </c>
      <c r="F36" s="486">
        <v>417272.27990345657</v>
      </c>
      <c r="G36" s="486">
        <v>58995.505802342668</v>
      </c>
      <c r="H36" s="486">
        <v>137872.00193962269</v>
      </c>
      <c r="I36" s="486">
        <v>18928.835625413805</v>
      </c>
      <c r="J36" s="486">
        <v>-150097.66840996221</v>
      </c>
      <c r="K36" s="486">
        <v>211416.43170354888</v>
      </c>
      <c r="L36" s="486">
        <v>319543.12051752582</v>
      </c>
      <c r="M36" s="486">
        <v>-2116843.8606029069</v>
      </c>
      <c r="N36" s="485"/>
    </row>
    <row r="37" spans="2:14" ht="16.5" customHeight="1" outlineLevel="1" x14ac:dyDescent="0.2">
      <c r="B37" s="519" t="s">
        <v>134</v>
      </c>
      <c r="C37" s="519">
        <v>0</v>
      </c>
      <c r="D37" s="519">
        <v>0</v>
      </c>
      <c r="E37" s="519">
        <v>0</v>
      </c>
      <c r="F37" s="519">
        <v>0</v>
      </c>
      <c r="G37" s="519">
        <v>0</v>
      </c>
      <c r="H37" s="519">
        <v>0</v>
      </c>
      <c r="I37" s="519">
        <v>0</v>
      </c>
      <c r="J37" s="519">
        <v>0</v>
      </c>
      <c r="K37" s="519">
        <v>0</v>
      </c>
      <c r="L37" s="519">
        <v>0</v>
      </c>
      <c r="M37" s="519">
        <v>-20000000</v>
      </c>
      <c r="N37" s="485"/>
    </row>
    <row r="38" spans="2:14" ht="16.5" customHeight="1" outlineLevel="1" x14ac:dyDescent="0.15"/>
    <row r="39" spans="2:14" ht="16.5" customHeight="1" outlineLevel="1" x14ac:dyDescent="0.2">
      <c r="B39" s="505" t="s">
        <v>199</v>
      </c>
      <c r="C39" s="487">
        <f>C32+C33+C34+C35+C36+C37</f>
        <v>66386571.803546689</v>
      </c>
      <c r="D39" s="487">
        <f t="shared" ref="D39:M39" si="2">D32+D33+D34+D35+D36+D37</f>
        <v>110787341.00327066</v>
      </c>
      <c r="E39" s="487">
        <f t="shared" si="2"/>
        <v>198805753.01424521</v>
      </c>
      <c r="F39" s="487">
        <f t="shared" si="2"/>
        <v>146972117.69254583</v>
      </c>
      <c r="G39" s="487">
        <f t="shared" si="2"/>
        <v>146389947.56090927</v>
      </c>
      <c r="H39" s="487">
        <f t="shared" si="2"/>
        <v>130343887.85601625</v>
      </c>
      <c r="I39" s="487">
        <f t="shared" si="2"/>
        <v>129436663.0662322</v>
      </c>
      <c r="J39" s="487">
        <f t="shared" si="2"/>
        <v>150324797.08316833</v>
      </c>
      <c r="K39" s="487">
        <f t="shared" si="2"/>
        <v>126910826.45309807</v>
      </c>
      <c r="L39" s="487">
        <f t="shared" si="2"/>
        <v>91715731.206041455</v>
      </c>
      <c r="M39" s="487">
        <f t="shared" si="2"/>
        <v>-6309833.3585006036</v>
      </c>
    </row>
    <row r="40" spans="2:14" ht="16.5" customHeight="1" outlineLevel="1" x14ac:dyDescent="0.2">
      <c r="D40" s="487"/>
      <c r="E40" s="487"/>
      <c r="F40" s="487"/>
      <c r="G40" s="487"/>
      <c r="H40" s="487"/>
      <c r="I40" s="487"/>
      <c r="J40" s="487"/>
      <c r="K40" s="487"/>
      <c r="L40" s="487"/>
      <c r="M40" s="487"/>
    </row>
    <row r="41" spans="2:14" ht="16.5" customHeight="1" outlineLevel="1" x14ac:dyDescent="0.2">
      <c r="B41" s="505" t="s">
        <v>318</v>
      </c>
      <c r="C41" s="522">
        <v>0.18</v>
      </c>
      <c r="D41" s="487"/>
      <c r="E41" s="487"/>
      <c r="F41" s="487"/>
      <c r="G41" s="487"/>
      <c r="H41" s="487"/>
      <c r="I41" s="487"/>
      <c r="J41" s="487"/>
      <c r="K41" s="487"/>
      <c r="L41" s="487"/>
      <c r="M41" s="487"/>
    </row>
    <row r="42" spans="2:14" ht="16.5" customHeight="1" outlineLevel="1" x14ac:dyDescent="0.2">
      <c r="B42" s="505" t="s">
        <v>321</v>
      </c>
      <c r="C42" s="506">
        <v>673670585.05934381</v>
      </c>
    </row>
    <row r="43" spans="2:14" ht="16.5" customHeight="1" outlineLevel="1" x14ac:dyDescent="0.15"/>
    <row r="44" spans="2:14" ht="16.5" customHeight="1" outlineLevel="1" x14ac:dyDescent="0.15">
      <c r="B44" s="235" t="s">
        <v>305</v>
      </c>
      <c r="C44" s="235"/>
      <c r="D44" s="235"/>
    </row>
    <row r="45" spans="2:14" ht="16.5" customHeight="1" outlineLevel="1" x14ac:dyDescent="0.15">
      <c r="B45" s="398"/>
    </row>
    <row r="46" spans="2:14" ht="16.5" customHeight="1" outlineLevel="1" x14ac:dyDescent="0.2">
      <c r="B46" s="485" t="s">
        <v>310</v>
      </c>
      <c r="D46" s="494">
        <v>4422353047.6004534</v>
      </c>
    </row>
    <row r="47" spans="2:14" ht="16.5" customHeight="1" outlineLevel="1" x14ac:dyDescent="0.2">
      <c r="B47" s="485" t="s">
        <v>307</v>
      </c>
      <c r="D47" s="502">
        <v>1270</v>
      </c>
    </row>
    <row r="48" spans="2:14" ht="16.5" customHeight="1" outlineLevel="1" x14ac:dyDescent="0.2">
      <c r="B48" s="485" t="s">
        <v>309</v>
      </c>
      <c r="D48" s="502">
        <v>2408412</v>
      </c>
    </row>
    <row r="49" spans="2:4" ht="16.5" customHeight="1" outlineLevel="1" x14ac:dyDescent="0.2">
      <c r="B49" s="499" t="s">
        <v>308</v>
      </c>
      <c r="C49" s="249"/>
      <c r="D49" s="521">
        <v>0.26300000000000001</v>
      </c>
    </row>
    <row r="50" spans="2:4" ht="16.5" customHeight="1" outlineLevel="1" x14ac:dyDescent="0.2">
      <c r="B50" s="485"/>
      <c r="D50" s="501"/>
    </row>
    <row r="51" spans="2:4" ht="16.5" customHeight="1" outlineLevel="1" x14ac:dyDescent="0.2">
      <c r="B51" s="488" t="s">
        <v>319</v>
      </c>
      <c r="C51" s="489"/>
      <c r="D51" s="492">
        <v>673670585.05934381</v>
      </c>
    </row>
    <row r="52" spans="2:4" ht="16.5" customHeight="1" outlineLevel="1" x14ac:dyDescent="0.15">
      <c r="B52" s="356"/>
      <c r="C52" s="356"/>
    </row>
    <row r="53" spans="2:4" ht="16.5" customHeight="1" outlineLevel="1" x14ac:dyDescent="0.2">
      <c r="B53" s="490" t="s">
        <v>303</v>
      </c>
      <c r="C53" s="490"/>
      <c r="D53" s="494">
        <v>1000000</v>
      </c>
    </row>
    <row r="54" spans="2:4" ht="16.5" customHeight="1" outlineLevel="1" x14ac:dyDescent="0.2">
      <c r="B54" s="490" t="s">
        <v>221</v>
      </c>
      <c r="C54" s="490"/>
      <c r="D54" s="494">
        <v>11800000</v>
      </c>
    </row>
    <row r="55" spans="2:4" ht="18" outlineLevel="1" x14ac:dyDescent="0.2">
      <c r="B55" s="504" t="s">
        <v>222</v>
      </c>
      <c r="C55" s="504"/>
      <c r="D55" s="500">
        <v>-102000000</v>
      </c>
    </row>
    <row r="56" spans="2:4" outlineLevel="1" x14ac:dyDescent="0.15">
      <c r="B56" s="449"/>
      <c r="C56" s="265"/>
    </row>
    <row r="57" spans="2:4" ht="18" outlineLevel="1" x14ac:dyDescent="0.2">
      <c r="B57" s="488" t="s">
        <v>320</v>
      </c>
      <c r="C57" s="265"/>
      <c r="D57" s="494">
        <f>D51+D53+D54+D55</f>
        <v>584470585.05934381</v>
      </c>
    </row>
    <row r="58" spans="2:4" ht="18" outlineLevel="1" x14ac:dyDescent="0.2">
      <c r="B58" s="504" t="s">
        <v>224</v>
      </c>
      <c r="C58" s="504"/>
      <c r="D58" s="500">
        <v>523257314</v>
      </c>
    </row>
    <row r="59" spans="2:4" outlineLevel="1" x14ac:dyDescent="0.15"/>
    <row r="60" spans="2:4" ht="18" outlineLevel="1" x14ac:dyDescent="0.2">
      <c r="B60" s="491" t="s">
        <v>225</v>
      </c>
      <c r="C60" s="491"/>
      <c r="D60" s="496">
        <f>D57/D58</f>
        <v>1.1169850271014918</v>
      </c>
    </row>
    <row r="61" spans="2:4" ht="18" outlineLevel="1" x14ac:dyDescent="0.2">
      <c r="B61" s="491"/>
      <c r="C61" s="490"/>
      <c r="D61" s="494"/>
    </row>
    <row r="62" spans="2:4" ht="18" outlineLevel="1" x14ac:dyDescent="0.2">
      <c r="B62" s="490" t="s">
        <v>15</v>
      </c>
      <c r="C62" s="490"/>
      <c r="D62" s="498">
        <v>0.55000000000000004</v>
      </c>
    </row>
    <row r="63" spans="2:4" ht="18" outlineLevel="1" x14ac:dyDescent="0.2">
      <c r="B63" s="491" t="s">
        <v>56</v>
      </c>
      <c r="C63" s="490"/>
      <c r="D63" s="497">
        <f>D62/D60</f>
        <v>0.49239693161081716</v>
      </c>
    </row>
    <row r="64" spans="2:4" outlineLevel="1" x14ac:dyDescent="0.15"/>
    <row r="65" spans="1:22" outlineLevel="1" x14ac:dyDescent="0.15"/>
    <row r="66" spans="1:22" outlineLevel="1" x14ac:dyDescent="0.15"/>
    <row r="67" spans="1:22" ht="13.5" customHeight="1" x14ac:dyDescent="0.15"/>
    <row r="68" spans="1:22" s="237" customFormat="1" ht="18.75" customHeight="1" x14ac:dyDescent="0.15">
      <c r="A68" s="239"/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</row>
    <row r="69" spans="1:22" s="274" customFormat="1" outlineLevel="1" x14ac:dyDescent="0.15">
      <c r="A69" s="239"/>
      <c r="B69" s="239"/>
      <c r="C69" s="239"/>
      <c r="D69" s="239"/>
      <c r="E69" s="239"/>
      <c r="F69" s="239"/>
      <c r="G69" s="239"/>
      <c r="H69" s="239"/>
      <c r="I69" s="239"/>
      <c r="J69" s="239"/>
      <c r="K69" s="239"/>
      <c r="L69" s="239"/>
      <c r="M69" s="239"/>
      <c r="N69" s="239"/>
      <c r="O69" s="239"/>
      <c r="P69" s="239"/>
      <c r="Q69" s="239"/>
      <c r="R69" s="239"/>
      <c r="S69" s="239"/>
      <c r="T69" s="239"/>
      <c r="U69" s="239"/>
      <c r="V69" s="239"/>
    </row>
    <row r="70" spans="1:22" s="274" customFormat="1" outlineLevel="1" x14ac:dyDescent="0.15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</row>
    <row r="71" spans="1:22" s="274" customFormat="1" outlineLevel="1" x14ac:dyDescent="0.15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</row>
    <row r="72" spans="1:22" s="274" customFormat="1" outlineLevel="1" x14ac:dyDescent="0.15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</row>
    <row r="73" spans="1:22" s="274" customFormat="1" outlineLevel="1" x14ac:dyDescent="0.15">
      <c r="A73" s="239"/>
      <c r="B73" s="239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</row>
    <row r="74" spans="1:22" s="274" customFormat="1" outlineLevel="1" x14ac:dyDescent="0.15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</row>
    <row r="75" spans="1:22" s="274" customFormat="1" outlineLevel="1" x14ac:dyDescent="0.15">
      <c r="A75" s="239"/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</row>
    <row r="76" spans="1:22" s="274" customFormat="1" outlineLevel="1" x14ac:dyDescent="0.15">
      <c r="A76" s="239"/>
      <c r="B76" s="239"/>
      <c r="C76" s="239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</row>
    <row r="77" spans="1:22" s="274" customFormat="1" outlineLevel="1" x14ac:dyDescent="0.15">
      <c r="A77" s="239"/>
      <c r="B77" s="239"/>
      <c r="C77" s="239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</row>
    <row r="78" spans="1:22" s="274" customFormat="1" outlineLevel="1" x14ac:dyDescent="0.15">
      <c r="A78" s="239"/>
      <c r="B78" s="239"/>
      <c r="C78" s="239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</row>
    <row r="79" spans="1:22" s="274" customFormat="1" outlineLevel="1" x14ac:dyDescent="0.15">
      <c r="A79" s="239"/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</row>
    <row r="80" spans="1:22" s="274" customFormat="1" outlineLevel="1" x14ac:dyDescent="0.15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</row>
    <row r="81" spans="1:22" s="274" customFormat="1" ht="14.25" customHeight="1" outlineLevel="1" x14ac:dyDescent="0.15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</row>
    <row r="82" spans="1:22" s="310" customFormat="1" outlineLevel="1" x14ac:dyDescent="0.15">
      <c r="A82" s="239"/>
      <c r="B82" s="239"/>
      <c r="C82" s="239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</row>
    <row r="83" spans="1:22" s="274" customFormat="1" outlineLevel="1" x14ac:dyDescent="0.15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</row>
    <row r="84" spans="1:22" s="310" customFormat="1" outlineLevel="1" x14ac:dyDescent="0.15">
      <c r="A84" s="239"/>
      <c r="B84" s="239"/>
      <c r="C84" s="239"/>
      <c r="D84" s="239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</row>
    <row r="85" spans="1:22" s="310" customFormat="1" outlineLevel="1" x14ac:dyDescent="0.15">
      <c r="A85" s="239"/>
      <c r="B85" s="239"/>
      <c r="C85" s="239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</row>
    <row r="86" spans="1:22" s="310" customFormat="1" outlineLevel="1" x14ac:dyDescent="0.15">
      <c r="A86" s="239"/>
      <c r="B86" s="239"/>
      <c r="C86" s="239"/>
      <c r="D86" s="239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</row>
    <row r="87" spans="1:22" s="310" customFormat="1" outlineLevel="1" x14ac:dyDescent="0.15">
      <c r="A87" s="239"/>
      <c r="B87" s="239"/>
      <c r="C87" s="239"/>
      <c r="D87" s="239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</row>
    <row r="88" spans="1:22" s="310" customFormat="1" outlineLevel="1" x14ac:dyDescent="0.15">
      <c r="A88" s="239"/>
      <c r="B88" s="239"/>
      <c r="C88" s="239"/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</row>
    <row r="89" spans="1:22" s="310" customFormat="1" outlineLevel="1" x14ac:dyDescent="0.15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</row>
    <row r="90" spans="1:22" s="310" customFormat="1" outlineLevel="1" x14ac:dyDescent="0.15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</row>
    <row r="91" spans="1:22" s="310" customFormat="1" outlineLevel="1" x14ac:dyDescent="0.15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</row>
    <row r="92" spans="1:22" s="310" customFormat="1" outlineLevel="1" x14ac:dyDescent="0.15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</row>
    <row r="93" spans="1:22" s="310" customFormat="1" outlineLevel="1" x14ac:dyDescent="0.15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</row>
    <row r="94" spans="1:22" s="310" customFormat="1" outlineLevel="1" x14ac:dyDescent="0.15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</row>
    <row r="95" spans="1:22" s="310" customFormat="1" outlineLevel="1" x14ac:dyDescent="0.15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</row>
    <row r="96" spans="1:22" s="321" customFormat="1" outlineLevel="1" x14ac:dyDescent="0.15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</row>
    <row r="97" spans="1:22" s="321" customFormat="1" outlineLevel="1" x14ac:dyDescent="0.15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</row>
    <row r="98" spans="1:22" s="321" customFormat="1" outlineLevel="1" x14ac:dyDescent="0.15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</row>
    <row r="99" spans="1:22" s="310" customFormat="1" outlineLevel="1" x14ac:dyDescent="0.15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</row>
    <row r="100" spans="1:22" s="310" customFormat="1" outlineLevel="1" x14ac:dyDescent="0.15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</row>
    <row r="101" spans="1:22" s="310" customFormat="1" outlineLevel="1" x14ac:dyDescent="0.15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</row>
    <row r="102" spans="1:22" s="310" customFormat="1" outlineLevel="1" x14ac:dyDescent="0.15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</row>
    <row r="103" spans="1:22" s="310" customFormat="1" outlineLevel="1" x14ac:dyDescent="0.15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</row>
    <row r="104" spans="1:22" s="310" customFormat="1" x14ac:dyDescent="0.15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</row>
    <row r="105" spans="1:22" s="237" customFormat="1" ht="18.75" customHeight="1" x14ac:dyDescent="0.15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</row>
    <row r="106" spans="1:22" s="326" customFormat="1" ht="16.5" customHeight="1" outlineLevel="1" x14ac:dyDescent="0.15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</row>
    <row r="107" spans="1:22" s="274" customFormat="1" outlineLevel="1" x14ac:dyDescent="0.15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</row>
    <row r="108" spans="1:22" s="274" customFormat="1" outlineLevel="1" x14ac:dyDescent="0.15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</row>
    <row r="109" spans="1:22" s="274" customFormat="1" outlineLevel="1" x14ac:dyDescent="0.15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</row>
    <row r="110" spans="1:22" s="310" customFormat="1" outlineLevel="1" x14ac:dyDescent="0.15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</row>
    <row r="111" spans="1:22" s="321" customFormat="1" outlineLevel="1" x14ac:dyDescent="0.15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</row>
    <row r="112" spans="1:22" s="274" customFormat="1" outlineLevel="1" x14ac:dyDescent="0.15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</row>
    <row r="113" spans="1:22" s="274" customFormat="1" outlineLevel="1" x14ac:dyDescent="0.15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</row>
    <row r="114" spans="1:22" s="274" customFormat="1" outlineLevel="1" x14ac:dyDescent="0.15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</row>
    <row r="115" spans="1:22" s="321" customFormat="1" outlineLevel="1" x14ac:dyDescent="0.15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</row>
    <row r="116" spans="1:22" s="321" customFormat="1" outlineLevel="1" x14ac:dyDescent="0.15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</row>
    <row r="117" spans="1:22" s="310" customFormat="1" outlineLevel="1" x14ac:dyDescent="0.15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</row>
    <row r="118" spans="1:22" s="310" customFormat="1" outlineLevel="1" x14ac:dyDescent="0.15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</row>
    <row r="119" spans="1:22" s="310" customFormat="1" outlineLevel="1" x14ac:dyDescent="0.15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</row>
    <row r="120" spans="1:22" s="310" customFormat="1" outlineLevel="1" x14ac:dyDescent="0.15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</row>
    <row r="121" spans="1:22" s="310" customFormat="1" outlineLevel="1" x14ac:dyDescent="0.15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</row>
    <row r="122" spans="1:22" s="310" customFormat="1" outlineLevel="1" x14ac:dyDescent="0.15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</row>
    <row r="123" spans="1:22" s="310" customFormat="1" outlineLevel="1" x14ac:dyDescent="0.15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</row>
    <row r="124" spans="1:22" s="310" customFormat="1" outlineLevel="1" x14ac:dyDescent="0.15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</row>
    <row r="125" spans="1:22" s="310" customFormat="1" outlineLevel="1" x14ac:dyDescent="0.15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</row>
    <row r="126" spans="1:22" s="310" customFormat="1" outlineLevel="1" x14ac:dyDescent="0.15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</row>
    <row r="127" spans="1:22" s="310" customFormat="1" outlineLevel="1" x14ac:dyDescent="0.15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</row>
    <row r="128" spans="1:22" s="310" customFormat="1" outlineLevel="1" x14ac:dyDescent="0.15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</row>
    <row r="129" spans="1:22" s="310" customFormat="1" outlineLevel="1" x14ac:dyDescent="0.15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</row>
    <row r="130" spans="1:22" s="310" customFormat="1" outlineLevel="1" x14ac:dyDescent="0.15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</row>
    <row r="131" spans="1:22" s="310" customFormat="1" outlineLevel="1" x14ac:dyDescent="0.15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</row>
    <row r="132" spans="1:22" s="310" customFormat="1" outlineLevel="1" x14ac:dyDescent="0.15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</row>
    <row r="133" spans="1:22" s="310" customFormat="1" outlineLevel="1" x14ac:dyDescent="0.15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</row>
    <row r="134" spans="1:22" s="310" customFormat="1" outlineLevel="1" x14ac:dyDescent="0.15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</row>
    <row r="135" spans="1:22" s="310" customFormat="1" outlineLevel="1" x14ac:dyDescent="0.15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</row>
    <row r="136" spans="1:22" s="310" customFormat="1" outlineLevel="1" x14ac:dyDescent="0.15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</row>
    <row r="137" spans="1:22" s="310" customFormat="1" outlineLevel="1" x14ac:dyDescent="0.15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</row>
    <row r="138" spans="1:22" s="310" customFormat="1" outlineLevel="1" x14ac:dyDescent="0.15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</row>
    <row r="139" spans="1:22" s="310" customFormat="1" outlineLevel="1" x14ac:dyDescent="0.15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</row>
    <row r="140" spans="1:22" s="310" customFormat="1" outlineLevel="1" x14ac:dyDescent="0.15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</row>
    <row r="141" spans="1:22" s="310" customFormat="1" outlineLevel="1" x14ac:dyDescent="0.15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</row>
    <row r="142" spans="1:22" s="310" customFormat="1" outlineLevel="1" x14ac:dyDescent="0.15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</row>
    <row r="143" spans="1:22" s="310" customFormat="1" outlineLevel="1" x14ac:dyDescent="0.15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</row>
    <row r="144" spans="1:22" s="310" customFormat="1" outlineLevel="1" x14ac:dyDescent="0.15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</row>
    <row r="145" spans="1:22" s="310" customFormat="1" outlineLevel="1" x14ac:dyDescent="0.15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</row>
    <row r="146" spans="1:22" s="310" customFormat="1" outlineLevel="1" x14ac:dyDescent="0.15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</row>
    <row r="147" spans="1:22" s="310" customFormat="1" outlineLevel="1" x14ac:dyDescent="0.15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</row>
    <row r="148" spans="1:22" s="310" customFormat="1" outlineLevel="1" x14ac:dyDescent="0.15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</row>
    <row r="149" spans="1:22" s="310" customFormat="1" outlineLevel="1" x14ac:dyDescent="0.15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</row>
    <row r="150" spans="1:22" s="310" customFormat="1" outlineLevel="1" x14ac:dyDescent="0.15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</row>
    <row r="151" spans="1:22" s="310" customFormat="1" outlineLevel="1" x14ac:dyDescent="0.15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</row>
    <row r="152" spans="1:22" s="310" customFormat="1" outlineLevel="1" x14ac:dyDescent="0.15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</row>
    <row r="153" spans="1:22" s="310" customFormat="1" outlineLevel="1" x14ac:dyDescent="0.15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</row>
    <row r="154" spans="1:22" s="310" customFormat="1" outlineLevel="1" x14ac:dyDescent="0.15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</row>
    <row r="155" spans="1:22" s="310" customFormat="1" outlineLevel="1" x14ac:dyDescent="0.15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</row>
    <row r="156" spans="1:22" s="310" customFormat="1" outlineLevel="1" x14ac:dyDescent="0.15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</row>
    <row r="157" spans="1:22" s="310" customFormat="1" outlineLevel="1" x14ac:dyDescent="0.15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</row>
    <row r="158" spans="1:22" s="310" customFormat="1" outlineLevel="1" x14ac:dyDescent="0.15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</row>
    <row r="159" spans="1:22" s="310" customFormat="1" outlineLevel="1" x14ac:dyDescent="0.15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</row>
    <row r="160" spans="1:22" s="310" customFormat="1" outlineLevel="1" x14ac:dyDescent="0.15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</row>
    <row r="161" spans="1:22" s="310" customFormat="1" outlineLevel="1" x14ac:dyDescent="0.15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</row>
    <row r="162" spans="1:22" s="310" customFormat="1" outlineLevel="1" x14ac:dyDescent="0.15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</row>
    <row r="163" spans="1:22" s="310" customFormat="1" outlineLevel="1" x14ac:dyDescent="0.15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</row>
    <row r="164" spans="1:22" s="310" customFormat="1" outlineLevel="1" x14ac:dyDescent="0.15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</row>
    <row r="165" spans="1:22" s="310" customFormat="1" outlineLevel="1" x14ac:dyDescent="0.15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</row>
    <row r="166" spans="1:22" s="310" customFormat="1" outlineLevel="1" x14ac:dyDescent="0.15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</row>
    <row r="167" spans="1:22" s="310" customFormat="1" outlineLevel="1" x14ac:dyDescent="0.15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</row>
    <row r="168" spans="1:22" s="310" customFormat="1" outlineLevel="1" x14ac:dyDescent="0.15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</row>
    <row r="169" spans="1:22" s="310" customFormat="1" outlineLevel="1" x14ac:dyDescent="0.15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</row>
    <row r="170" spans="1:22" s="310" customFormat="1" outlineLevel="1" x14ac:dyDescent="0.15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</row>
    <row r="171" spans="1:22" s="310" customFormat="1" outlineLevel="1" x14ac:dyDescent="0.15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</row>
    <row r="172" spans="1:22" s="310" customFormat="1" outlineLevel="1" x14ac:dyDescent="0.15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</row>
    <row r="173" spans="1:22" s="310" customFormat="1" outlineLevel="1" x14ac:dyDescent="0.15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</row>
    <row r="174" spans="1:22" s="310" customFormat="1" outlineLevel="1" x14ac:dyDescent="0.15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</row>
    <row r="175" spans="1:22" s="310" customFormat="1" outlineLevel="1" x14ac:dyDescent="0.15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</row>
    <row r="176" spans="1:22" s="310" customFormat="1" outlineLevel="1" x14ac:dyDescent="0.15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</row>
    <row r="177" spans="1:22" s="310" customFormat="1" outlineLevel="1" x14ac:dyDescent="0.15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</row>
    <row r="178" spans="1:22" s="310" customFormat="1" outlineLevel="1" x14ac:dyDescent="0.15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</row>
    <row r="179" spans="1:22" s="310" customFormat="1" x14ac:dyDescent="0.15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</row>
    <row r="180" spans="1:22" s="237" customFormat="1" ht="18.75" customHeight="1" x14ac:dyDescent="0.15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</row>
    <row r="181" spans="1:22" s="310" customFormat="1" outlineLevel="1" x14ac:dyDescent="0.15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</row>
    <row r="182" spans="1:22" s="310" customFormat="1" outlineLevel="1" x14ac:dyDescent="0.15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</row>
    <row r="183" spans="1:22" s="310" customFormat="1" outlineLevel="1" x14ac:dyDescent="0.15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</row>
    <row r="184" spans="1:22" s="310" customFormat="1" outlineLevel="1" x14ac:dyDescent="0.15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</row>
    <row r="185" spans="1:22" s="310" customFormat="1" outlineLevel="1" x14ac:dyDescent="0.15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</row>
    <row r="186" spans="1:22" s="310" customFormat="1" outlineLevel="1" x14ac:dyDescent="0.15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</row>
    <row r="187" spans="1:22" s="310" customFormat="1" outlineLevel="1" x14ac:dyDescent="0.15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</row>
    <row r="188" spans="1:22" s="310" customFormat="1" outlineLevel="1" x14ac:dyDescent="0.15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</row>
    <row r="189" spans="1:22" s="310" customFormat="1" outlineLevel="1" x14ac:dyDescent="0.15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</row>
    <row r="190" spans="1:22" s="310" customFormat="1" outlineLevel="1" x14ac:dyDescent="0.15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</row>
    <row r="191" spans="1:22" s="310" customFormat="1" outlineLevel="1" x14ac:dyDescent="0.15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</row>
    <row r="192" spans="1:22" s="310" customFormat="1" outlineLevel="1" x14ac:dyDescent="0.15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</row>
    <row r="193" spans="1:22" s="310" customFormat="1" outlineLevel="1" x14ac:dyDescent="0.15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</row>
    <row r="194" spans="1:22" s="310" customFormat="1" outlineLevel="1" x14ac:dyDescent="0.15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</row>
    <row r="195" spans="1:22" s="310" customFormat="1" outlineLevel="1" x14ac:dyDescent="0.15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</row>
    <row r="196" spans="1:22" s="310" customFormat="1" outlineLevel="1" x14ac:dyDescent="0.15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</row>
    <row r="197" spans="1:22" s="310" customFormat="1" outlineLevel="1" x14ac:dyDescent="0.15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</row>
    <row r="198" spans="1:22" s="310" customFormat="1" outlineLevel="1" x14ac:dyDescent="0.15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</row>
    <row r="199" spans="1:22" s="310" customFormat="1" outlineLevel="1" x14ac:dyDescent="0.15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</row>
    <row r="200" spans="1:22" s="310" customFormat="1" outlineLevel="1" x14ac:dyDescent="0.15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</row>
    <row r="201" spans="1:22" s="310" customFormat="1" outlineLevel="1" x14ac:dyDescent="0.15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</row>
    <row r="202" spans="1:22" s="310" customFormat="1" outlineLevel="1" x14ac:dyDescent="0.15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</row>
    <row r="203" spans="1:22" s="310" customFormat="1" outlineLevel="1" x14ac:dyDescent="0.15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</row>
    <row r="204" spans="1:22" s="310" customFormat="1" outlineLevel="1" x14ac:dyDescent="0.15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</row>
    <row r="205" spans="1:22" s="310" customFormat="1" outlineLevel="1" x14ac:dyDescent="0.15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</row>
    <row r="206" spans="1:22" s="310" customFormat="1" outlineLevel="1" x14ac:dyDescent="0.15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</row>
    <row r="207" spans="1:22" s="310" customFormat="1" outlineLevel="1" x14ac:dyDescent="0.15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</row>
    <row r="208" spans="1:22" s="310" customFormat="1" outlineLevel="1" x14ac:dyDescent="0.15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</row>
    <row r="209" spans="1:22" s="310" customFormat="1" outlineLevel="1" x14ac:dyDescent="0.15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</row>
    <row r="210" spans="1:22" s="310" customFormat="1" outlineLevel="1" x14ac:dyDescent="0.15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</row>
    <row r="211" spans="1:22" s="310" customFormat="1" outlineLevel="1" x14ac:dyDescent="0.15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</row>
    <row r="212" spans="1:22" s="310" customFormat="1" outlineLevel="1" x14ac:dyDescent="0.15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</row>
    <row r="213" spans="1:22" s="310" customFormat="1" outlineLevel="1" x14ac:dyDescent="0.15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</row>
    <row r="214" spans="1:22" s="310" customFormat="1" outlineLevel="1" x14ac:dyDescent="0.15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</row>
    <row r="215" spans="1:22" s="310" customFormat="1" outlineLevel="1" x14ac:dyDescent="0.15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</row>
    <row r="216" spans="1:22" s="310" customFormat="1" outlineLevel="1" x14ac:dyDescent="0.15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</row>
    <row r="217" spans="1:22" s="310" customFormat="1" outlineLevel="1" x14ac:dyDescent="0.15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</row>
    <row r="218" spans="1:22" s="310" customFormat="1" outlineLevel="1" x14ac:dyDescent="0.15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</row>
    <row r="219" spans="1:22" s="310" customFormat="1" outlineLevel="1" x14ac:dyDescent="0.15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</row>
    <row r="220" spans="1:22" s="310" customFormat="1" outlineLevel="1" x14ac:dyDescent="0.15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</row>
    <row r="221" spans="1:22" s="310" customFormat="1" outlineLevel="1" x14ac:dyDescent="0.15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</row>
    <row r="222" spans="1:22" s="310" customFormat="1" outlineLevel="1" x14ac:dyDescent="0.15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</row>
    <row r="223" spans="1:22" s="310" customFormat="1" outlineLevel="1" x14ac:dyDescent="0.15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</row>
    <row r="224" spans="1:22" s="310" customFormat="1" x14ac:dyDescent="0.15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</row>
    <row r="225" spans="1:22" s="237" customFormat="1" ht="18.75" customHeight="1" x14ac:dyDescent="0.15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</row>
    <row r="226" spans="1:22" ht="16.5" customHeight="1" outlineLevel="1" x14ac:dyDescent="0.15"/>
    <row r="227" spans="1:22" outlineLevel="1" x14ac:dyDescent="0.15"/>
    <row r="228" spans="1:22" outlineLevel="1" x14ac:dyDescent="0.15"/>
    <row r="229" spans="1:22" outlineLevel="1" x14ac:dyDescent="0.15"/>
    <row r="230" spans="1:22" outlineLevel="1" x14ac:dyDescent="0.15"/>
    <row r="231" spans="1:22" outlineLevel="1" x14ac:dyDescent="0.15"/>
    <row r="232" spans="1:22" ht="15.75" customHeight="1" outlineLevel="1" x14ac:dyDescent="0.15"/>
    <row r="233" spans="1:22" outlineLevel="1" x14ac:dyDescent="0.15"/>
    <row r="234" spans="1:22" outlineLevel="1" x14ac:dyDescent="0.15"/>
    <row r="235" spans="1:22" outlineLevel="1" x14ac:dyDescent="0.15"/>
    <row r="236" spans="1:22" outlineLevel="1" x14ac:dyDescent="0.15"/>
    <row r="237" spans="1:22" outlineLevel="1" x14ac:dyDescent="0.15"/>
    <row r="238" spans="1:22" outlineLevel="1" x14ac:dyDescent="0.15"/>
    <row r="239" spans="1:22" outlineLevel="1" x14ac:dyDescent="0.15"/>
    <row r="240" spans="1:22" outlineLevel="1" x14ac:dyDescent="0.15"/>
    <row r="241" outlineLevel="1" x14ac:dyDescent="0.15"/>
    <row r="242" outlineLevel="1" x14ac:dyDescent="0.15"/>
    <row r="243" outlineLevel="1" x14ac:dyDescent="0.15"/>
    <row r="244" outlineLevel="1" x14ac:dyDescent="0.15"/>
    <row r="245" outlineLevel="1" x14ac:dyDescent="0.15"/>
    <row r="246" ht="15.75" customHeight="1" outlineLevel="1" x14ac:dyDescent="0.15"/>
    <row r="247" ht="15" customHeight="1" outlineLevel="1" x14ac:dyDescent="0.15"/>
    <row r="248" outlineLevel="1" x14ac:dyDescent="0.15"/>
    <row r="249" outlineLevel="1" x14ac:dyDescent="0.15"/>
    <row r="250" outlineLevel="1" x14ac:dyDescent="0.15"/>
    <row r="251" outlineLevel="1" x14ac:dyDescent="0.15"/>
    <row r="252" outlineLevel="1" x14ac:dyDescent="0.15"/>
    <row r="253" outlineLevel="1" x14ac:dyDescent="0.15"/>
    <row r="254" outlineLevel="1" x14ac:dyDescent="0.15"/>
    <row r="255" outlineLevel="1" x14ac:dyDescent="0.15"/>
    <row r="256" outlineLevel="1" x14ac:dyDescent="0.15"/>
    <row r="257" spans="1:22" outlineLevel="1" x14ac:dyDescent="0.15"/>
    <row r="258" spans="1:22" outlineLevel="1" x14ac:dyDescent="0.15"/>
    <row r="261" spans="1:22" s="237" customFormat="1" ht="18.75" customHeight="1" x14ac:dyDescent="0.15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</row>
    <row r="262" spans="1:22" s="274" customFormat="1" ht="24" hidden="1" customHeight="1" outlineLevel="2" x14ac:dyDescent="0.15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</row>
    <row r="263" spans="1:22" s="274" customFormat="1" hidden="1" outlineLevel="2" x14ac:dyDescent="0.15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</row>
    <row r="264" spans="1:22" s="274" customFormat="1" hidden="1" outlineLevel="2" x14ac:dyDescent="0.15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</row>
    <row r="265" spans="1:22" s="274" customFormat="1" hidden="1" outlineLevel="2" x14ac:dyDescent="0.15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</row>
    <row r="266" spans="1:22" s="274" customFormat="1" hidden="1" outlineLevel="2" x14ac:dyDescent="0.15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</row>
    <row r="267" spans="1:22" s="274" customFormat="1" hidden="1" outlineLevel="2" x14ac:dyDescent="0.15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</row>
    <row r="268" spans="1:22" s="274" customFormat="1" hidden="1" outlineLevel="2" x14ac:dyDescent="0.15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</row>
    <row r="269" spans="1:22" s="274" customFormat="1" hidden="1" outlineLevel="2" x14ac:dyDescent="0.15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</row>
    <row r="270" spans="1:22" s="274" customFormat="1" hidden="1" outlineLevel="2" x14ac:dyDescent="0.15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</row>
    <row r="271" spans="1:22" s="274" customFormat="1" hidden="1" outlineLevel="2" x14ac:dyDescent="0.15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</row>
    <row r="272" spans="1:22" s="274" customFormat="1" hidden="1" outlineLevel="2" x14ac:dyDescent="0.15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</row>
    <row r="273" spans="1:22" s="274" customFormat="1" hidden="1" outlineLevel="2" x14ac:dyDescent="0.15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</row>
    <row r="274" spans="1:22" s="274" customFormat="1" hidden="1" outlineLevel="2" x14ac:dyDescent="0.15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</row>
    <row r="275" spans="1:22" s="274" customFormat="1" hidden="1" outlineLevel="2" x14ac:dyDescent="0.15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</row>
    <row r="276" spans="1:22" s="274" customFormat="1" hidden="1" outlineLevel="2" x14ac:dyDescent="0.15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</row>
    <row r="277" spans="1:22" s="274" customFormat="1" hidden="1" outlineLevel="2" x14ac:dyDescent="0.15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</row>
    <row r="278" spans="1:22" s="274" customFormat="1" hidden="1" outlineLevel="2" x14ac:dyDescent="0.15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</row>
    <row r="279" spans="1:22" s="274" customFormat="1" hidden="1" outlineLevel="2" x14ac:dyDescent="0.15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</row>
    <row r="280" spans="1:22" s="274" customFormat="1" hidden="1" outlineLevel="2" x14ac:dyDescent="0.15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</row>
    <row r="281" spans="1:22" s="274" customFormat="1" hidden="1" outlineLevel="2" x14ac:dyDescent="0.15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</row>
    <row r="282" spans="1:22" s="274" customFormat="1" hidden="1" outlineLevel="2" x14ac:dyDescent="0.15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</row>
    <row r="283" spans="1:22" s="274" customFormat="1" hidden="1" outlineLevel="2" x14ac:dyDescent="0.15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</row>
    <row r="284" spans="1:22" s="274" customFormat="1" hidden="1" outlineLevel="2" x14ac:dyDescent="0.15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</row>
    <row r="285" spans="1:22" s="274" customFormat="1" hidden="1" outlineLevel="2" x14ac:dyDescent="0.15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</row>
    <row r="286" spans="1:22" s="274" customFormat="1" hidden="1" outlineLevel="2" x14ac:dyDescent="0.15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</row>
    <row r="287" spans="1:22" s="274" customFormat="1" hidden="1" outlineLevel="2" x14ac:dyDescent="0.15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</row>
    <row r="288" spans="1:22" s="274" customFormat="1" hidden="1" outlineLevel="2" x14ac:dyDescent="0.15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</row>
    <row r="289" spans="1:22" s="274" customFormat="1" hidden="1" outlineLevel="2" x14ac:dyDescent="0.15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</row>
    <row r="290" spans="1:22" s="274" customFormat="1" hidden="1" outlineLevel="2" x14ac:dyDescent="0.15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</row>
    <row r="291" spans="1:22" s="274" customFormat="1" hidden="1" outlineLevel="2" x14ac:dyDescent="0.15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</row>
    <row r="292" spans="1:22" s="274" customFormat="1" hidden="1" outlineLevel="2" x14ac:dyDescent="0.15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</row>
    <row r="293" spans="1:22" s="274" customFormat="1" hidden="1" outlineLevel="2" x14ac:dyDescent="0.15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</row>
    <row r="294" spans="1:22" s="274" customFormat="1" hidden="1" outlineLevel="2" x14ac:dyDescent="0.15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</row>
    <row r="295" spans="1:22" s="274" customFormat="1" hidden="1" outlineLevel="2" x14ac:dyDescent="0.15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</row>
    <row r="296" spans="1:22" hidden="1" outlineLevel="2" x14ac:dyDescent="0.15"/>
    <row r="297" spans="1:22" collapsed="1" x14ac:dyDescent="0.15"/>
  </sheetData>
  <pageMargins left="0.7" right="0.7" top="0.75" bottom="0.75" header="0.3" footer="0.3"/>
  <pageSetup paperSize="17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F922-4CC8-D142-8944-92D25A4EB74A}">
  <dimension ref="A1:U415"/>
  <sheetViews>
    <sheetView showGridLines="0" zoomScaleNormal="100" workbookViewId="0">
      <pane ySplit="3" topLeftCell="A116" activePane="bottomLeft" state="frozen"/>
      <selection activeCell="B314" sqref="B314"/>
      <selection pane="bottomLeft" activeCell="F135" sqref="F135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2.1640625" style="5" bestFit="1" customWidth="1"/>
    <col min="6" max="6" width="13.83203125" style="5" customWidth="1"/>
    <col min="7" max="7" width="13" style="5" bestFit="1" customWidth="1"/>
    <col min="8" max="8" width="15.83203125" style="5" bestFit="1" customWidth="1"/>
    <col min="9" max="18" width="13.83203125" style="5" customWidth="1"/>
    <col min="19" max="16384" width="11.1640625" style="5"/>
  </cols>
  <sheetData>
    <row r="1" spans="1:18" s="49" customFormat="1" ht="16.5" customHeight="1" x14ac:dyDescent="0.2">
      <c r="A1" s="100"/>
      <c r="B1" s="99"/>
      <c r="C1" s="100"/>
      <c r="D1" s="100"/>
      <c r="E1" s="100"/>
      <c r="F1" s="101"/>
      <c r="G1" s="101">
        <f>DATE(G2,6,30)</f>
        <v>45838</v>
      </c>
      <c r="H1" s="101">
        <f t="shared" ref="H1:R1" si="0">DATE(H2,6,30)</f>
        <v>46203</v>
      </c>
      <c r="I1" s="101">
        <f t="shared" si="0"/>
        <v>46568</v>
      </c>
      <c r="J1" s="101">
        <f t="shared" si="0"/>
        <v>46934</v>
      </c>
      <c r="K1" s="101">
        <f t="shared" si="0"/>
        <v>47299</v>
      </c>
      <c r="L1" s="101">
        <f t="shared" si="0"/>
        <v>47664</v>
      </c>
      <c r="M1" s="101">
        <f t="shared" si="0"/>
        <v>48029</v>
      </c>
      <c r="N1" s="101">
        <f t="shared" si="0"/>
        <v>48395</v>
      </c>
      <c r="O1" s="101">
        <f t="shared" si="0"/>
        <v>48760</v>
      </c>
      <c r="P1" s="101">
        <f t="shared" si="0"/>
        <v>49125</v>
      </c>
      <c r="Q1" s="101">
        <f t="shared" si="0"/>
        <v>49490</v>
      </c>
      <c r="R1" s="101">
        <f t="shared" si="0"/>
        <v>49856</v>
      </c>
    </row>
    <row r="2" spans="1:18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2025</v>
      </c>
      <c r="H2" s="106">
        <f t="shared" ref="H2:R2" si="1">+G2+1</f>
        <v>2026</v>
      </c>
      <c r="I2" s="106">
        <f t="shared" si="1"/>
        <v>2027</v>
      </c>
      <c r="J2" s="106">
        <f t="shared" si="1"/>
        <v>2028</v>
      </c>
      <c r="K2" s="106">
        <f t="shared" si="1"/>
        <v>2029</v>
      </c>
      <c r="L2" s="106">
        <f t="shared" si="1"/>
        <v>2030</v>
      </c>
      <c r="M2" s="106">
        <f t="shared" si="1"/>
        <v>2031</v>
      </c>
      <c r="N2" s="106">
        <f t="shared" si="1"/>
        <v>2032</v>
      </c>
      <c r="O2" s="106">
        <f t="shared" si="1"/>
        <v>2033</v>
      </c>
      <c r="P2" s="106">
        <f t="shared" si="1"/>
        <v>2034</v>
      </c>
      <c r="Q2" s="106">
        <f t="shared" si="1"/>
        <v>2035</v>
      </c>
      <c r="R2" s="106">
        <f t="shared" si="1"/>
        <v>2036</v>
      </c>
    </row>
    <row r="3" spans="1:18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</row>
    <row r="5" spans="1:18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</row>
    <row r="6" spans="1:18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</row>
    <row r="7" spans="1:18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</row>
    <row r="8" spans="1:18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</row>
    <row r="9" spans="1:18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  <c r="R9" s="77"/>
    </row>
    <row r="10" spans="1:18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237</v>
      </c>
      <c r="I10" s="18">
        <v>1.53</v>
      </c>
      <c r="J10" s="77"/>
      <c r="K10" s="77"/>
      <c r="L10" s="77"/>
      <c r="M10" s="77"/>
      <c r="N10" s="77"/>
      <c r="O10" s="77"/>
      <c r="P10" s="77"/>
      <c r="Q10" s="77"/>
      <c r="R10" s="77"/>
    </row>
    <row r="11" spans="1:18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</row>
    <row r="12" spans="1:18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</row>
    <row r="13" spans="1:18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</row>
    <row r="14" spans="1:18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2025</v>
      </c>
      <c r="H14" s="121">
        <f t="shared" ref="H14:R14" si="2">+G14+1</f>
        <v>2026</v>
      </c>
      <c r="I14" s="121">
        <f t="shared" si="2"/>
        <v>2027</v>
      </c>
      <c r="J14" s="121">
        <f t="shared" si="2"/>
        <v>2028</v>
      </c>
      <c r="K14" s="121">
        <f t="shared" si="2"/>
        <v>2029</v>
      </c>
      <c r="L14" s="121">
        <f t="shared" si="2"/>
        <v>2030</v>
      </c>
      <c r="M14" s="121">
        <f t="shared" si="2"/>
        <v>2031</v>
      </c>
      <c r="N14" s="121">
        <f t="shared" si="2"/>
        <v>2032</v>
      </c>
      <c r="O14" s="121">
        <f t="shared" si="2"/>
        <v>2033</v>
      </c>
      <c r="P14" s="121">
        <f t="shared" si="2"/>
        <v>2034</v>
      </c>
      <c r="Q14" s="121">
        <f t="shared" si="2"/>
        <v>2035</v>
      </c>
      <c r="R14" s="121">
        <f t="shared" si="2"/>
        <v>2036</v>
      </c>
    </row>
    <row r="15" spans="1:18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  <c r="Q16" s="13">
        <v>1700</v>
      </c>
      <c r="R16" s="13">
        <v>1700</v>
      </c>
    </row>
    <row r="17" spans="1:18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  <c r="Q17" s="77"/>
      <c r="R17" s="77"/>
    </row>
    <row r="18" spans="1:18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  <c r="Q18" s="13">
        <v>2100</v>
      </c>
      <c r="R18" s="13">
        <v>2100</v>
      </c>
    </row>
    <row r="19" spans="1:18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</row>
    <row r="20" spans="1:18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  <c r="Q20" s="13">
        <v>2748</v>
      </c>
      <c r="R20" s="13">
        <v>2748</v>
      </c>
    </row>
    <row r="21" spans="1:18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</row>
    <row r="22" spans="1:18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R22" si="3">CHOOSE($F$22,G16,G18,G20)</f>
        <v>2100</v>
      </c>
      <c r="H22" s="14">
        <f t="shared" si="3"/>
        <v>2100</v>
      </c>
      <c r="I22" s="14">
        <f t="shared" si="3"/>
        <v>2100</v>
      </c>
      <c r="J22" s="14">
        <f t="shared" si="3"/>
        <v>2100</v>
      </c>
      <c r="K22" s="14">
        <f t="shared" si="3"/>
        <v>2100</v>
      </c>
      <c r="L22" s="14">
        <f t="shared" si="3"/>
        <v>2100</v>
      </c>
      <c r="M22" s="14">
        <f t="shared" si="3"/>
        <v>2100</v>
      </c>
      <c r="N22" s="14">
        <f t="shared" si="3"/>
        <v>2100</v>
      </c>
      <c r="O22" s="14">
        <f t="shared" si="3"/>
        <v>2100</v>
      </c>
      <c r="P22" s="14">
        <f t="shared" si="3"/>
        <v>2100</v>
      </c>
      <c r="Q22" s="14">
        <f t="shared" si="3"/>
        <v>2100</v>
      </c>
      <c r="R22" s="14">
        <f t="shared" si="3"/>
        <v>2100</v>
      </c>
    </row>
    <row r="23" spans="1:18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6.5" customHeight="1" outlineLevel="1" x14ac:dyDescent="0.15">
      <c r="A25" s="77"/>
      <c r="B25" s="77"/>
      <c r="C25" s="77"/>
      <c r="D25" s="86" t="s">
        <v>85</v>
      </c>
      <c r="E25" s="121"/>
      <c r="F25" s="121"/>
      <c r="G25" s="121">
        <v>2025</v>
      </c>
      <c r="H25" s="121">
        <f t="shared" ref="H25:R25" si="4">+G25+1</f>
        <v>2026</v>
      </c>
      <c r="I25" s="121">
        <f t="shared" si="4"/>
        <v>2027</v>
      </c>
      <c r="J25" s="121">
        <f t="shared" si="4"/>
        <v>2028</v>
      </c>
      <c r="K25" s="121">
        <f t="shared" si="4"/>
        <v>2029</v>
      </c>
      <c r="L25" s="121">
        <f t="shared" si="4"/>
        <v>2030</v>
      </c>
      <c r="M25" s="121">
        <f t="shared" si="4"/>
        <v>2031</v>
      </c>
      <c r="N25" s="121">
        <f t="shared" si="4"/>
        <v>2032</v>
      </c>
      <c r="O25" s="121">
        <f t="shared" si="4"/>
        <v>2033</v>
      </c>
      <c r="P25" s="121">
        <f t="shared" si="4"/>
        <v>2034</v>
      </c>
      <c r="Q25" s="121">
        <f t="shared" si="4"/>
        <v>2035</v>
      </c>
      <c r="R25" s="121">
        <f t="shared" si="4"/>
        <v>2036</v>
      </c>
    </row>
    <row r="26" spans="1:18" ht="16.5" customHeight="1" outlineLevel="1" x14ac:dyDescent="0.15">
      <c r="A26" s="77" t="s">
        <v>238</v>
      </c>
      <c r="B26" s="77"/>
      <c r="C26" s="77"/>
      <c r="D26" s="114" t="s">
        <v>239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</row>
    <row r="27" spans="1:18" ht="16.5" customHeight="1" outlineLevel="1" x14ac:dyDescent="0.15">
      <c r="A27" s="77" t="s">
        <v>240</v>
      </c>
      <c r="B27" s="77"/>
      <c r="C27" s="77"/>
      <c r="D27" s="77" t="s">
        <v>87</v>
      </c>
      <c r="E27" s="77" t="s">
        <v>88</v>
      </c>
      <c r="F27" s="148">
        <f>SUM(G27:R27)</f>
        <v>4400000</v>
      </c>
      <c r="G27" s="13">
        <v>3500000</v>
      </c>
      <c r="H27" s="13">
        <v>900000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77"/>
      <c r="G28" s="16">
        <v>1.67</v>
      </c>
      <c r="H28" s="16">
        <v>1.7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77"/>
      <c r="G29" s="17">
        <v>0.89200000000000002</v>
      </c>
      <c r="H29" s="17">
        <v>0.90700000000000003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6.5" customHeight="1" outlineLevel="1" x14ac:dyDescent="0.15">
      <c r="A30" s="77"/>
      <c r="B30" s="77"/>
      <c r="C30" s="77"/>
      <c r="D30" s="77" t="s">
        <v>94</v>
      </c>
      <c r="E30" s="77"/>
      <c r="F30" s="77"/>
      <c r="G30" s="142">
        <f>G27/SUM(G27:$R$27)</f>
        <v>0.79545454545454541</v>
      </c>
      <c r="H30" s="142">
        <f>H27/SUM(H27:$R$27)</f>
        <v>1</v>
      </c>
      <c r="I30" s="142"/>
      <c r="J30" s="142"/>
      <c r="K30" s="142"/>
      <c r="L30" s="142"/>
      <c r="M30" s="142"/>
      <c r="N30" s="142"/>
      <c r="O30" s="142"/>
      <c r="P30" s="142"/>
      <c r="Q30" s="142"/>
      <c r="R30" s="142"/>
    </row>
    <row r="31" spans="1:18" ht="16.5" customHeight="1" outlineLevel="1" x14ac:dyDescent="0.15">
      <c r="A31" s="77" t="s">
        <v>241</v>
      </c>
      <c r="B31" s="77"/>
      <c r="C31" s="77"/>
      <c r="D31" s="114" t="s">
        <v>242</v>
      </c>
      <c r="E31" s="77"/>
      <c r="F31" s="77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</row>
    <row r="32" spans="1:18" ht="16.5" customHeight="1" outlineLevel="1" x14ac:dyDescent="0.15">
      <c r="A32" s="77" t="s">
        <v>240</v>
      </c>
      <c r="B32" s="77"/>
      <c r="C32" s="77"/>
      <c r="D32" s="77" t="s">
        <v>87</v>
      </c>
      <c r="E32" s="77" t="s">
        <v>88</v>
      </c>
      <c r="F32" s="148">
        <f>SUM(G32:R32)</f>
        <v>25400000</v>
      </c>
      <c r="G32" s="13">
        <v>6500000</v>
      </c>
      <c r="H32" s="13">
        <v>6500000</v>
      </c>
      <c r="I32" s="13">
        <v>6500000</v>
      </c>
      <c r="J32" s="13">
        <v>5500000</v>
      </c>
      <c r="K32" s="13">
        <v>400000</v>
      </c>
      <c r="L32" s="142"/>
      <c r="M32" s="142"/>
      <c r="N32" s="142"/>
      <c r="O32" s="142"/>
      <c r="P32" s="142"/>
      <c r="Q32" s="142"/>
      <c r="R32" s="142"/>
    </row>
    <row r="33" spans="1:21" ht="16.5" customHeight="1" outlineLevel="1" x14ac:dyDescent="0.15">
      <c r="A33" s="77"/>
      <c r="B33" s="77"/>
      <c r="C33" s="77"/>
      <c r="D33" s="77" t="s">
        <v>90</v>
      </c>
      <c r="E33" s="77" t="s">
        <v>91</v>
      </c>
      <c r="F33" s="77"/>
      <c r="G33" s="16">
        <v>1.1299999999999999</v>
      </c>
      <c r="H33" s="16">
        <v>1.03</v>
      </c>
      <c r="I33" s="16">
        <v>1.03</v>
      </c>
      <c r="J33" s="16">
        <v>1.03</v>
      </c>
      <c r="K33" s="16">
        <v>1.03</v>
      </c>
      <c r="L33" s="142"/>
      <c r="M33" s="142"/>
      <c r="N33" s="142"/>
      <c r="O33" s="142"/>
      <c r="P33" s="142"/>
      <c r="Q33" s="142"/>
      <c r="R33" s="142"/>
      <c r="S33" s="77"/>
      <c r="T33" s="77"/>
      <c r="U33" s="77"/>
    </row>
    <row r="34" spans="1:21" ht="16.5" customHeight="1" outlineLevel="1" x14ac:dyDescent="0.15">
      <c r="A34" s="77"/>
      <c r="B34" s="77"/>
      <c r="C34" s="77"/>
      <c r="D34" s="77" t="s">
        <v>92</v>
      </c>
      <c r="E34" s="77" t="s">
        <v>93</v>
      </c>
      <c r="F34" s="77"/>
      <c r="G34" s="118">
        <v>0.9</v>
      </c>
      <c r="H34" s="118">
        <v>0.9</v>
      </c>
      <c r="I34" s="118">
        <v>0.9</v>
      </c>
      <c r="J34" s="118">
        <v>0.9</v>
      </c>
      <c r="K34" s="118">
        <v>0.9</v>
      </c>
      <c r="L34" s="142"/>
      <c r="M34" s="142"/>
      <c r="N34" s="142"/>
      <c r="O34" s="142"/>
      <c r="P34" s="142"/>
      <c r="Q34" s="142"/>
      <c r="R34" s="142"/>
      <c r="S34" s="77"/>
      <c r="T34" s="77"/>
      <c r="U34" s="77"/>
    </row>
    <row r="35" spans="1:21" ht="16.5" customHeight="1" outlineLevel="1" x14ac:dyDescent="0.15">
      <c r="A35" s="77"/>
      <c r="B35" s="77"/>
      <c r="C35" s="77"/>
      <c r="D35" s="77" t="s">
        <v>94</v>
      </c>
      <c r="E35" s="77"/>
      <c r="F35" s="77"/>
      <c r="G35" s="142">
        <f>G32/SUM(G32:$K$32)</f>
        <v>0.25590551181102361</v>
      </c>
      <c r="H35" s="142">
        <f>H32/SUM(H32:$K$32)</f>
        <v>0.3439153439153439</v>
      </c>
      <c r="I35" s="142">
        <f>I32/SUM(I32:$K$32)</f>
        <v>0.52419354838709675</v>
      </c>
      <c r="J35" s="142">
        <f>J32/SUM(J32:$K$32)</f>
        <v>0.93220338983050843</v>
      </c>
      <c r="K35" s="142">
        <f>K32/SUM(K32:$K$32)</f>
        <v>1</v>
      </c>
      <c r="L35" s="142"/>
      <c r="M35" s="142"/>
      <c r="N35" s="142"/>
      <c r="O35" s="142"/>
      <c r="P35" s="142"/>
      <c r="Q35" s="142"/>
      <c r="R35" s="142"/>
      <c r="S35" s="77"/>
      <c r="T35" s="77"/>
      <c r="U35" s="77"/>
    </row>
    <row r="36" spans="1:21" ht="16.5" customHeight="1" outlineLevel="1" x14ac:dyDescent="0.15">
      <c r="A36" s="77" t="s">
        <v>86</v>
      </c>
      <c r="B36" s="77"/>
      <c r="C36" s="77"/>
      <c r="D36" s="114" t="s">
        <v>243</v>
      </c>
      <c r="E36" s="77"/>
      <c r="F36" s="77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77"/>
      <c r="T36" s="77"/>
      <c r="U36" s="77"/>
    </row>
    <row r="37" spans="1:21" ht="16.5" customHeight="1" outlineLevel="1" x14ac:dyDescent="0.15">
      <c r="A37" s="77"/>
      <c r="B37" s="77"/>
      <c r="C37" s="77"/>
      <c r="D37" s="77" t="s">
        <v>87</v>
      </c>
      <c r="E37" s="77" t="s">
        <v>88</v>
      </c>
      <c r="F37" s="148">
        <f>SUM(G37:R37)</f>
        <v>35200000</v>
      </c>
      <c r="G37" s="13">
        <v>3800000</v>
      </c>
      <c r="H37" s="13">
        <v>3550000</v>
      </c>
      <c r="I37" s="13">
        <v>3400000</v>
      </c>
      <c r="J37" s="13">
        <v>325000</v>
      </c>
      <c r="K37" s="13">
        <v>3150000</v>
      </c>
      <c r="L37" s="13">
        <v>3400000</v>
      </c>
      <c r="M37" s="13">
        <v>3250000</v>
      </c>
      <c r="N37" s="13">
        <v>3150000</v>
      </c>
      <c r="O37" s="13">
        <v>3200000</v>
      </c>
      <c r="P37" s="13">
        <v>3575000</v>
      </c>
      <c r="Q37" s="13">
        <v>3750000</v>
      </c>
      <c r="R37" s="13">
        <v>650000</v>
      </c>
      <c r="S37" s="77"/>
      <c r="T37" s="77"/>
      <c r="U37" s="77"/>
    </row>
    <row r="38" spans="1:21" ht="16.5" customHeight="1" outlineLevel="1" x14ac:dyDescent="0.15">
      <c r="A38" s="77"/>
      <c r="B38" s="77"/>
      <c r="C38" s="77"/>
      <c r="D38" s="77" t="s">
        <v>90</v>
      </c>
      <c r="E38" s="77" t="s">
        <v>91</v>
      </c>
      <c r="F38" s="77"/>
      <c r="G38" s="16">
        <v>2.2000000000000002</v>
      </c>
      <c r="H38" s="16">
        <v>1.8</v>
      </c>
      <c r="I38" s="16">
        <v>1.5</v>
      </c>
      <c r="J38" s="16">
        <v>2.2000000000000002</v>
      </c>
      <c r="K38" s="16">
        <v>2</v>
      </c>
      <c r="L38" s="16">
        <v>1.5</v>
      </c>
      <c r="M38" s="16">
        <v>1.25</v>
      </c>
      <c r="N38" s="16">
        <v>1.5</v>
      </c>
      <c r="O38" s="16">
        <v>1.2</v>
      </c>
      <c r="P38" s="16">
        <v>1</v>
      </c>
      <c r="Q38" s="16">
        <v>0.5</v>
      </c>
      <c r="R38" s="16">
        <v>0.5</v>
      </c>
      <c r="S38" s="147"/>
      <c r="T38" s="147"/>
      <c r="U38" s="147"/>
    </row>
    <row r="39" spans="1:21" ht="16.5" customHeight="1" outlineLevel="1" x14ac:dyDescent="0.15">
      <c r="A39" s="77"/>
      <c r="B39" s="77"/>
      <c r="C39" s="77"/>
      <c r="D39" s="77" t="s">
        <v>92</v>
      </c>
      <c r="E39" s="77" t="s">
        <v>93</v>
      </c>
      <c r="F39" s="77"/>
      <c r="G39" s="190">
        <v>0.92</v>
      </c>
      <c r="H39" s="190">
        <v>0.92</v>
      </c>
      <c r="I39" s="190">
        <v>0.92</v>
      </c>
      <c r="J39" s="190">
        <v>0.92</v>
      </c>
      <c r="K39" s="190">
        <v>0.92</v>
      </c>
      <c r="L39" s="190">
        <v>0.92</v>
      </c>
      <c r="M39" s="190">
        <v>0.92</v>
      </c>
      <c r="N39" s="190">
        <v>0.92</v>
      </c>
      <c r="O39" s="190">
        <v>0.92</v>
      </c>
      <c r="P39" s="190">
        <v>0.92</v>
      </c>
      <c r="Q39" s="190">
        <v>0.92</v>
      </c>
      <c r="R39" s="190">
        <v>0.92</v>
      </c>
      <c r="S39" s="77"/>
      <c r="T39" s="77"/>
      <c r="U39" s="77"/>
    </row>
    <row r="40" spans="1:21" ht="16.5" customHeight="1" outlineLevel="1" x14ac:dyDescent="0.15">
      <c r="A40" s="77"/>
      <c r="B40" s="77"/>
      <c r="C40" s="77"/>
      <c r="D40" s="77" t="s">
        <v>94</v>
      </c>
      <c r="E40" s="77"/>
      <c r="F40" s="77"/>
      <c r="G40" s="142">
        <f>G37/SUM(G37:$R$37)</f>
        <v>0.10795454545454546</v>
      </c>
      <c r="H40" s="142">
        <f>H37/SUM(H37:$R$37)</f>
        <v>0.11305732484076433</v>
      </c>
      <c r="I40" s="142">
        <f>I37/SUM(I37:$R$37)</f>
        <v>0.12208258527827648</v>
      </c>
      <c r="J40" s="142">
        <f>J37/SUM(J37:$R$37)</f>
        <v>1.3292433537832311E-2</v>
      </c>
      <c r="K40" s="142">
        <f>K37/SUM(K37:$R$37)</f>
        <v>0.13056994818652851</v>
      </c>
      <c r="L40" s="142">
        <f>L37/SUM(L37:$R$37)</f>
        <v>0.16209773539928488</v>
      </c>
      <c r="M40" s="142">
        <f>M37/SUM(M37:$R$37)</f>
        <v>0.18492176386913228</v>
      </c>
      <c r="N40" s="142">
        <f>N37/SUM(N37:$R$37)</f>
        <v>0.21989528795811519</v>
      </c>
      <c r="O40" s="142">
        <f>O37/SUM(O37:$R$37)</f>
        <v>0.28635346756152125</v>
      </c>
      <c r="P40" s="142">
        <f>P37/SUM(P37:$R$37)</f>
        <v>0.44827586206896552</v>
      </c>
      <c r="Q40" s="142">
        <f>Q37/SUM(Q37:$R$37)</f>
        <v>0.85227272727272729</v>
      </c>
      <c r="R40" s="142">
        <f>R37/SUM(R37:$R$37)</f>
        <v>1</v>
      </c>
      <c r="S40" s="77"/>
      <c r="T40" s="77"/>
      <c r="U40" s="77"/>
    </row>
    <row r="41" spans="1:21" ht="16.5" customHeight="1" outlineLevel="1" x14ac:dyDescent="0.1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1:21" ht="16.5" customHeight="1" outlineLevel="1" x14ac:dyDescent="0.15">
      <c r="A42" s="77" t="s">
        <v>244</v>
      </c>
      <c r="B42" s="77"/>
      <c r="C42" s="77"/>
      <c r="D42" s="6" t="s">
        <v>95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</row>
    <row r="43" spans="1:21" ht="16.5" customHeight="1" outlineLevel="1" x14ac:dyDescent="0.15">
      <c r="A43" s="77"/>
      <c r="B43" s="77"/>
      <c r="C43" s="77"/>
      <c r="D43" s="121" t="s">
        <v>81</v>
      </c>
      <c r="E43" s="121"/>
      <c r="F43" s="97" t="s">
        <v>96</v>
      </c>
      <c r="G43" s="97" t="s">
        <v>97</v>
      </c>
      <c r="H43" s="97" t="s">
        <v>98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</row>
    <row r="44" spans="1:21" ht="16.5" customHeight="1" outlineLevel="1" x14ac:dyDescent="0.15">
      <c r="A44" s="77"/>
      <c r="B44" s="77"/>
      <c r="C44" s="77"/>
      <c r="D44" s="114" t="s">
        <v>239</v>
      </c>
      <c r="E44" s="77"/>
      <c r="F44" s="96"/>
      <c r="G44" s="96"/>
      <c r="H44" s="9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</row>
    <row r="45" spans="1:21" ht="16.5" customHeight="1" outlineLevel="1" x14ac:dyDescent="0.15">
      <c r="A45" s="77"/>
      <c r="B45" s="77"/>
      <c r="C45" s="77"/>
      <c r="D45" s="77" t="s">
        <v>100</v>
      </c>
      <c r="E45" s="77"/>
      <c r="F45" s="82">
        <v>2200000</v>
      </c>
      <c r="G45" s="115">
        <v>1.67</v>
      </c>
      <c r="H45" s="81">
        <f>F45*G45*$F$10</f>
        <v>118121.8428931392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</row>
    <row r="46" spans="1:21" ht="16.5" customHeight="1" outlineLevel="1" x14ac:dyDescent="0.15">
      <c r="A46" s="143"/>
      <c r="B46" s="143"/>
      <c r="C46" s="143"/>
      <c r="D46" s="77" t="s">
        <v>101</v>
      </c>
      <c r="E46" s="77"/>
      <c r="F46" s="13">
        <v>2200000</v>
      </c>
      <c r="G46" s="16">
        <v>1.98</v>
      </c>
      <c r="H46" s="81">
        <f>F46*G46*$F$10</f>
        <v>140048.65205294348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</row>
    <row r="47" spans="1:21" ht="16.5" customHeight="1" outlineLevel="1" x14ac:dyDescent="0.15">
      <c r="A47" s="77"/>
      <c r="B47" s="77"/>
      <c r="C47" s="77"/>
      <c r="D47" s="77" t="s">
        <v>102</v>
      </c>
      <c r="E47" s="77"/>
      <c r="F47" s="144">
        <f>SUM(F45:F46)</f>
        <v>4400000</v>
      </c>
      <c r="G47" s="19">
        <f>H47*$F$12/F47</f>
        <v>1.825</v>
      </c>
      <c r="H47" s="12">
        <f>SUM(H45:H46)</f>
        <v>258170.49494608268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</row>
    <row r="48" spans="1:21" ht="16.5" customHeight="1" outlineLevel="1" x14ac:dyDescent="0.15">
      <c r="A48" s="77"/>
      <c r="B48" s="77"/>
      <c r="C48" s="77"/>
      <c r="D48" s="114" t="s">
        <v>242</v>
      </c>
      <c r="E48" s="77"/>
      <c r="F48" s="123"/>
      <c r="G48" s="117"/>
      <c r="H48" s="81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</row>
    <row r="49" spans="1:8" ht="16.5" customHeight="1" outlineLevel="1" x14ac:dyDescent="0.15">
      <c r="A49" s="77"/>
      <c r="B49" s="77"/>
      <c r="C49" s="77"/>
      <c r="D49" s="77" t="s">
        <v>100</v>
      </c>
      <c r="E49" s="77"/>
      <c r="F49" s="82">
        <v>5800000</v>
      </c>
      <c r="G49" s="115">
        <v>1.03</v>
      </c>
      <c r="H49" s="81">
        <f>F49*G49*$F$10</f>
        <v>192068.56000098353</v>
      </c>
    </row>
    <row r="50" spans="1:8" ht="16.5" customHeight="1" outlineLevel="1" x14ac:dyDescent="0.15">
      <c r="A50" s="77"/>
      <c r="B50" s="77"/>
      <c r="C50" s="77"/>
      <c r="D50" s="77" t="s">
        <v>101</v>
      </c>
      <c r="E50" s="77"/>
      <c r="F50" s="13">
        <v>19600000</v>
      </c>
      <c r="G50" s="16">
        <v>1.1299999999999999</v>
      </c>
      <c r="H50" s="81">
        <f>F50*G50*$F$10</f>
        <v>712074.73500197241</v>
      </c>
    </row>
    <row r="51" spans="1:8" ht="16.5" customHeight="1" outlineLevel="1" x14ac:dyDescent="0.15">
      <c r="A51" s="77"/>
      <c r="B51" s="77"/>
      <c r="C51" s="77"/>
      <c r="D51" s="77" t="s">
        <v>102</v>
      </c>
      <c r="E51" s="77"/>
      <c r="F51" s="144">
        <f>SUM(F49:F50)</f>
        <v>25400000</v>
      </c>
      <c r="G51" s="19">
        <f>H51*$F$12/F51</f>
        <v>1.1071653543307085</v>
      </c>
      <c r="H51" s="12">
        <f>SUM(H49:H50)</f>
        <v>904143.29500295594</v>
      </c>
    </row>
    <row r="52" spans="1:8" ht="16.5" customHeight="1" outlineLevel="1" x14ac:dyDescent="0.15">
      <c r="A52" s="77"/>
      <c r="B52" s="77"/>
      <c r="C52" s="77"/>
      <c r="D52" s="114" t="s">
        <v>243</v>
      </c>
      <c r="E52" s="77"/>
      <c r="F52" s="123"/>
      <c r="G52" s="117"/>
      <c r="H52" s="81"/>
    </row>
    <row r="53" spans="1:8" ht="16.5" customHeight="1" outlineLevel="1" x14ac:dyDescent="0.15">
      <c r="A53" s="77"/>
      <c r="B53" s="77"/>
      <c r="C53" s="77"/>
      <c r="D53" s="77" t="s">
        <v>100</v>
      </c>
      <c r="E53" s="77"/>
      <c r="F53" s="82">
        <v>5900000</v>
      </c>
      <c r="G53" s="115">
        <v>0.78</v>
      </c>
      <c r="H53" s="81">
        <f>F53*G53*$F$10</f>
        <v>147957.73570882596</v>
      </c>
    </row>
    <row r="54" spans="1:8" ht="16.5" customHeight="1" outlineLevel="1" x14ac:dyDescent="0.15">
      <c r="A54" s="77"/>
      <c r="B54" s="77"/>
      <c r="C54" s="77"/>
      <c r="D54" s="77" t="s">
        <v>101</v>
      </c>
      <c r="E54" s="77"/>
      <c r="F54" s="13">
        <v>29300000</v>
      </c>
      <c r="G54" s="16">
        <v>1.68</v>
      </c>
      <c r="H54" s="81">
        <f>F54*G54*$F$10</f>
        <v>1582588.3490941436</v>
      </c>
    </row>
    <row r="55" spans="1:8" ht="16.5" customHeight="1" outlineLevel="1" x14ac:dyDescent="0.15">
      <c r="A55" s="77"/>
      <c r="B55" s="77"/>
      <c r="C55" s="77"/>
      <c r="D55" s="77" t="s">
        <v>102</v>
      </c>
      <c r="E55" s="77"/>
      <c r="F55" s="144">
        <f>SUM(F53:F54)</f>
        <v>35200000</v>
      </c>
      <c r="G55" s="19">
        <f>H55*$F$12/F55</f>
        <v>1.529147727272727</v>
      </c>
      <c r="H55" s="12">
        <f>SUM(H53:H54)</f>
        <v>1730546.0848029696</v>
      </c>
    </row>
    <row r="56" spans="1:8" ht="16.5" customHeight="1" outlineLevel="1" x14ac:dyDescent="0.15">
      <c r="A56" s="77"/>
      <c r="B56" s="77"/>
      <c r="C56" s="77"/>
      <c r="D56" s="10" t="s">
        <v>64</v>
      </c>
      <c r="E56" s="92"/>
      <c r="F56" s="144">
        <f>F46+F51+F55</f>
        <v>62800000</v>
      </c>
      <c r="G56" s="19">
        <f>H56*$F$12/F56</f>
        <v>1.4327707006369428</v>
      </c>
      <c r="H56" s="12">
        <f>H47+H51+H55</f>
        <v>2892859.8747520084</v>
      </c>
    </row>
    <row r="57" spans="1:8" ht="16.5" customHeight="1" outlineLevel="1" x14ac:dyDescent="0.15">
      <c r="A57" s="77"/>
      <c r="B57" s="77"/>
      <c r="C57" s="77"/>
      <c r="D57" s="77"/>
      <c r="E57" s="77"/>
      <c r="F57" s="77"/>
      <c r="G57" s="77"/>
      <c r="H57" s="77"/>
    </row>
    <row r="58" spans="1:8" ht="16.5" customHeight="1" outlineLevel="1" x14ac:dyDescent="0.15">
      <c r="A58" s="77"/>
      <c r="B58" s="77"/>
      <c r="C58" s="77"/>
      <c r="D58" s="121" t="s">
        <v>103</v>
      </c>
      <c r="E58" s="21"/>
      <c r="F58" s="77"/>
      <c r="G58" s="77"/>
      <c r="H58" s="77"/>
    </row>
    <row r="59" spans="1:8" ht="16.5" customHeight="1" outlineLevel="1" x14ac:dyDescent="0.15">
      <c r="A59" s="77"/>
      <c r="B59" s="77"/>
      <c r="C59" s="77"/>
      <c r="D59" s="114" t="s">
        <v>239</v>
      </c>
      <c r="E59" s="21">
        <v>3</v>
      </c>
      <c r="F59" s="77"/>
      <c r="G59" s="77"/>
      <c r="H59" s="77"/>
    </row>
    <row r="60" spans="1:8" ht="16.5" customHeight="1" outlineLevel="1" x14ac:dyDescent="0.15">
      <c r="A60" s="77"/>
      <c r="B60" s="77"/>
      <c r="C60" s="77"/>
      <c r="D60" s="114" t="s">
        <v>242</v>
      </c>
      <c r="E60" s="21">
        <v>2.1</v>
      </c>
      <c r="F60" s="77"/>
      <c r="G60" s="77"/>
      <c r="H60" s="77"/>
    </row>
    <row r="61" spans="1:8" ht="16.5" customHeight="1" outlineLevel="1" x14ac:dyDescent="0.15">
      <c r="A61" s="77"/>
      <c r="B61" s="77"/>
      <c r="C61" s="77"/>
      <c r="D61" s="114" t="s">
        <v>243</v>
      </c>
      <c r="E61" s="21">
        <v>4.5999999999999996</v>
      </c>
      <c r="F61" s="77"/>
      <c r="G61" s="77"/>
      <c r="H61" s="77"/>
    </row>
    <row r="62" spans="1:8" ht="16.5" customHeight="1" outlineLevel="1" x14ac:dyDescent="0.15">
      <c r="A62" s="77"/>
      <c r="B62" s="77"/>
      <c r="C62" s="77"/>
      <c r="D62" s="77"/>
      <c r="E62" s="77"/>
      <c r="F62" s="77"/>
      <c r="G62" s="77"/>
      <c r="H62" s="77"/>
    </row>
    <row r="63" spans="1:8" ht="16.5" customHeight="1" outlineLevel="1" x14ac:dyDescent="0.15">
      <c r="A63" s="77" t="s">
        <v>245</v>
      </c>
      <c r="B63" s="77"/>
      <c r="C63" s="77"/>
      <c r="D63" s="86" t="s">
        <v>105</v>
      </c>
      <c r="E63" s="121"/>
      <c r="F63" s="121"/>
      <c r="G63" s="77"/>
      <c r="H63" s="77"/>
    </row>
    <row r="64" spans="1:8" ht="16.5" customHeight="1" outlineLevel="1" x14ac:dyDescent="0.15">
      <c r="A64" s="77"/>
      <c r="B64" s="77"/>
      <c r="C64" s="77"/>
      <c r="D64" s="114" t="s">
        <v>239</v>
      </c>
      <c r="E64" s="77"/>
      <c r="F64" s="77"/>
      <c r="G64" s="77"/>
      <c r="H64" s="77"/>
    </row>
    <row r="65" spans="1:7" ht="16.5" customHeight="1" outlineLevel="1" x14ac:dyDescent="0.15">
      <c r="A65" s="77" t="s">
        <v>246</v>
      </c>
      <c r="B65" s="77"/>
      <c r="C65" s="77"/>
      <c r="D65" s="77" t="s">
        <v>107</v>
      </c>
      <c r="E65" s="123">
        <f>E66/F65</f>
        <v>9589.0410958904104</v>
      </c>
      <c r="F65" s="82">
        <f>365</f>
        <v>365</v>
      </c>
      <c r="G65" s="77"/>
    </row>
    <row r="66" spans="1:7" ht="16.5" customHeight="1" outlineLevel="1" x14ac:dyDescent="0.15">
      <c r="A66" s="77" t="s">
        <v>247</v>
      </c>
      <c r="B66" s="77"/>
      <c r="C66" s="77"/>
      <c r="D66" s="77" t="s">
        <v>108</v>
      </c>
      <c r="E66" s="13">
        <f>1800000+1700000</f>
        <v>3500000</v>
      </c>
      <c r="F66" s="13"/>
      <c r="G66" s="77"/>
    </row>
    <row r="67" spans="1:7" ht="16.5" customHeight="1" outlineLevel="1" x14ac:dyDescent="0.15">
      <c r="A67" s="77"/>
      <c r="B67" s="77"/>
      <c r="C67" s="77"/>
      <c r="D67" s="114" t="s">
        <v>242</v>
      </c>
      <c r="E67" s="82"/>
      <c r="F67" s="77"/>
      <c r="G67" s="77"/>
    </row>
    <row r="68" spans="1:7" ht="16.5" customHeight="1" outlineLevel="1" x14ac:dyDescent="0.15">
      <c r="A68" s="77"/>
      <c r="B68" s="77"/>
      <c r="C68" s="77"/>
      <c r="D68" s="77" t="s">
        <v>107</v>
      </c>
      <c r="E68" s="123">
        <f>E69/F68</f>
        <v>19178.082191780821</v>
      </c>
      <c r="F68" s="82">
        <v>365</v>
      </c>
      <c r="G68" s="77"/>
    </row>
    <row r="69" spans="1:7" ht="16.5" customHeight="1" outlineLevel="1" x14ac:dyDescent="0.15">
      <c r="A69" s="77" t="s">
        <v>248</v>
      </c>
      <c r="B69" s="77"/>
      <c r="C69" s="77"/>
      <c r="D69" s="77" t="s">
        <v>108</v>
      </c>
      <c r="E69" s="13">
        <v>7000000</v>
      </c>
      <c r="F69" s="13"/>
      <c r="G69" s="77"/>
    </row>
    <row r="70" spans="1:7" ht="16.5" customHeight="1" outlineLevel="1" x14ac:dyDescent="0.15">
      <c r="A70" s="77"/>
      <c r="B70" s="77"/>
      <c r="C70" s="77"/>
      <c r="D70" s="114" t="s">
        <v>243</v>
      </c>
      <c r="E70" s="145"/>
      <c r="F70" s="77"/>
      <c r="G70" s="77"/>
    </row>
    <row r="71" spans="1:7" ht="16.5" customHeight="1" outlineLevel="1" x14ac:dyDescent="0.15">
      <c r="A71" s="77"/>
      <c r="B71" s="77"/>
      <c r="C71" s="77"/>
      <c r="D71" s="77" t="s">
        <v>107</v>
      </c>
      <c r="E71" s="123">
        <f>E72/F71</f>
        <v>10410.95890410959</v>
      </c>
      <c r="F71" s="82">
        <v>365</v>
      </c>
      <c r="G71" s="77"/>
    </row>
    <row r="72" spans="1:7" ht="16.5" customHeight="1" outlineLevel="1" x14ac:dyDescent="0.15">
      <c r="A72" s="77" t="s">
        <v>249</v>
      </c>
      <c r="B72" s="77"/>
      <c r="C72" s="77"/>
      <c r="D72" s="77" t="s">
        <v>108</v>
      </c>
      <c r="E72" s="13">
        <v>3800000</v>
      </c>
      <c r="F72" s="77"/>
      <c r="G72" s="77"/>
    </row>
    <row r="73" spans="1:7" ht="16.5" customHeight="1" outlineLevel="1" x14ac:dyDescent="0.15">
      <c r="A73" s="77"/>
      <c r="B73" s="77"/>
      <c r="C73" s="77"/>
      <c r="D73" s="10" t="s">
        <v>64</v>
      </c>
      <c r="E73" s="191"/>
      <c r="F73" s="92"/>
      <c r="G73" s="77"/>
    </row>
    <row r="74" spans="1:7" ht="16.5" customHeight="1" outlineLevel="1" x14ac:dyDescent="0.15">
      <c r="A74" s="77"/>
      <c r="B74" s="77"/>
      <c r="C74" s="77"/>
      <c r="D74" s="77"/>
      <c r="E74" s="77"/>
      <c r="F74" s="146"/>
      <c r="G74" s="77"/>
    </row>
    <row r="75" spans="1:7" ht="16.5" customHeight="1" outlineLevel="1" x14ac:dyDescent="0.15">
      <c r="A75" s="77"/>
      <c r="B75" s="77"/>
      <c r="C75" s="77"/>
      <c r="D75" s="86" t="s">
        <v>109</v>
      </c>
      <c r="E75" s="97" t="s">
        <v>250</v>
      </c>
      <c r="F75" s="97" t="s">
        <v>125</v>
      </c>
      <c r="G75" s="77"/>
    </row>
    <row r="76" spans="1:7" ht="16.5" customHeight="1" outlineLevel="1" x14ac:dyDescent="0.15">
      <c r="A76" s="77" t="s">
        <v>104</v>
      </c>
      <c r="B76" s="77"/>
      <c r="C76" s="77"/>
      <c r="D76" s="77" t="s">
        <v>110</v>
      </c>
      <c r="E76" s="22"/>
      <c r="F76" s="77"/>
      <c r="G76" s="77"/>
    </row>
    <row r="77" spans="1:7" ht="16.5" customHeight="1" outlineLevel="1" x14ac:dyDescent="0.15">
      <c r="A77" s="77" t="s">
        <v>111</v>
      </c>
      <c r="B77" s="77"/>
      <c r="C77" s="77"/>
      <c r="D77" s="121" t="s">
        <v>112</v>
      </c>
      <c r="E77" s="135"/>
      <c r="F77" s="121"/>
      <c r="G77" s="77"/>
    </row>
    <row r="78" spans="1:7" ht="16.5" customHeight="1" outlineLevel="1" x14ac:dyDescent="0.15">
      <c r="A78" s="77"/>
      <c r="B78" s="77"/>
      <c r="C78" s="77"/>
      <c r="D78" s="77" t="s">
        <v>43</v>
      </c>
      <c r="E78" s="22"/>
      <c r="F78" s="82">
        <v>1053</v>
      </c>
      <c r="G78" s="77"/>
    </row>
    <row r="79" spans="1:7" ht="16.5" customHeight="1" outlineLevel="1" x14ac:dyDescent="0.15">
      <c r="A79" s="77"/>
      <c r="B79" s="77"/>
      <c r="C79" s="77"/>
      <c r="D79" s="77"/>
      <c r="E79" s="22"/>
      <c r="F79" s="77"/>
      <c r="G79" s="77"/>
    </row>
    <row r="80" spans="1:7" ht="16.5" customHeight="1" outlineLevel="1" x14ac:dyDescent="0.15">
      <c r="A80" s="77" t="s">
        <v>104</v>
      </c>
      <c r="B80" s="77"/>
      <c r="C80" s="77"/>
      <c r="D80" s="6" t="s">
        <v>114</v>
      </c>
      <c r="E80" s="22"/>
      <c r="F80" s="77"/>
      <c r="G80" s="77"/>
    </row>
    <row r="81" spans="1:18" ht="16.5" customHeight="1" outlineLevel="1" x14ac:dyDescent="0.15">
      <c r="A81" s="77" t="s">
        <v>115</v>
      </c>
      <c r="B81" s="77"/>
      <c r="C81" s="77"/>
      <c r="D81" s="92" t="s">
        <v>81</v>
      </c>
      <c r="E81" s="84">
        <v>0.99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</row>
    <row r="82" spans="1:18" ht="16.5" customHeight="1" outlineLevel="1" x14ac:dyDescent="0.15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</row>
    <row r="83" spans="1:18" ht="16.5" customHeight="1" outlineLevel="1" x14ac:dyDescent="0.15">
      <c r="A83" s="77"/>
      <c r="B83" s="77"/>
      <c r="C83" s="77"/>
      <c r="D83" s="86" t="s">
        <v>116</v>
      </c>
      <c r="E83" s="121"/>
      <c r="F83" s="97" t="s">
        <v>251</v>
      </c>
      <c r="G83" s="97">
        <v>2025</v>
      </c>
      <c r="H83" s="97">
        <v>2026</v>
      </c>
      <c r="I83" s="97">
        <v>2027</v>
      </c>
      <c r="J83" s="97">
        <v>2028</v>
      </c>
      <c r="K83" s="97">
        <v>2029</v>
      </c>
      <c r="L83" s="97">
        <v>2030</v>
      </c>
      <c r="M83" s="97">
        <v>2031</v>
      </c>
      <c r="N83" s="97">
        <v>2032</v>
      </c>
      <c r="O83" s="97">
        <v>2033</v>
      </c>
      <c r="P83" s="97">
        <v>2034</v>
      </c>
      <c r="Q83" s="97">
        <v>2035</v>
      </c>
      <c r="R83" s="97">
        <v>2036</v>
      </c>
    </row>
    <row r="84" spans="1:18" ht="16.5" customHeight="1" outlineLevel="1" x14ac:dyDescent="0.2">
      <c r="A84" s="77" t="s">
        <v>252</v>
      </c>
      <c r="B84" s="77"/>
      <c r="C84" s="77"/>
      <c r="D84" s="114" t="s">
        <v>239</v>
      </c>
      <c r="E84" s="96" t="s">
        <v>119</v>
      </c>
      <c r="F84" s="77"/>
      <c r="G84" s="96"/>
      <c r="H84"/>
      <c r="I84"/>
      <c r="J84"/>
      <c r="K84"/>
      <c r="L84"/>
      <c r="M84"/>
      <c r="N84" s="77"/>
      <c r="O84" s="77"/>
      <c r="P84" s="77"/>
      <c r="Q84" s="77"/>
      <c r="R84" s="77"/>
    </row>
    <row r="85" spans="1:18" ht="16.5" customHeight="1" outlineLevel="1" x14ac:dyDescent="0.2">
      <c r="A85" s="77" t="s">
        <v>253</v>
      </c>
      <c r="B85" s="77"/>
      <c r="C85" s="77"/>
      <c r="D85" s="77" t="s">
        <v>118</v>
      </c>
      <c r="E85" s="77"/>
      <c r="F85" s="192">
        <v>0.18</v>
      </c>
      <c r="G85" s="115">
        <f>6.09*(1+$F$85)</f>
        <v>7.1861999999999995</v>
      </c>
      <c r="H85" s="68">
        <f>G85*(1+$F85)</f>
        <v>8.4797159999999998</v>
      </c>
      <c r="I85" s="68">
        <f>H85*(1+$F85)</f>
        <v>10.006064879999998</v>
      </c>
      <c r="J85"/>
      <c r="K85"/>
      <c r="L85"/>
      <c r="M85"/>
      <c r="N85" s="77"/>
      <c r="O85" s="77"/>
      <c r="P85" s="77"/>
      <c r="Q85" s="77"/>
      <c r="R85" s="77"/>
    </row>
    <row r="86" spans="1:18" ht="16.5" customHeight="1" outlineLevel="1" x14ac:dyDescent="0.2">
      <c r="A86" s="77" t="s">
        <v>254</v>
      </c>
      <c r="B86" s="77"/>
      <c r="C86" s="77"/>
      <c r="D86" s="77" t="s">
        <v>121</v>
      </c>
      <c r="E86" s="77"/>
      <c r="F86" s="193">
        <v>7.0000000000000007E-2</v>
      </c>
      <c r="G86" s="16">
        <f>10.76*(1+F86)</f>
        <v>11.513200000000001</v>
      </c>
      <c r="H86" s="68">
        <f t="shared" ref="H86:H88" si="5">G86*(1+$F86)</f>
        <v>12.319124000000002</v>
      </c>
      <c r="I86" s="68">
        <f>H86*(1+$F86)</f>
        <v>13.181462680000003</v>
      </c>
      <c r="J86"/>
      <c r="K86"/>
      <c r="L86"/>
      <c r="M86"/>
      <c r="N86" s="77"/>
      <c r="O86" s="77"/>
      <c r="P86" s="77"/>
      <c r="Q86" s="77"/>
      <c r="R86" s="77"/>
    </row>
    <row r="87" spans="1:18" ht="16.5" customHeight="1" outlineLevel="1" x14ac:dyDescent="0.2">
      <c r="A87" s="77"/>
      <c r="B87" s="77"/>
      <c r="C87" s="77"/>
      <c r="D87" s="77" t="s">
        <v>122</v>
      </c>
      <c r="E87" s="77"/>
      <c r="F87" s="96" t="s">
        <v>66</v>
      </c>
      <c r="G87" s="16">
        <v>0.12</v>
      </c>
      <c r="H87" s="68">
        <v>0.12</v>
      </c>
      <c r="I87" s="68">
        <v>0.12</v>
      </c>
      <c r="J87"/>
      <c r="K87"/>
      <c r="L87"/>
      <c r="M87"/>
      <c r="N87" s="77"/>
      <c r="O87" s="77"/>
      <c r="P87" s="77"/>
      <c r="Q87" s="77"/>
      <c r="R87" s="77"/>
    </row>
    <row r="88" spans="1:18" ht="16.5" customHeight="1" outlineLevel="1" x14ac:dyDescent="0.2">
      <c r="A88" s="77"/>
      <c r="B88" s="77"/>
      <c r="C88" s="77"/>
      <c r="D88" s="77" t="s">
        <v>123</v>
      </c>
      <c r="E88" s="77"/>
      <c r="F88" s="193">
        <v>2.8000000000000001E-2</v>
      </c>
      <c r="G88" s="16">
        <f>1.7*(1+F88)</f>
        <v>1.7476</v>
      </c>
      <c r="H88" s="119">
        <f t="shared" si="5"/>
        <v>1.7965328</v>
      </c>
      <c r="I88" s="119">
        <f>H88*(1+$F88)</f>
        <v>1.8468357184000002</v>
      </c>
      <c r="J88"/>
      <c r="K88"/>
      <c r="L88"/>
      <c r="M88"/>
      <c r="N88" s="77"/>
      <c r="O88" s="77"/>
      <c r="P88" s="77"/>
      <c r="Q88" s="77"/>
      <c r="R88" s="77"/>
    </row>
    <row r="89" spans="1:18" ht="16.5" customHeight="1" outlineLevel="1" x14ac:dyDescent="0.2">
      <c r="A89" s="77"/>
      <c r="B89" s="77"/>
      <c r="C89" s="77"/>
      <c r="D89" s="92" t="s">
        <v>187</v>
      </c>
      <c r="E89" s="92"/>
      <c r="F89" s="92"/>
      <c r="G89" s="23">
        <f>SUM(G85:G88)</f>
        <v>20.567</v>
      </c>
      <c r="H89" s="23">
        <f t="shared" ref="H89:I89" si="6">SUM(H85:H88)</f>
        <v>22.715372800000004</v>
      </c>
      <c r="I89" s="23">
        <f t="shared" si="6"/>
        <v>25.154363278400002</v>
      </c>
      <c r="J89"/>
      <c r="K89"/>
      <c r="L89"/>
      <c r="M89"/>
      <c r="N89" s="77"/>
      <c r="O89" s="77"/>
      <c r="P89" s="77"/>
      <c r="Q89" s="77"/>
      <c r="R89" s="77"/>
    </row>
    <row r="90" spans="1:18" ht="16.5" customHeight="1" outlineLevel="1" x14ac:dyDescent="0.2">
      <c r="A90" s="77" t="s">
        <v>255</v>
      </c>
      <c r="B90" s="77"/>
      <c r="C90" s="77"/>
      <c r="D90" s="114" t="s">
        <v>242</v>
      </c>
      <c r="E90" s="96" t="s">
        <v>119</v>
      </c>
      <c r="F90" s="77"/>
      <c r="G90" s="116"/>
      <c r="H90" s="69"/>
      <c r="I90"/>
      <c r="J90"/>
      <c r="K90"/>
      <c r="L90"/>
      <c r="M90"/>
      <c r="N90" s="77"/>
      <c r="O90" s="77"/>
      <c r="P90" s="77"/>
      <c r="Q90" s="77"/>
      <c r="R90" s="77"/>
    </row>
    <row r="91" spans="1:18" ht="16.5" customHeight="1" outlineLevel="1" x14ac:dyDescent="0.2">
      <c r="A91" s="77" t="s">
        <v>256</v>
      </c>
      <c r="B91" s="77"/>
      <c r="C91" s="77"/>
      <c r="D91" s="77" t="s">
        <v>118</v>
      </c>
      <c r="E91" s="77"/>
      <c r="F91" s="77"/>
      <c r="G91" s="115">
        <f>12.39+43.6</f>
        <v>55.99</v>
      </c>
      <c r="H91" s="69"/>
      <c r="I91"/>
      <c r="J91"/>
      <c r="K91"/>
      <c r="L91"/>
      <c r="M91"/>
      <c r="N91" s="77"/>
      <c r="O91" s="77"/>
      <c r="P91" s="77"/>
      <c r="Q91" s="77"/>
      <c r="R91" s="77"/>
    </row>
    <row r="92" spans="1:18" ht="16.5" customHeight="1" outlineLevel="1" x14ac:dyDescent="0.2">
      <c r="A92" s="77"/>
      <c r="B92" s="77"/>
      <c r="C92" s="77"/>
      <c r="D92" s="77" t="s">
        <v>121</v>
      </c>
      <c r="E92" s="77"/>
      <c r="F92" s="77"/>
      <c r="G92" s="115">
        <f>8.94+9.75</f>
        <v>18.689999999999998</v>
      </c>
      <c r="H92" s="69"/>
      <c r="I92"/>
      <c r="J92"/>
      <c r="K92"/>
      <c r="L92"/>
      <c r="M92"/>
      <c r="N92" s="77"/>
      <c r="O92" s="77"/>
      <c r="P92" s="77"/>
      <c r="Q92" s="77"/>
      <c r="R92" s="77"/>
    </row>
    <row r="93" spans="1:18" ht="16.5" customHeight="1" outlineLevel="1" x14ac:dyDescent="0.2">
      <c r="A93" s="77"/>
      <c r="B93" s="77"/>
      <c r="C93" s="77"/>
      <c r="D93" s="77" t="s">
        <v>122</v>
      </c>
      <c r="E93" s="77"/>
      <c r="F93" s="77"/>
      <c r="G93" s="115">
        <f>(2.24*$H$51)/$F$51</f>
        <v>7.9735471685300055E-2</v>
      </c>
      <c r="H93" s="69"/>
      <c r="I93"/>
      <c r="J93"/>
      <c r="K93"/>
      <c r="L93"/>
      <c r="M93"/>
      <c r="N93" s="77"/>
      <c r="O93" s="77"/>
      <c r="P93" s="77"/>
      <c r="Q93" s="77"/>
      <c r="R93" s="77"/>
    </row>
    <row r="94" spans="1:18" ht="16.5" customHeight="1" outlineLevel="1" x14ac:dyDescent="0.2">
      <c r="A94" s="77"/>
      <c r="B94" s="77"/>
      <c r="C94" s="77"/>
      <c r="D94" s="77" t="s">
        <v>123</v>
      </c>
      <c r="E94" s="77"/>
      <c r="F94" s="77"/>
      <c r="G94" s="115">
        <f>2.6+3.38</f>
        <v>5.98</v>
      </c>
      <c r="H94" s="134"/>
      <c r="I94" s="120"/>
      <c r="J94"/>
      <c r="K94"/>
      <c r="L94"/>
      <c r="M94"/>
      <c r="N94" s="77"/>
      <c r="O94" s="77"/>
      <c r="P94" s="77"/>
      <c r="Q94" s="77"/>
      <c r="R94" s="77"/>
    </row>
    <row r="95" spans="1:18" ht="16.5" customHeight="1" outlineLevel="1" x14ac:dyDescent="0.2">
      <c r="A95" s="77"/>
      <c r="B95" s="77"/>
      <c r="C95" s="77"/>
      <c r="D95" s="92" t="s">
        <v>187</v>
      </c>
      <c r="E95" s="92"/>
      <c r="F95" s="92"/>
      <c r="G95" s="23">
        <f>SUM(G91:G94)</f>
        <v>80.739735471685307</v>
      </c>
      <c r="H95" s="69"/>
      <c r="I95"/>
      <c r="J95"/>
      <c r="K95"/>
      <c r="L95"/>
      <c r="M95"/>
      <c r="N95" s="77"/>
      <c r="O95" s="77"/>
      <c r="P95" s="77"/>
      <c r="Q95" s="77"/>
      <c r="R95" s="77"/>
    </row>
    <row r="96" spans="1:18" ht="16.5" customHeight="1" outlineLevel="1" x14ac:dyDescent="0.2">
      <c r="A96" s="77" t="s">
        <v>257</v>
      </c>
      <c r="B96" s="77"/>
      <c r="C96" s="77"/>
      <c r="D96" s="114" t="s">
        <v>243</v>
      </c>
      <c r="E96" s="96" t="s">
        <v>119</v>
      </c>
      <c r="F96" s="77"/>
      <c r="G96" s="116"/>
      <c r="H96" s="69"/>
      <c r="I96"/>
      <c r="J96"/>
      <c r="K96"/>
      <c r="L96"/>
      <c r="M96"/>
      <c r="N96" s="77"/>
      <c r="O96" s="77"/>
      <c r="P96" s="77"/>
      <c r="Q96" s="77"/>
      <c r="R96" s="77"/>
    </row>
    <row r="97" spans="1:18" ht="16.5" customHeight="1" outlineLevel="1" x14ac:dyDescent="0.2">
      <c r="A97" s="77" t="s">
        <v>111</v>
      </c>
      <c r="B97" s="77"/>
      <c r="C97" s="77"/>
      <c r="D97" s="77" t="s">
        <v>118</v>
      </c>
      <c r="E97" s="77"/>
      <c r="F97" s="77"/>
      <c r="G97" s="115">
        <v>3.31</v>
      </c>
      <c r="H97" s="69"/>
      <c r="I97"/>
      <c r="J97"/>
      <c r="K97"/>
      <c r="L97"/>
      <c r="M97"/>
      <c r="N97" s="77"/>
      <c r="O97" s="77"/>
      <c r="P97" s="77"/>
      <c r="Q97" s="77"/>
      <c r="R97" s="77"/>
    </row>
    <row r="98" spans="1:18" ht="16.5" customHeight="1" outlineLevel="1" x14ac:dyDescent="0.2">
      <c r="A98" s="77"/>
      <c r="B98" s="77"/>
      <c r="C98" s="77"/>
      <c r="D98" s="77" t="s">
        <v>121</v>
      </c>
      <c r="E98" s="77"/>
      <c r="F98" s="77"/>
      <c r="G98" s="115">
        <v>12.08</v>
      </c>
      <c r="H98" s="69"/>
      <c r="I98"/>
      <c r="J98"/>
      <c r="K98"/>
      <c r="L98"/>
      <c r="M98"/>
      <c r="N98" s="77"/>
      <c r="O98" s="77"/>
      <c r="P98" s="77"/>
      <c r="Q98" s="77"/>
      <c r="R98" s="77"/>
    </row>
    <row r="99" spans="1:18" ht="16.5" customHeight="1" outlineLevel="1" x14ac:dyDescent="0.2">
      <c r="A99" s="77"/>
      <c r="B99" s="77"/>
      <c r="C99" s="77"/>
      <c r="D99" s="77" t="s">
        <v>122</v>
      </c>
      <c r="E99" s="77"/>
      <c r="F99" s="77"/>
      <c r="G99" s="115">
        <f>3.04*$H$55/$F$55</f>
        <v>0.1494562527784383</v>
      </c>
      <c r="H99" s="69"/>
      <c r="I99"/>
      <c r="J99"/>
      <c r="K99"/>
      <c r="L99"/>
      <c r="M99"/>
      <c r="N99" s="77"/>
      <c r="O99" s="77"/>
      <c r="P99" s="77"/>
      <c r="Q99" s="77"/>
      <c r="R99" s="77"/>
    </row>
    <row r="100" spans="1:18" ht="16.5" customHeight="1" outlineLevel="1" x14ac:dyDescent="0.2">
      <c r="A100" s="77"/>
      <c r="B100" s="77"/>
      <c r="C100" s="77"/>
      <c r="D100" s="77" t="s">
        <v>123</v>
      </c>
      <c r="E100" s="77"/>
      <c r="F100" s="77"/>
      <c r="G100" s="115">
        <v>3.45</v>
      </c>
      <c r="H100" s="134"/>
      <c r="I100" s="120"/>
      <c r="J100"/>
      <c r="K100"/>
      <c r="L100"/>
      <c r="M100"/>
      <c r="N100" s="77"/>
      <c r="O100" s="77"/>
      <c r="P100" s="77"/>
      <c r="Q100" s="77"/>
      <c r="R100" s="77"/>
    </row>
    <row r="101" spans="1:18" ht="16.5" customHeight="1" outlineLevel="1" x14ac:dyDescent="0.2">
      <c r="A101" s="77"/>
      <c r="B101" s="77"/>
      <c r="C101" s="77"/>
      <c r="D101" s="92" t="s">
        <v>187</v>
      </c>
      <c r="E101" s="92"/>
      <c r="F101" s="92"/>
      <c r="G101" s="23">
        <f>SUM(G97:G100)</f>
        <v>18.989456252778439</v>
      </c>
      <c r="H101" s="69"/>
      <c r="I101"/>
      <c r="J101"/>
      <c r="K101"/>
      <c r="L101"/>
      <c r="M101"/>
      <c r="N101" s="77"/>
      <c r="O101" s="77"/>
      <c r="P101" s="77"/>
      <c r="Q101" s="77"/>
      <c r="R101" s="77"/>
    </row>
    <row r="102" spans="1:18" ht="16.5" customHeight="1" outlineLevel="1" x14ac:dyDescent="0.2">
      <c r="A102" s="77"/>
      <c r="B102" s="77"/>
      <c r="C102" s="77"/>
      <c r="D102" s="10" t="s">
        <v>64</v>
      </c>
      <c r="E102" s="92"/>
      <c r="F102" s="92"/>
      <c r="G102" s="23">
        <f>G89+G95+G101</f>
        <v>120.29619172446374</v>
      </c>
      <c r="H102" s="23">
        <f t="shared" ref="H102:I102" si="7">H89+H95+H101</f>
        <v>22.715372800000004</v>
      </c>
      <c r="I102" s="23">
        <f t="shared" si="7"/>
        <v>25.154363278400002</v>
      </c>
      <c r="J102"/>
      <c r="K102"/>
      <c r="L102"/>
      <c r="M102"/>
      <c r="N102" s="77"/>
      <c r="O102" s="77"/>
      <c r="P102" s="77"/>
      <c r="Q102" s="77"/>
      <c r="R102" s="77"/>
    </row>
    <row r="103" spans="1:18" ht="16.5" customHeight="1" outlineLevel="1" x14ac:dyDescent="0.15">
      <c r="A103" s="77"/>
      <c r="B103" s="77"/>
      <c r="C103" s="77"/>
      <c r="D103" s="77"/>
      <c r="E103" s="77"/>
      <c r="F103" s="77"/>
      <c r="G103" s="125"/>
      <c r="H103" s="68"/>
      <c r="I103" s="77"/>
      <c r="J103" s="77"/>
      <c r="K103" s="77"/>
      <c r="L103" s="77"/>
      <c r="M103" s="77"/>
      <c r="N103" s="77"/>
      <c r="O103" s="77"/>
      <c r="P103" s="77"/>
      <c r="Q103" s="77"/>
      <c r="R103" s="77"/>
    </row>
    <row r="104" spans="1:18" ht="16.5" customHeight="1" outlineLevel="1" x14ac:dyDescent="0.15">
      <c r="A104" s="77" t="s">
        <v>104</v>
      </c>
      <c r="B104" s="77"/>
      <c r="C104" s="77"/>
      <c r="D104" s="77" t="s">
        <v>124</v>
      </c>
      <c r="E104" s="77"/>
      <c r="F104" s="77" t="s">
        <v>125</v>
      </c>
      <c r="G104" s="87">
        <v>0</v>
      </c>
      <c r="H104" s="68"/>
      <c r="I104" s="77"/>
      <c r="J104" s="77"/>
      <c r="K104" s="77"/>
      <c r="L104" s="77"/>
      <c r="M104" s="77"/>
      <c r="N104" s="77"/>
      <c r="O104" s="77"/>
      <c r="P104" s="77"/>
      <c r="Q104" s="77"/>
      <c r="R104" s="77"/>
    </row>
    <row r="105" spans="1:18" ht="16.5" customHeight="1" outlineLevel="1" x14ac:dyDescent="0.15">
      <c r="A105" s="77" t="s">
        <v>126</v>
      </c>
      <c r="B105" s="77"/>
      <c r="C105" s="77"/>
      <c r="D105" s="77" t="s">
        <v>127</v>
      </c>
      <c r="E105" s="77"/>
      <c r="F105" s="77" t="s">
        <v>125</v>
      </c>
      <c r="G105" s="87">
        <f>(563227000-241445000)/$H$56</f>
        <v>111.23317890659494</v>
      </c>
      <c r="H105" s="68"/>
      <c r="I105" s="77"/>
      <c r="J105" s="77"/>
      <c r="K105" s="77"/>
      <c r="L105" s="77"/>
      <c r="M105" s="77"/>
      <c r="N105" s="77"/>
      <c r="O105" s="77"/>
      <c r="P105" s="77"/>
      <c r="Q105" s="77"/>
      <c r="R105" s="77"/>
    </row>
    <row r="106" spans="1:18" ht="16.5" customHeight="1" outlineLevel="1" x14ac:dyDescent="0.15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spans="1:18" ht="16.5" customHeight="1" outlineLevel="1" x14ac:dyDescent="0.15">
      <c r="A107" s="77"/>
      <c r="B107" s="77"/>
      <c r="C107" s="77"/>
      <c r="D107" s="86" t="s">
        <v>128</v>
      </c>
      <c r="E107" s="121"/>
      <c r="F107" s="121"/>
      <c r="G107" s="121">
        <v>2025</v>
      </c>
      <c r="H107" s="121">
        <f t="shared" ref="H107:R107" si="8">+G107+1</f>
        <v>2026</v>
      </c>
      <c r="I107" s="121">
        <f t="shared" si="8"/>
        <v>2027</v>
      </c>
      <c r="J107" s="121">
        <f t="shared" si="8"/>
        <v>2028</v>
      </c>
      <c r="K107" s="121">
        <f t="shared" si="8"/>
        <v>2029</v>
      </c>
      <c r="L107" s="121">
        <f t="shared" si="8"/>
        <v>2030</v>
      </c>
      <c r="M107" s="121">
        <f t="shared" si="8"/>
        <v>2031</v>
      </c>
      <c r="N107" s="121">
        <f t="shared" si="8"/>
        <v>2032</v>
      </c>
      <c r="O107" s="121">
        <f t="shared" si="8"/>
        <v>2033</v>
      </c>
      <c r="P107" s="121">
        <f t="shared" si="8"/>
        <v>2034</v>
      </c>
      <c r="Q107" s="121">
        <f t="shared" si="8"/>
        <v>2035</v>
      </c>
      <c r="R107" s="121">
        <f t="shared" si="8"/>
        <v>2036</v>
      </c>
    </row>
    <row r="108" spans="1:18" ht="16.5" customHeight="1" outlineLevel="1" x14ac:dyDescent="0.15">
      <c r="A108" s="77"/>
      <c r="B108" s="77"/>
      <c r="C108" s="77"/>
      <c r="D108" s="114" t="s">
        <v>239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</row>
    <row r="109" spans="1:18" ht="16.5" customHeight="1" outlineLevel="1" x14ac:dyDescent="0.15">
      <c r="A109" s="77" t="s">
        <v>252</v>
      </c>
      <c r="B109" s="77"/>
      <c r="C109" s="77"/>
      <c r="D109" s="77" t="s">
        <v>258</v>
      </c>
      <c r="E109" s="77"/>
      <c r="F109" s="82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</row>
    <row r="110" spans="1:18" ht="16.5" customHeight="1" outlineLevel="1" x14ac:dyDescent="0.15">
      <c r="A110" s="77" t="s">
        <v>259</v>
      </c>
      <c r="B110" s="77"/>
      <c r="C110" s="77"/>
      <c r="D110" s="77" t="s">
        <v>131</v>
      </c>
      <c r="E110" s="77"/>
      <c r="F110" s="82">
        <f>(5200000/5)*2</f>
        <v>2080000</v>
      </c>
      <c r="G110" s="81">
        <f>G111*$F$110</f>
        <v>1654545.4545454544</v>
      </c>
      <c r="H110" s="81">
        <f>H111*$F$110</f>
        <v>425454.54545454547</v>
      </c>
      <c r="I110" s="81"/>
      <c r="J110" s="81"/>
      <c r="K110" s="81"/>
      <c r="L110" s="81"/>
      <c r="M110" s="81"/>
      <c r="N110" s="81"/>
      <c r="O110" s="81"/>
      <c r="P110" s="81"/>
      <c r="Q110" s="81"/>
      <c r="R110" s="81"/>
    </row>
    <row r="111" spans="1:18" ht="16.5" customHeight="1" outlineLevel="1" x14ac:dyDescent="0.15">
      <c r="A111" s="77"/>
      <c r="B111" s="77"/>
      <c r="C111" s="77"/>
      <c r="D111" s="77" t="s">
        <v>132</v>
      </c>
      <c r="E111" s="77"/>
      <c r="F111" s="14">
        <f>F47</f>
        <v>4400000</v>
      </c>
      <c r="G111" s="124">
        <f>G27/$F$111</f>
        <v>0.79545454545454541</v>
      </c>
      <c r="H111" s="124">
        <f>H27/$F$111</f>
        <v>0.20454545454545456</v>
      </c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r="112" spans="1:18" ht="16.5" customHeight="1" outlineLevel="1" x14ac:dyDescent="0.15">
      <c r="A112" s="77"/>
      <c r="B112" s="77"/>
      <c r="C112" s="77"/>
      <c r="D112" s="6" t="s">
        <v>64</v>
      </c>
      <c r="E112" s="77"/>
      <c r="F112" s="12">
        <f>SUM(G112:R112)</f>
        <v>2079999.9999999998</v>
      </c>
      <c r="G112" s="141">
        <f>G109+G110</f>
        <v>1654545.4545454544</v>
      </c>
      <c r="H112" s="141">
        <f t="shared" ref="H112" si="9">H109+H110</f>
        <v>425454.54545454547</v>
      </c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</row>
    <row r="113" spans="1:18" ht="16.5" customHeight="1" outlineLevel="1" x14ac:dyDescent="0.15">
      <c r="A113" s="77"/>
      <c r="B113" s="77"/>
      <c r="C113" s="77"/>
      <c r="D113" s="114" t="s">
        <v>242</v>
      </c>
      <c r="E113" s="77"/>
      <c r="F113" s="81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</row>
    <row r="114" spans="1:18" ht="16.5" customHeight="1" outlineLevel="1" x14ac:dyDescent="0.15">
      <c r="A114" s="77"/>
      <c r="B114" s="77"/>
      <c r="C114" s="77"/>
      <c r="D114" s="77" t="s">
        <v>258</v>
      </c>
      <c r="E114" s="77"/>
      <c r="F114" s="82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</row>
    <row r="115" spans="1:18" ht="16.5" customHeight="1" outlineLevel="1" x14ac:dyDescent="0.15">
      <c r="A115" s="77"/>
      <c r="B115" s="77"/>
      <c r="C115" s="77"/>
      <c r="D115" s="77" t="s">
        <v>131</v>
      </c>
      <c r="E115" s="77"/>
      <c r="F115" s="82">
        <v>53600000</v>
      </c>
      <c r="G115" s="148">
        <f>$F$115*G116</f>
        <v>13716535.433070866</v>
      </c>
      <c r="H115" s="148">
        <f t="shared" ref="H115:I115" si="10">$F$115*H116</f>
        <v>13716535.433070866</v>
      </c>
      <c r="I115" s="148">
        <f t="shared" si="10"/>
        <v>13716535.433070866</v>
      </c>
      <c r="J115" s="148">
        <f>$F$115*J116</f>
        <v>11606299.212598426</v>
      </c>
      <c r="K115" s="148">
        <f t="shared" ref="K115" si="11">$F$115*K116</f>
        <v>844094.48818897642</v>
      </c>
      <c r="L115" s="148"/>
      <c r="M115" s="148"/>
      <c r="N115" s="148"/>
      <c r="O115" s="148"/>
      <c r="P115" s="148"/>
      <c r="Q115" s="148"/>
      <c r="R115" s="148"/>
    </row>
    <row r="116" spans="1:18" ht="16.5" customHeight="1" outlineLevel="1" x14ac:dyDescent="0.15">
      <c r="A116" s="77"/>
      <c r="B116" s="77"/>
      <c r="C116" s="77"/>
      <c r="D116" s="77" t="s">
        <v>132</v>
      </c>
      <c r="E116" s="77"/>
      <c r="F116" s="14">
        <f>F51</f>
        <v>25400000</v>
      </c>
      <c r="G116" s="194">
        <f>G32/$F$116</f>
        <v>0.25590551181102361</v>
      </c>
      <c r="H116" s="194">
        <f>H32/$F$116</f>
        <v>0.25590551181102361</v>
      </c>
      <c r="I116" s="194">
        <f>I32/$F$116</f>
        <v>0.25590551181102361</v>
      </c>
      <c r="J116" s="194">
        <f>J32/$F$116</f>
        <v>0.21653543307086615</v>
      </c>
      <c r="K116" s="194">
        <f>K32/$F$116</f>
        <v>1.5748031496062992E-2</v>
      </c>
      <c r="L116" s="195"/>
      <c r="M116" s="195"/>
      <c r="N116" s="195"/>
      <c r="O116" s="195"/>
      <c r="P116" s="195"/>
      <c r="Q116" s="195"/>
      <c r="R116" s="195"/>
    </row>
    <row r="117" spans="1:18" ht="16.5" customHeight="1" outlineLevel="1" x14ac:dyDescent="0.15">
      <c r="A117" s="77"/>
      <c r="B117" s="77"/>
      <c r="C117" s="77"/>
      <c r="D117" s="6" t="s">
        <v>64</v>
      </c>
      <c r="E117" s="77"/>
      <c r="F117" s="12">
        <f>SUM(G117:R117)</f>
        <v>53600000</v>
      </c>
      <c r="G117" s="148">
        <f>SUM(G114:G115)</f>
        <v>13716535.433070866</v>
      </c>
      <c r="H117" s="148">
        <f t="shared" ref="H117:K117" si="12">SUM(H114:H115)</f>
        <v>13716535.433070866</v>
      </c>
      <c r="I117" s="148">
        <f t="shared" si="12"/>
        <v>13716535.433070866</v>
      </c>
      <c r="J117" s="148">
        <f t="shared" si="12"/>
        <v>11606299.212598426</v>
      </c>
      <c r="K117" s="148">
        <f t="shared" si="12"/>
        <v>844094.48818897642</v>
      </c>
      <c r="L117" s="148"/>
      <c r="M117" s="148"/>
      <c r="N117" s="148"/>
      <c r="O117" s="148"/>
      <c r="P117" s="148"/>
      <c r="Q117" s="148"/>
      <c r="R117" s="148"/>
    </row>
    <row r="118" spans="1:18" ht="16.5" customHeight="1" outlineLevel="1" x14ac:dyDescent="0.15">
      <c r="A118" s="77"/>
      <c r="B118" s="77"/>
      <c r="C118" s="77"/>
      <c r="D118" s="114" t="s">
        <v>243</v>
      </c>
      <c r="E118" s="77"/>
      <c r="F118" s="81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</row>
    <row r="119" spans="1:18" ht="16.5" customHeight="1" outlineLevel="1" x14ac:dyDescent="0.15">
      <c r="A119" s="77"/>
      <c r="B119" s="77"/>
      <c r="C119" s="77"/>
      <c r="D119" s="77" t="s">
        <v>258</v>
      </c>
      <c r="E119" s="77"/>
      <c r="F119" s="82">
        <v>172230000</v>
      </c>
      <c r="G119" s="148">
        <f>G121*$F$119</f>
        <v>18593011.363636363</v>
      </c>
      <c r="H119" s="148">
        <f t="shared" ref="H119:R119" si="13">H121*$F$119</f>
        <v>17369786.93181818</v>
      </c>
      <c r="I119" s="148">
        <f t="shared" si="13"/>
        <v>16635852.272727272</v>
      </c>
      <c r="J119" s="148">
        <f t="shared" si="13"/>
        <v>1590191.7613636365</v>
      </c>
      <c r="K119" s="148">
        <f t="shared" si="13"/>
        <v>15412627.840909092</v>
      </c>
      <c r="L119" s="148">
        <f t="shared" si="13"/>
        <v>16635852.272727272</v>
      </c>
      <c r="M119" s="148">
        <f t="shared" si="13"/>
        <v>15901917.613636363</v>
      </c>
      <c r="N119" s="148">
        <f t="shared" si="13"/>
        <v>15412627.840909092</v>
      </c>
      <c r="O119" s="148">
        <f t="shared" si="13"/>
        <v>15657272.727272728</v>
      </c>
      <c r="P119" s="148">
        <f t="shared" si="13"/>
        <v>17492109.375</v>
      </c>
      <c r="Q119" s="148">
        <f t="shared" si="13"/>
        <v>18348366.477272727</v>
      </c>
      <c r="R119" s="148">
        <f t="shared" si="13"/>
        <v>3180383.5227272729</v>
      </c>
    </row>
    <row r="120" spans="1:18" ht="16.5" customHeight="1" outlineLevel="1" x14ac:dyDescent="0.15">
      <c r="A120" s="77"/>
      <c r="B120" s="77"/>
      <c r="C120" s="77"/>
      <c r="D120" s="77" t="s">
        <v>131</v>
      </c>
      <c r="E120" s="77"/>
      <c r="F120" s="82">
        <v>117130000</v>
      </c>
      <c r="G120" s="148">
        <f>G121*$F$120</f>
        <v>12644715.90909091</v>
      </c>
      <c r="H120" s="148">
        <f t="shared" ref="H120:R120" si="14">H121*$F$120</f>
        <v>11812826.704545453</v>
      </c>
      <c r="I120" s="148">
        <f t="shared" si="14"/>
        <v>11313693.181818182</v>
      </c>
      <c r="J120" s="148">
        <f t="shared" si="14"/>
        <v>1081455.9659090911</v>
      </c>
      <c r="K120" s="148">
        <f t="shared" si="14"/>
        <v>10481803.977272728</v>
      </c>
      <c r="L120" s="148">
        <f t="shared" si="14"/>
        <v>11313693.181818182</v>
      </c>
      <c r="M120" s="148">
        <f t="shared" si="14"/>
        <v>10814559.65909091</v>
      </c>
      <c r="N120" s="148">
        <f t="shared" si="14"/>
        <v>10481803.977272728</v>
      </c>
      <c r="O120" s="148">
        <f t="shared" si="14"/>
        <v>10648181.818181818</v>
      </c>
      <c r="P120" s="148">
        <f t="shared" si="14"/>
        <v>11896015.625</v>
      </c>
      <c r="Q120" s="148">
        <f t="shared" si="14"/>
        <v>12478338.068181818</v>
      </c>
      <c r="R120" s="148">
        <f t="shared" si="14"/>
        <v>2162911.9318181821</v>
      </c>
    </row>
    <row r="121" spans="1:18" ht="16.5" customHeight="1" outlineLevel="1" x14ac:dyDescent="0.15">
      <c r="A121" s="77"/>
      <c r="B121" s="77"/>
      <c r="C121" s="77"/>
      <c r="D121" s="121" t="s">
        <v>132</v>
      </c>
      <c r="E121" s="121"/>
      <c r="F121" s="122">
        <f>F55</f>
        <v>35200000</v>
      </c>
      <c r="G121" s="194">
        <f>G37/$F$121</f>
        <v>0.10795454545454546</v>
      </c>
      <c r="H121" s="194">
        <f>H37/$F$121</f>
        <v>0.10085227272727272</v>
      </c>
      <c r="I121" s="194">
        <f t="shared" ref="I121:R121" si="15">I37/$F$121</f>
        <v>9.6590909090909088E-2</v>
      </c>
      <c r="J121" s="194">
        <f t="shared" si="15"/>
        <v>9.2329545454545459E-3</v>
      </c>
      <c r="K121" s="194">
        <f t="shared" si="15"/>
        <v>8.9488636363636367E-2</v>
      </c>
      <c r="L121" s="194">
        <f t="shared" si="15"/>
        <v>9.6590909090909088E-2</v>
      </c>
      <c r="M121" s="194">
        <f t="shared" si="15"/>
        <v>9.2329545454545456E-2</v>
      </c>
      <c r="N121" s="194">
        <f t="shared" si="15"/>
        <v>8.9488636363636367E-2</v>
      </c>
      <c r="O121" s="194">
        <f t="shared" si="15"/>
        <v>9.0909090909090912E-2</v>
      </c>
      <c r="P121" s="194">
        <f t="shared" si="15"/>
        <v>0.1015625</v>
      </c>
      <c r="Q121" s="194">
        <f t="shared" si="15"/>
        <v>0.10653409090909091</v>
      </c>
      <c r="R121" s="194">
        <f t="shared" si="15"/>
        <v>1.8465909090909092E-2</v>
      </c>
    </row>
    <row r="122" spans="1:18" ht="16.5" customHeight="1" outlineLevel="1" x14ac:dyDescent="0.15">
      <c r="A122" s="77"/>
      <c r="B122" s="77"/>
      <c r="C122" s="77"/>
      <c r="D122" s="6" t="s">
        <v>64</v>
      </c>
      <c r="E122" s="77"/>
      <c r="F122" s="81">
        <f>SUM(G122:R122)</f>
        <v>289360000</v>
      </c>
      <c r="G122" s="148">
        <f>SUM(G119:G120)</f>
        <v>31237727.272727273</v>
      </c>
      <c r="H122" s="148">
        <f>SUM(H119:H120)</f>
        <v>29182613.636363633</v>
      </c>
      <c r="I122" s="148">
        <f t="shared" ref="I122:R122" si="16">SUM(I119:I120)</f>
        <v>27949545.454545453</v>
      </c>
      <c r="J122" s="148">
        <f t="shared" si="16"/>
        <v>2671647.7272727275</v>
      </c>
      <c r="K122" s="148">
        <f t="shared" si="16"/>
        <v>25894431.81818182</v>
      </c>
      <c r="L122" s="148">
        <f t="shared" si="16"/>
        <v>27949545.454545453</v>
      </c>
      <c r="M122" s="148">
        <f t="shared" si="16"/>
        <v>26716477.272727273</v>
      </c>
      <c r="N122" s="148">
        <f t="shared" si="16"/>
        <v>25894431.81818182</v>
      </c>
      <c r="O122" s="148">
        <f t="shared" si="16"/>
        <v>26305454.545454547</v>
      </c>
      <c r="P122" s="148">
        <f t="shared" si="16"/>
        <v>29388125</v>
      </c>
      <c r="Q122" s="148">
        <f t="shared" si="16"/>
        <v>30826704.545454547</v>
      </c>
      <c r="R122" s="148">
        <f t="shared" si="16"/>
        <v>5343295.4545454551</v>
      </c>
    </row>
    <row r="123" spans="1:18" ht="16.5" customHeight="1" outlineLevel="1" x14ac:dyDescent="0.15">
      <c r="A123" s="77"/>
      <c r="B123" s="77"/>
      <c r="C123" s="77"/>
      <c r="D123" s="6" t="s">
        <v>180</v>
      </c>
      <c r="E123" s="77"/>
      <c r="F123" s="81">
        <f>F112+F117+F122</f>
        <v>345040000</v>
      </c>
      <c r="G123" s="81">
        <f t="shared" ref="G123:R123" si="17">G112+G117+G122</f>
        <v>46608808.160343595</v>
      </c>
      <c r="H123" s="81">
        <f t="shared" si="17"/>
        <v>43324603.614889041</v>
      </c>
      <c r="I123" s="81">
        <f t="shared" si="17"/>
        <v>41666080.887616321</v>
      </c>
      <c r="J123" s="81">
        <f t="shared" si="17"/>
        <v>14277946.939871155</v>
      </c>
      <c r="K123" s="81">
        <f t="shared" si="17"/>
        <v>26738526.306370795</v>
      </c>
      <c r="L123" s="81">
        <f t="shared" si="17"/>
        <v>27949545.454545453</v>
      </c>
      <c r="M123" s="81">
        <f t="shared" si="17"/>
        <v>26716477.272727273</v>
      </c>
      <c r="N123" s="81">
        <f t="shared" si="17"/>
        <v>25894431.81818182</v>
      </c>
      <c r="O123" s="81">
        <f t="shared" si="17"/>
        <v>26305454.545454547</v>
      </c>
      <c r="P123" s="81">
        <f t="shared" si="17"/>
        <v>29388125</v>
      </c>
      <c r="Q123" s="81">
        <f t="shared" si="17"/>
        <v>30826704.545454547</v>
      </c>
      <c r="R123" s="81">
        <f t="shared" si="17"/>
        <v>5343295.4545454551</v>
      </c>
    </row>
    <row r="124" spans="1:18" ht="16.5" customHeight="1" outlineLevel="1" x14ac:dyDescent="0.15">
      <c r="A124" s="77"/>
      <c r="B124" s="77"/>
      <c r="C124" s="77"/>
      <c r="D124" s="77" t="s">
        <v>132</v>
      </c>
      <c r="E124" s="77"/>
      <c r="F124" s="81">
        <f>F56</f>
        <v>62800000</v>
      </c>
      <c r="G124" s="196">
        <f>SUM(G27,G32,G37)/$F$124</f>
        <v>0.21974522292993631</v>
      </c>
      <c r="H124" s="196">
        <f t="shared" ref="H124:R124" si="18">SUM(H27,H32,H37)/$F$124</f>
        <v>0.17436305732484075</v>
      </c>
      <c r="I124" s="196">
        <f t="shared" si="18"/>
        <v>0.15764331210191082</v>
      </c>
      <c r="J124" s="196">
        <f t="shared" si="18"/>
        <v>9.2754777070063688E-2</v>
      </c>
      <c r="K124" s="196">
        <f t="shared" si="18"/>
        <v>5.6528662420382167E-2</v>
      </c>
      <c r="L124" s="196">
        <f t="shared" si="18"/>
        <v>5.4140127388535034E-2</v>
      </c>
      <c r="M124" s="196">
        <f t="shared" si="18"/>
        <v>5.17515923566879E-2</v>
      </c>
      <c r="N124" s="196">
        <f t="shared" si="18"/>
        <v>5.0159235668789812E-2</v>
      </c>
      <c r="O124" s="196">
        <f t="shared" si="18"/>
        <v>5.0955414012738856E-2</v>
      </c>
      <c r="P124" s="196">
        <f t="shared" si="18"/>
        <v>5.6926751592356689E-2</v>
      </c>
      <c r="Q124" s="196">
        <f t="shared" si="18"/>
        <v>5.9713375796178345E-2</v>
      </c>
      <c r="R124" s="196">
        <f t="shared" si="18"/>
        <v>1.0350318471337579E-2</v>
      </c>
    </row>
    <row r="125" spans="1:18" ht="16.5" customHeight="1" outlineLevel="1" x14ac:dyDescent="0.15">
      <c r="A125" s="77"/>
      <c r="B125" s="77"/>
      <c r="C125" s="77"/>
      <c r="D125" s="77"/>
      <c r="E125" s="77"/>
      <c r="F125" s="81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</row>
    <row r="126" spans="1:18" ht="16.5" customHeight="1" outlineLevel="1" x14ac:dyDescent="0.15">
      <c r="A126" s="77" t="s">
        <v>104</v>
      </c>
      <c r="B126" s="77"/>
      <c r="C126" s="77"/>
      <c r="D126" s="6" t="s">
        <v>134</v>
      </c>
      <c r="E126" s="77"/>
      <c r="F126" s="82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18" ht="16.5" customHeight="1" outlineLevel="1" x14ac:dyDescent="0.15">
      <c r="A127" s="77" t="s">
        <v>135</v>
      </c>
      <c r="B127" s="77"/>
      <c r="C127" s="77"/>
      <c r="D127" s="77" t="s">
        <v>136</v>
      </c>
      <c r="E127" s="77"/>
      <c r="F127" s="24">
        <v>5000000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18" ht="16.5" customHeight="1" outlineLevel="1" x14ac:dyDescent="0.15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1:9" ht="16.5" customHeight="1" outlineLevel="1" x14ac:dyDescent="0.15">
      <c r="A129" s="77"/>
      <c r="B129" s="77"/>
      <c r="C129" s="77"/>
      <c r="D129" s="6" t="s">
        <v>137</v>
      </c>
      <c r="E129" s="77"/>
      <c r="F129" s="77"/>
      <c r="G129" s="77"/>
      <c r="H129" s="77"/>
      <c r="I129" s="77"/>
    </row>
    <row r="130" spans="1:9" ht="16.5" customHeight="1" outlineLevel="1" x14ac:dyDescent="0.15">
      <c r="A130" s="77" t="s">
        <v>260</v>
      </c>
      <c r="B130" s="77"/>
      <c r="C130" s="77"/>
      <c r="D130" s="92" t="s">
        <v>139</v>
      </c>
      <c r="E130" s="92"/>
      <c r="F130" s="25">
        <f>288441000+211179000</f>
        <v>499620000</v>
      </c>
      <c r="G130" s="77"/>
      <c r="H130" s="77"/>
      <c r="I130" s="77"/>
    </row>
    <row r="131" spans="1:9" ht="16.5" customHeight="1" outlineLevel="1" x14ac:dyDescent="0.15">
      <c r="A131" s="89" t="s">
        <v>261</v>
      </c>
      <c r="B131" s="77"/>
      <c r="C131" s="77"/>
      <c r="D131" s="77" t="s">
        <v>141</v>
      </c>
      <c r="E131" s="77"/>
      <c r="F131" s="26">
        <v>0.2</v>
      </c>
      <c r="G131" s="77"/>
      <c r="H131" s="77"/>
      <c r="I131" s="77"/>
    </row>
    <row r="132" spans="1:9" ht="16.5" customHeight="1" outlineLevel="1" x14ac:dyDescent="0.15">
      <c r="A132" s="77"/>
      <c r="B132" s="77"/>
      <c r="C132" s="77"/>
      <c r="D132" s="77"/>
      <c r="E132" s="77"/>
      <c r="F132" s="26"/>
      <c r="G132" s="77"/>
      <c r="H132" s="77"/>
      <c r="I132" s="77"/>
    </row>
    <row r="133" spans="1:9" outlineLevel="1" x14ac:dyDescent="0.15">
      <c r="A133" s="77" t="s">
        <v>67</v>
      </c>
      <c r="B133" s="77"/>
      <c r="C133" s="77"/>
      <c r="D133" s="6" t="s">
        <v>142</v>
      </c>
      <c r="E133" s="77"/>
      <c r="F133" s="77"/>
      <c r="G133" s="77"/>
      <c r="H133" s="77"/>
      <c r="I133" s="77"/>
    </row>
    <row r="134" spans="1:9" outlineLevel="1" x14ac:dyDescent="0.15">
      <c r="A134" s="77"/>
      <c r="B134" s="77"/>
      <c r="C134" s="77"/>
      <c r="D134" s="92" t="s">
        <v>143</v>
      </c>
      <c r="E134" s="92"/>
      <c r="F134" s="27">
        <v>20</v>
      </c>
      <c r="G134" s="77"/>
      <c r="H134" s="92" t="s">
        <v>144</v>
      </c>
      <c r="I134" s="27">
        <v>365</v>
      </c>
    </row>
    <row r="135" spans="1:9" outlineLevel="1" x14ac:dyDescent="0.15">
      <c r="A135" s="77"/>
      <c r="B135" s="77"/>
      <c r="C135" s="77"/>
      <c r="D135" s="77" t="s">
        <v>145</v>
      </c>
      <c r="E135" s="77"/>
      <c r="F135" s="9">
        <v>30</v>
      </c>
      <c r="G135" s="77"/>
      <c r="H135" s="77"/>
      <c r="I135" s="77"/>
    </row>
    <row r="136" spans="1:9" outlineLevel="1" x14ac:dyDescent="0.15">
      <c r="A136" s="77"/>
      <c r="B136" s="77"/>
      <c r="C136" s="77"/>
      <c r="D136" s="77" t="s">
        <v>146</v>
      </c>
      <c r="E136" s="77"/>
      <c r="F136" s="9">
        <v>20</v>
      </c>
      <c r="G136" s="77"/>
      <c r="H136" s="77"/>
      <c r="I136" s="77"/>
    </row>
    <row r="137" spans="1:9" outlineLevel="1" x14ac:dyDescent="0.15">
      <c r="A137" s="77"/>
      <c r="B137" s="77"/>
      <c r="C137" s="77"/>
      <c r="D137" s="77"/>
      <c r="E137" s="77"/>
      <c r="F137" s="77"/>
      <c r="G137" s="77"/>
      <c r="H137" s="77"/>
      <c r="I137" s="77"/>
    </row>
    <row r="138" spans="1:9" outlineLevel="1" x14ac:dyDescent="0.15">
      <c r="A138" s="77"/>
      <c r="B138" s="77"/>
      <c r="C138" s="77"/>
      <c r="D138" s="77" t="s">
        <v>262</v>
      </c>
      <c r="E138" s="77"/>
      <c r="F138" s="83">
        <v>3.1E-2</v>
      </c>
      <c r="G138" s="77"/>
      <c r="H138" s="77"/>
      <c r="I138" s="77"/>
    </row>
    <row r="139" spans="1:9" outlineLevel="1" x14ac:dyDescent="0.15">
      <c r="A139" s="77"/>
      <c r="B139" s="77"/>
      <c r="C139" s="77"/>
      <c r="D139" s="77" t="s">
        <v>263</v>
      </c>
      <c r="E139" s="77"/>
      <c r="F139" s="95">
        <v>0.99</v>
      </c>
      <c r="G139" s="77"/>
      <c r="H139" s="77"/>
      <c r="I139" s="77"/>
    </row>
    <row r="140" spans="1:9" outlineLevel="1" x14ac:dyDescent="0.15">
      <c r="A140" s="77"/>
      <c r="B140" s="77"/>
      <c r="C140" s="77"/>
      <c r="D140" s="77" t="s">
        <v>264</v>
      </c>
      <c r="E140" s="77"/>
      <c r="F140" s="83">
        <f>19.23%*45%+9.83%*55%</f>
        <v>0.1406</v>
      </c>
      <c r="G140" s="77"/>
      <c r="H140" s="77"/>
      <c r="I140" s="77"/>
    </row>
    <row r="141" spans="1:9" outlineLevel="1" x14ac:dyDescent="0.15">
      <c r="A141" s="77"/>
      <c r="B141" s="77"/>
      <c r="C141" s="77"/>
      <c r="D141" s="77" t="s">
        <v>265</v>
      </c>
      <c r="E141" s="77"/>
      <c r="F141" s="83">
        <f>F138+F139*F140</f>
        <v>0.17019400000000001</v>
      </c>
      <c r="G141" s="77"/>
      <c r="H141" s="77"/>
      <c r="I141" s="77"/>
    </row>
    <row r="142" spans="1:9" outlineLevel="1" x14ac:dyDescent="0.15">
      <c r="A142" s="77"/>
      <c r="B142" s="77"/>
      <c r="C142" s="77"/>
      <c r="D142" s="77" t="s">
        <v>266</v>
      </c>
      <c r="E142" s="77"/>
      <c r="F142" s="83">
        <f>0.3%</f>
        <v>3.0000000000000001E-3</v>
      </c>
      <c r="G142" s="77"/>
      <c r="H142" s="77"/>
      <c r="I142" s="77"/>
    </row>
    <row r="143" spans="1:9" outlineLevel="1" x14ac:dyDescent="0.15">
      <c r="A143" s="77"/>
      <c r="B143" s="77"/>
      <c r="C143" s="77"/>
      <c r="D143" s="77" t="s">
        <v>267</v>
      </c>
      <c r="E143" s="77"/>
      <c r="F143" s="83">
        <v>2</v>
      </c>
      <c r="G143" s="77"/>
      <c r="H143" s="77"/>
      <c r="I143" s="77"/>
    </row>
    <row r="144" spans="1:9" outlineLevel="1" x14ac:dyDescent="0.15">
      <c r="A144" s="77"/>
      <c r="B144" s="77"/>
      <c r="C144" s="77"/>
      <c r="D144" s="77" t="s">
        <v>147</v>
      </c>
      <c r="E144" s="77"/>
      <c r="F144" s="83">
        <f>F143*F142*(1-F131)+F141*(1-F142)</f>
        <v>0.174483418</v>
      </c>
      <c r="G144" s="77"/>
      <c r="H144" s="77"/>
      <c r="I144" s="77"/>
    </row>
    <row r="145" spans="1:18" outlineLevel="1" x14ac:dyDescent="0.15">
      <c r="A145" s="77"/>
      <c r="B145" s="77"/>
      <c r="C145" s="77"/>
      <c r="D145" s="77" t="s">
        <v>148</v>
      </c>
      <c r="E145" s="77"/>
      <c r="F145" s="83">
        <v>2.4E-2</v>
      </c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1:18" outlineLevel="1" x14ac:dyDescent="0.15">
      <c r="A146" s="77"/>
      <c r="B146" s="77"/>
      <c r="C146" s="77"/>
      <c r="D146" s="6" t="s">
        <v>149</v>
      </c>
      <c r="E146" s="77"/>
      <c r="F146" s="83">
        <f>F144-F145</f>
        <v>0.15048341800000001</v>
      </c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1:18" outlineLevel="1" x14ac:dyDescent="0.15">
      <c r="A147" s="77"/>
      <c r="B147" s="77"/>
      <c r="C147" s="77"/>
      <c r="D147" s="6"/>
      <c r="E147" s="77"/>
      <c r="F147" s="83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1:18" outlineLevel="1" x14ac:dyDescent="0.15">
      <c r="A148" s="77"/>
      <c r="B148" s="77"/>
      <c r="C148" s="77"/>
      <c r="D148" s="6" t="s">
        <v>150</v>
      </c>
      <c r="E148" s="77"/>
      <c r="F148" s="95">
        <v>1.87</v>
      </c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1:18" outlineLevel="1" x14ac:dyDescent="0.15">
      <c r="A149" s="77"/>
      <c r="B149" s="77"/>
      <c r="C149" s="77"/>
      <c r="D149" s="6"/>
      <c r="E149" s="77"/>
      <c r="F149" s="83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1:18" outlineLevel="1" x14ac:dyDescent="0.15">
      <c r="A150" s="77"/>
      <c r="B150" s="77"/>
      <c r="C150" s="77"/>
      <c r="D150" s="6" t="s">
        <v>151</v>
      </c>
      <c r="E150" s="77"/>
      <c r="F150" s="53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1:18" ht="13.5" customHeight="1" x14ac:dyDescent="0.1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1:18" s="50" customFormat="1" ht="18.75" customHeight="1" x14ac:dyDescent="0.2">
      <c r="A152" s="107" t="s">
        <v>152</v>
      </c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</row>
    <row r="153" spans="1:18" s="29" customFormat="1" outlineLevel="1" x14ac:dyDescent="0.15">
      <c r="A153" s="28"/>
      <c r="B153" s="80"/>
      <c r="C153" s="80"/>
      <c r="D153" s="149"/>
      <c r="E153" s="149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</row>
    <row r="154" spans="1:18" s="29" customFormat="1" outlineLevel="1" x14ac:dyDescent="0.15">
      <c r="A154" s="70" t="s">
        <v>153</v>
      </c>
      <c r="B154" s="71"/>
      <c r="C154" s="71"/>
      <c r="D154" s="72"/>
      <c r="E154" s="72"/>
      <c r="F154" s="71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</row>
    <row r="155" spans="1:18" s="29" customFormat="1" outlineLevel="1" x14ac:dyDescent="0.15">
      <c r="A155" s="28"/>
      <c r="B155" s="80"/>
      <c r="C155" s="80"/>
      <c r="D155" s="149"/>
      <c r="E155" s="149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</row>
    <row r="156" spans="1:18" s="29" customFormat="1" outlineLevel="1" x14ac:dyDescent="0.15">
      <c r="A156" s="28" t="s">
        <v>154</v>
      </c>
      <c r="B156" s="80"/>
      <c r="C156" s="80"/>
      <c r="D156" s="149"/>
      <c r="E156" s="149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</row>
    <row r="157" spans="1:18" s="29" customFormat="1" outlineLevel="1" x14ac:dyDescent="0.15">
      <c r="A157" s="80"/>
      <c r="B157" s="114" t="s">
        <v>239</v>
      </c>
      <c r="C157" s="80"/>
      <c r="D157" s="149"/>
      <c r="E157" s="149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</row>
    <row r="158" spans="1:18" s="29" customFormat="1" outlineLevel="1" x14ac:dyDescent="0.15">
      <c r="A158" s="28"/>
      <c r="B158" s="80" t="s">
        <v>155</v>
      </c>
      <c r="C158" s="80"/>
      <c r="D158" s="149" t="s">
        <v>156</v>
      </c>
      <c r="E158" s="150">
        <f>IFERROR(AVERAGE(G158:R158),"na")</f>
        <v>2650000</v>
      </c>
      <c r="F158" s="151" t="s">
        <v>157</v>
      </c>
      <c r="G158" s="30">
        <f>$F$27</f>
        <v>4400000</v>
      </c>
      <c r="H158" s="31">
        <f>G160</f>
        <v>900000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</row>
    <row r="159" spans="1:18" s="29" customFormat="1" outlineLevel="1" x14ac:dyDescent="0.15">
      <c r="A159" s="28"/>
      <c r="B159" s="77" t="s">
        <v>158</v>
      </c>
      <c r="C159" s="80"/>
      <c r="D159" s="149" t="s">
        <v>156</v>
      </c>
      <c r="E159" s="150">
        <f t="shared" ref="E159:E160" si="19">IFERROR(AVERAGE(G159:R159),"na")</f>
        <v>-2200000</v>
      </c>
      <c r="F159" s="152">
        <f>SUM(G159:R159)</f>
        <v>-4400000</v>
      </c>
      <c r="G159" s="14">
        <f>-G27</f>
        <v>-3500000</v>
      </c>
      <c r="H159" s="14">
        <f>-H27</f>
        <v>-900000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s="29" customFormat="1" outlineLevel="1" x14ac:dyDescent="0.15">
      <c r="A160" s="28"/>
      <c r="B160" s="92" t="s">
        <v>159</v>
      </c>
      <c r="C160" s="153"/>
      <c r="D160" s="154" t="s">
        <v>156</v>
      </c>
      <c r="E160" s="155">
        <f t="shared" si="19"/>
        <v>450000</v>
      </c>
      <c r="F160" s="156" t="s">
        <v>157</v>
      </c>
      <c r="G160" s="20">
        <f>SUM(G158:G159)</f>
        <v>900000</v>
      </c>
      <c r="H160" s="20">
        <f>SUM(H158:H159)</f>
        <v>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 s="29" customFormat="1" outlineLevel="1" x14ac:dyDescent="0.15">
      <c r="A161" s="80"/>
      <c r="B161" s="114" t="s">
        <v>242</v>
      </c>
      <c r="C161" s="80"/>
      <c r="D161" s="149"/>
      <c r="E161" s="149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</row>
    <row r="162" spans="1:18" s="29" customFormat="1" outlineLevel="1" x14ac:dyDescent="0.15">
      <c r="A162" s="28"/>
      <c r="B162" s="80" t="s">
        <v>155</v>
      </c>
      <c r="C162" s="80"/>
      <c r="D162" s="149" t="s">
        <v>156</v>
      </c>
      <c r="E162" s="150">
        <f>IFERROR(AVERAGE(G162:R162),"na")</f>
        <v>12600000</v>
      </c>
      <c r="F162" s="151" t="s">
        <v>157</v>
      </c>
      <c r="G162" s="30">
        <f>$F$32</f>
        <v>25400000</v>
      </c>
      <c r="H162" s="31">
        <f>G164</f>
        <v>18900000</v>
      </c>
      <c r="I162" s="31">
        <f t="shared" ref="I162:K162" si="20">H164</f>
        <v>12400000</v>
      </c>
      <c r="J162" s="31">
        <f t="shared" si="20"/>
        <v>5900000</v>
      </c>
      <c r="K162" s="31">
        <f t="shared" si="20"/>
        <v>400000</v>
      </c>
      <c r="L162" s="31"/>
      <c r="M162" s="31"/>
      <c r="N162" s="31"/>
      <c r="O162" s="31"/>
      <c r="P162" s="31"/>
      <c r="Q162" s="31"/>
      <c r="R162" s="31"/>
    </row>
    <row r="163" spans="1:18" s="29" customFormat="1" outlineLevel="1" x14ac:dyDescent="0.15">
      <c r="A163" s="28"/>
      <c r="B163" s="77" t="s">
        <v>158</v>
      </c>
      <c r="C163" s="80"/>
      <c r="D163" s="149" t="s">
        <v>156</v>
      </c>
      <c r="E163" s="150">
        <f t="shared" ref="E163:E164" si="21">IFERROR(AVERAGE(G163:R163),"na")</f>
        <v>-5080000</v>
      </c>
      <c r="F163" s="152">
        <f>SUM(G163:R163)</f>
        <v>-25400000</v>
      </c>
      <c r="G163" s="14">
        <f>-G32</f>
        <v>-6500000</v>
      </c>
      <c r="H163" s="14">
        <f>-H32</f>
        <v>-6500000</v>
      </c>
      <c r="I163" s="14">
        <f t="shared" ref="I163:K163" si="22">-I32</f>
        <v>-6500000</v>
      </c>
      <c r="J163" s="14">
        <f t="shared" si="22"/>
        <v>-5500000</v>
      </c>
      <c r="K163" s="14">
        <f t="shared" si="22"/>
        <v>-400000</v>
      </c>
      <c r="L163" s="80"/>
      <c r="M163" s="14"/>
      <c r="N163" s="14"/>
      <c r="O163" s="14"/>
      <c r="P163" s="14"/>
      <c r="Q163" s="14"/>
      <c r="R163" s="14"/>
    </row>
    <row r="164" spans="1:18" s="29" customFormat="1" outlineLevel="1" x14ac:dyDescent="0.15">
      <c r="A164" s="28"/>
      <c r="B164" s="92" t="s">
        <v>159</v>
      </c>
      <c r="C164" s="153"/>
      <c r="D164" s="154" t="s">
        <v>156</v>
      </c>
      <c r="E164" s="155">
        <f t="shared" si="21"/>
        <v>7520000</v>
      </c>
      <c r="F164" s="156" t="s">
        <v>157</v>
      </c>
      <c r="G164" s="20">
        <f>SUM(G162:G163)</f>
        <v>18900000</v>
      </c>
      <c r="H164" s="20">
        <f>SUM(H162:H163)</f>
        <v>12400000</v>
      </c>
      <c r="I164" s="20">
        <f t="shared" ref="I164:K164" si="23">SUM(I162:I163)</f>
        <v>5900000</v>
      </c>
      <c r="J164" s="20">
        <f t="shared" si="23"/>
        <v>400000</v>
      </c>
      <c r="K164" s="20">
        <f t="shared" si="23"/>
        <v>0</v>
      </c>
      <c r="L164" s="20"/>
      <c r="M164" s="20"/>
      <c r="N164" s="20"/>
      <c r="O164" s="20"/>
      <c r="P164" s="20"/>
      <c r="Q164" s="20"/>
      <c r="R164" s="20"/>
    </row>
    <row r="165" spans="1:18" s="29" customFormat="1" outlineLevel="1" x14ac:dyDescent="0.15">
      <c r="A165" s="80"/>
      <c r="B165" s="114" t="s">
        <v>243</v>
      </c>
      <c r="C165" s="80"/>
      <c r="D165" s="149"/>
      <c r="E165" s="149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14"/>
    </row>
    <row r="166" spans="1:18" s="29" customFormat="1" outlineLevel="1" x14ac:dyDescent="0.15">
      <c r="A166" s="28"/>
      <c r="B166" s="80" t="s">
        <v>155</v>
      </c>
      <c r="C166" s="80"/>
      <c r="D166" s="149" t="s">
        <v>156</v>
      </c>
      <c r="E166" s="150">
        <f>IFERROR(AVERAGE(G166:R166),"na")</f>
        <v>18341666.666666668</v>
      </c>
      <c r="F166" s="151" t="s">
        <v>157</v>
      </c>
      <c r="G166" s="30">
        <f>$F$37</f>
        <v>35200000</v>
      </c>
      <c r="H166" s="31">
        <f>G168</f>
        <v>31400000</v>
      </c>
      <c r="I166" s="31">
        <f t="shared" ref="I166:R166" si="24">H168</f>
        <v>27850000</v>
      </c>
      <c r="J166" s="31">
        <f t="shared" si="24"/>
        <v>24450000</v>
      </c>
      <c r="K166" s="31">
        <f t="shared" si="24"/>
        <v>24125000</v>
      </c>
      <c r="L166" s="31">
        <f t="shared" si="24"/>
        <v>20975000</v>
      </c>
      <c r="M166" s="31">
        <f t="shared" si="24"/>
        <v>17575000</v>
      </c>
      <c r="N166" s="31">
        <f t="shared" si="24"/>
        <v>14325000</v>
      </c>
      <c r="O166" s="31">
        <f t="shared" si="24"/>
        <v>11175000</v>
      </c>
      <c r="P166" s="31">
        <f t="shared" si="24"/>
        <v>7975000</v>
      </c>
      <c r="Q166" s="31">
        <f t="shared" si="24"/>
        <v>4400000</v>
      </c>
      <c r="R166" s="31">
        <f t="shared" si="24"/>
        <v>650000</v>
      </c>
    </row>
    <row r="167" spans="1:18" s="29" customFormat="1" outlineLevel="1" x14ac:dyDescent="0.15">
      <c r="A167" s="28"/>
      <c r="B167" s="77" t="s">
        <v>158</v>
      </c>
      <c r="C167" s="80"/>
      <c r="D167" s="149" t="s">
        <v>156</v>
      </c>
      <c r="E167" s="150">
        <f t="shared" ref="E167:E168" si="25">IFERROR(AVERAGE(G167:R167),"na")</f>
        <v>-2933333.3333333335</v>
      </c>
      <c r="F167" s="152">
        <f>SUM(G167:R167)</f>
        <v>-35200000</v>
      </c>
      <c r="G167" s="14">
        <f>-G37</f>
        <v>-3800000</v>
      </c>
      <c r="H167" s="14">
        <f>-H37</f>
        <v>-3550000</v>
      </c>
      <c r="I167" s="14">
        <f t="shared" ref="I167:R167" si="26">-I37</f>
        <v>-3400000</v>
      </c>
      <c r="J167" s="14">
        <f t="shared" si="26"/>
        <v>-325000</v>
      </c>
      <c r="K167" s="14">
        <f t="shared" si="26"/>
        <v>-3150000</v>
      </c>
      <c r="L167" s="14">
        <f t="shared" si="26"/>
        <v>-3400000</v>
      </c>
      <c r="M167" s="14">
        <f t="shared" si="26"/>
        <v>-3250000</v>
      </c>
      <c r="N167" s="14">
        <f t="shared" si="26"/>
        <v>-3150000</v>
      </c>
      <c r="O167" s="14">
        <f t="shared" si="26"/>
        <v>-3200000</v>
      </c>
      <c r="P167" s="14">
        <f t="shared" si="26"/>
        <v>-3575000</v>
      </c>
      <c r="Q167" s="14">
        <f t="shared" si="26"/>
        <v>-3750000</v>
      </c>
      <c r="R167" s="14">
        <f t="shared" si="26"/>
        <v>-650000</v>
      </c>
    </row>
    <row r="168" spans="1:18" s="29" customFormat="1" outlineLevel="1" x14ac:dyDescent="0.15">
      <c r="A168" s="28"/>
      <c r="B168" s="92" t="s">
        <v>159</v>
      </c>
      <c r="C168" s="153"/>
      <c r="D168" s="154" t="s">
        <v>156</v>
      </c>
      <c r="E168" s="155">
        <f t="shared" si="25"/>
        <v>15408333.333333334</v>
      </c>
      <c r="F168" s="156" t="s">
        <v>157</v>
      </c>
      <c r="G168" s="20">
        <f>SUM(G166:G167)</f>
        <v>31400000</v>
      </c>
      <c r="H168" s="20">
        <f>SUM(H166:H167)</f>
        <v>27850000</v>
      </c>
      <c r="I168" s="20">
        <f t="shared" ref="I168:R168" si="27">SUM(I166:I167)</f>
        <v>24450000</v>
      </c>
      <c r="J168" s="20">
        <f t="shared" si="27"/>
        <v>24125000</v>
      </c>
      <c r="K168" s="20">
        <f t="shared" si="27"/>
        <v>20975000</v>
      </c>
      <c r="L168" s="20">
        <f t="shared" si="27"/>
        <v>17575000</v>
      </c>
      <c r="M168" s="20">
        <f t="shared" si="27"/>
        <v>14325000</v>
      </c>
      <c r="N168" s="20">
        <f t="shared" si="27"/>
        <v>11175000</v>
      </c>
      <c r="O168" s="20">
        <f t="shared" si="27"/>
        <v>7975000</v>
      </c>
      <c r="P168" s="20">
        <f t="shared" si="27"/>
        <v>4400000</v>
      </c>
      <c r="Q168" s="20">
        <f t="shared" si="27"/>
        <v>650000</v>
      </c>
      <c r="R168" s="20">
        <f t="shared" si="27"/>
        <v>0</v>
      </c>
    </row>
    <row r="169" spans="1:18" s="29" customFormat="1" outlineLevel="1" x14ac:dyDescent="0.15">
      <c r="A169" s="28"/>
      <c r="B169" s="77"/>
      <c r="C169" s="80"/>
      <c r="D169" s="149"/>
      <c r="E169" s="149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1:18" s="29" customFormat="1" outlineLevel="1" x14ac:dyDescent="0.15">
      <c r="A170" s="28"/>
      <c r="B170" s="77" t="s">
        <v>103</v>
      </c>
      <c r="C170" s="80"/>
      <c r="D170" s="149" t="s">
        <v>60</v>
      </c>
      <c r="E170" s="150">
        <f t="shared" ref="E170:E172" si="28">IFERROR(AVERAGE(G170:R170),"na")</f>
        <v>0</v>
      </c>
      <c r="F170" s="151" t="s">
        <v>157</v>
      </c>
      <c r="G170" s="32">
        <f>$E$58</f>
        <v>0</v>
      </c>
      <c r="H170" s="32">
        <f t="shared" ref="H170:R170" si="29">$E$58</f>
        <v>0</v>
      </c>
      <c r="I170" s="32">
        <f t="shared" si="29"/>
        <v>0</v>
      </c>
      <c r="J170" s="32">
        <f t="shared" si="29"/>
        <v>0</v>
      </c>
      <c r="K170" s="32">
        <f t="shared" si="29"/>
        <v>0</v>
      </c>
      <c r="L170" s="32">
        <f t="shared" si="29"/>
        <v>0</v>
      </c>
      <c r="M170" s="32">
        <f t="shared" si="29"/>
        <v>0</v>
      </c>
      <c r="N170" s="32">
        <f t="shared" si="29"/>
        <v>0</v>
      </c>
      <c r="O170" s="32">
        <f t="shared" si="29"/>
        <v>0</v>
      </c>
      <c r="P170" s="32">
        <f t="shared" si="29"/>
        <v>0</v>
      </c>
      <c r="Q170" s="32">
        <f t="shared" si="29"/>
        <v>0</v>
      </c>
      <c r="R170" s="32">
        <f t="shared" si="29"/>
        <v>0</v>
      </c>
    </row>
    <row r="171" spans="1:18" s="29" customFormat="1" outlineLevel="1" x14ac:dyDescent="0.15">
      <c r="A171" s="28"/>
      <c r="B171" s="77" t="s">
        <v>160</v>
      </c>
      <c r="C171" s="80"/>
      <c r="D171" s="149" t="s">
        <v>156</v>
      </c>
      <c r="E171" s="150">
        <f t="shared" si="28"/>
        <v>0</v>
      </c>
      <c r="F171" s="152">
        <f>SUM(G171:R171)</f>
        <v>0</v>
      </c>
      <c r="G171" s="14">
        <f>-G170*G159</f>
        <v>0</v>
      </c>
      <c r="H171" s="14">
        <f t="shared" ref="H171:R171" si="30">-H170*H159</f>
        <v>0</v>
      </c>
      <c r="I171" s="14">
        <f t="shared" si="30"/>
        <v>0</v>
      </c>
      <c r="J171" s="14">
        <f t="shared" si="30"/>
        <v>0</v>
      </c>
      <c r="K171" s="14">
        <f t="shared" si="30"/>
        <v>0</v>
      </c>
      <c r="L171" s="14">
        <f t="shared" si="30"/>
        <v>0</v>
      </c>
      <c r="M171" s="14">
        <f t="shared" si="30"/>
        <v>0</v>
      </c>
      <c r="N171" s="14">
        <f t="shared" si="30"/>
        <v>0</v>
      </c>
      <c r="O171" s="14">
        <f t="shared" si="30"/>
        <v>0</v>
      </c>
      <c r="P171" s="14">
        <f t="shared" si="30"/>
        <v>0</v>
      </c>
      <c r="Q171" s="14">
        <f t="shared" si="30"/>
        <v>0</v>
      </c>
      <c r="R171" s="14">
        <f t="shared" si="30"/>
        <v>0</v>
      </c>
    </row>
    <row r="172" spans="1:18" s="29" customFormat="1" outlineLevel="1" x14ac:dyDescent="0.15">
      <c r="A172" s="28"/>
      <c r="B172" s="92" t="s">
        <v>161</v>
      </c>
      <c r="C172" s="153"/>
      <c r="D172" s="154" t="s">
        <v>156</v>
      </c>
      <c r="E172" s="155">
        <f t="shared" si="28"/>
        <v>366666.66666666669</v>
      </c>
      <c r="F172" s="157">
        <f>SUM(G172:R172)</f>
        <v>4400000</v>
      </c>
      <c r="G172" s="20">
        <f>G171-G159</f>
        <v>3500000</v>
      </c>
      <c r="H172" s="20">
        <f t="shared" ref="H172:R172" si="31">H171-H159</f>
        <v>900000</v>
      </c>
      <c r="I172" s="20">
        <f t="shared" si="31"/>
        <v>0</v>
      </c>
      <c r="J172" s="20">
        <f t="shared" si="31"/>
        <v>0</v>
      </c>
      <c r="K172" s="20">
        <f t="shared" si="31"/>
        <v>0</v>
      </c>
      <c r="L172" s="20">
        <f t="shared" si="31"/>
        <v>0</v>
      </c>
      <c r="M172" s="20">
        <f t="shared" si="31"/>
        <v>0</v>
      </c>
      <c r="N172" s="20">
        <f t="shared" si="31"/>
        <v>0</v>
      </c>
      <c r="O172" s="20">
        <f t="shared" si="31"/>
        <v>0</v>
      </c>
      <c r="P172" s="20">
        <f t="shared" si="31"/>
        <v>0</v>
      </c>
      <c r="Q172" s="20">
        <f t="shared" si="31"/>
        <v>0</v>
      </c>
      <c r="R172" s="20">
        <f t="shared" si="31"/>
        <v>0</v>
      </c>
    </row>
    <row r="173" spans="1:18" s="29" customFormat="1" outlineLevel="1" x14ac:dyDescent="0.15">
      <c r="A173" s="28"/>
      <c r="B173" s="80"/>
      <c r="C173" s="80"/>
      <c r="D173" s="149"/>
      <c r="E173" s="149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1:18" s="29" customFormat="1" outlineLevel="1" x14ac:dyDescent="0.15">
      <c r="A174" s="80"/>
      <c r="B174" s="197" t="s">
        <v>163</v>
      </c>
      <c r="C174" s="197"/>
      <c r="D174" s="198"/>
      <c r="E174" s="199"/>
      <c r="F174" s="200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 spans="1:18" s="29" customFormat="1" outlineLevel="1" x14ac:dyDescent="0.15">
      <c r="A175" s="80"/>
      <c r="B175" s="114" t="s">
        <v>239</v>
      </c>
      <c r="C175" s="80"/>
      <c r="D175" s="149" t="s">
        <v>91</v>
      </c>
      <c r="E175" s="158"/>
      <c r="F175" s="151"/>
      <c r="G175" s="125">
        <f>G28</f>
        <v>1.67</v>
      </c>
      <c r="H175" s="125">
        <f>H28</f>
        <v>1.7</v>
      </c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 spans="1:18" s="29" customFormat="1" outlineLevel="1" x14ac:dyDescent="0.15">
      <c r="A176" s="80"/>
      <c r="B176" s="114" t="s">
        <v>242</v>
      </c>
      <c r="C176" s="80"/>
      <c r="D176" s="149" t="s">
        <v>91</v>
      </c>
      <c r="E176" s="158"/>
      <c r="F176" s="151"/>
      <c r="G176" s="34">
        <f>G33</f>
        <v>1.1299999999999999</v>
      </c>
      <c r="H176" s="34">
        <f t="shared" ref="H176:J176" si="32">H33</f>
        <v>1.03</v>
      </c>
      <c r="I176" s="34">
        <f t="shared" si="32"/>
        <v>1.03</v>
      </c>
      <c r="J176" s="34">
        <f t="shared" si="32"/>
        <v>1.03</v>
      </c>
      <c r="K176" s="34">
        <f>K33</f>
        <v>1.03</v>
      </c>
      <c r="L176" s="34"/>
      <c r="M176" s="34"/>
      <c r="N176" s="34"/>
      <c r="O176" s="34"/>
      <c r="P176" s="34"/>
      <c r="Q176" s="34"/>
      <c r="R176" s="34"/>
    </row>
    <row r="177" spans="1:18" s="29" customFormat="1" outlineLevel="1" x14ac:dyDescent="0.15">
      <c r="A177" s="80"/>
      <c r="B177" s="114" t="s">
        <v>243</v>
      </c>
      <c r="C177" s="80"/>
      <c r="D177" s="149" t="s">
        <v>91</v>
      </c>
      <c r="E177" s="158"/>
      <c r="F177" s="151"/>
      <c r="G177" s="34">
        <f>G38</f>
        <v>2.2000000000000002</v>
      </c>
      <c r="H177" s="34">
        <f t="shared" ref="H177:R177" si="33">H38</f>
        <v>1.8</v>
      </c>
      <c r="I177" s="34">
        <f t="shared" si="33"/>
        <v>1.5</v>
      </c>
      <c r="J177" s="34">
        <f t="shared" si="33"/>
        <v>2.2000000000000002</v>
      </c>
      <c r="K177" s="34">
        <f t="shared" si="33"/>
        <v>2</v>
      </c>
      <c r="L177" s="34">
        <f t="shared" si="33"/>
        <v>1.5</v>
      </c>
      <c r="M177" s="34">
        <f t="shared" si="33"/>
        <v>1.25</v>
      </c>
      <c r="N177" s="34">
        <f t="shared" si="33"/>
        <v>1.5</v>
      </c>
      <c r="O177" s="34">
        <f t="shared" si="33"/>
        <v>1.2</v>
      </c>
      <c r="P177" s="34">
        <f t="shared" si="33"/>
        <v>1</v>
      </c>
      <c r="Q177" s="34">
        <f t="shared" si="33"/>
        <v>0.5</v>
      </c>
      <c r="R177" s="34">
        <f t="shared" si="33"/>
        <v>0.5</v>
      </c>
    </row>
    <row r="178" spans="1:18" s="33" customFormat="1" outlineLevel="1" x14ac:dyDescent="0.15">
      <c r="A178" s="78"/>
      <c r="B178" s="78"/>
      <c r="C178" s="78"/>
      <c r="D178" s="79"/>
      <c r="E178" s="79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</row>
    <row r="179" spans="1:18" s="33" customFormat="1" outlineLevel="1" x14ac:dyDescent="0.15">
      <c r="A179" s="78"/>
      <c r="B179" s="197" t="s">
        <v>164</v>
      </c>
      <c r="C179" s="201"/>
      <c r="D179" s="202"/>
      <c r="E179" s="203"/>
      <c r="F179" s="204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</row>
    <row r="180" spans="1:18" s="33" customFormat="1" outlineLevel="1" x14ac:dyDescent="0.15">
      <c r="A180" s="78"/>
      <c r="B180" s="114" t="s">
        <v>239</v>
      </c>
      <c r="C180" s="78"/>
      <c r="D180" s="79" t="s">
        <v>165</v>
      </c>
      <c r="E180" s="150">
        <f t="shared" ref="E180:E183" si="34">IFERROR(AVERAGE(G180:R180),"na")</f>
        <v>118555.87797181567</v>
      </c>
      <c r="F180" s="152">
        <f>SUM(G180:R180)</f>
        <v>237111.75594363135</v>
      </c>
      <c r="G180" s="35">
        <f>-G175*G159*$F$10</f>
        <v>187921.11369363053</v>
      </c>
      <c r="H180" s="35">
        <f>-H175*H159*$F$10</f>
        <v>49190.642250000805</v>
      </c>
      <c r="I180" s="35"/>
      <c r="J180" s="35"/>
      <c r="K180" s="35"/>
      <c r="L180" s="35"/>
      <c r="M180" s="35"/>
      <c r="N180" s="35"/>
      <c r="O180" s="35"/>
      <c r="P180" s="35"/>
      <c r="Q180" s="35"/>
      <c r="R180" s="35"/>
    </row>
    <row r="181" spans="1:18" s="33" customFormat="1" outlineLevel="1" x14ac:dyDescent="0.15">
      <c r="A181" s="78"/>
      <c r="B181" s="114" t="s">
        <v>242</v>
      </c>
      <c r="C181" s="78"/>
      <c r="D181" s="79" t="s">
        <v>165</v>
      </c>
      <c r="E181" s="150">
        <f t="shared" si="34"/>
        <v>172405.16339961067</v>
      </c>
      <c r="F181" s="152">
        <f t="shared" ref="F181:F183" si="35">SUM(G181:R181)</f>
        <v>862025.81699805334</v>
      </c>
      <c r="G181" s="35">
        <f>-G176*G163*$F$10</f>
        <v>236147.23354657248</v>
      </c>
      <c r="H181" s="35">
        <f t="shared" ref="H181:K181" si="36">-H176*H163*$F$10</f>
        <v>215249.24827696432</v>
      </c>
      <c r="I181" s="35">
        <f t="shared" si="36"/>
        <v>215249.24827696432</v>
      </c>
      <c r="J181" s="35">
        <f t="shared" si="36"/>
        <v>182133.97931127751</v>
      </c>
      <c r="K181" s="35">
        <f t="shared" si="36"/>
        <v>13246.107586274728</v>
      </c>
      <c r="L181" s="35"/>
      <c r="M181" s="35"/>
      <c r="N181" s="35"/>
      <c r="O181" s="35"/>
      <c r="P181" s="35"/>
      <c r="Q181" s="35"/>
      <c r="R181" s="35"/>
    </row>
    <row r="182" spans="1:18" s="33" customFormat="1" outlineLevel="1" x14ac:dyDescent="0.15">
      <c r="A182" s="78"/>
      <c r="B182" s="114" t="s">
        <v>243</v>
      </c>
      <c r="C182" s="78"/>
      <c r="D182" s="79" t="s">
        <v>165</v>
      </c>
      <c r="E182" s="150">
        <f t="shared" si="34"/>
        <v>134946.06064961417</v>
      </c>
      <c r="F182" s="152">
        <f t="shared" si="35"/>
        <v>1619352.7277953699</v>
      </c>
      <c r="G182" s="35">
        <f>-G177*G167*$F$10</f>
        <v>268780.24131372996</v>
      </c>
      <c r="H182" s="35">
        <f t="shared" ref="H182:R182" si="37">-H177*H167*$F$10</f>
        <v>205443.27057353279</v>
      </c>
      <c r="I182" s="35">
        <f t="shared" si="37"/>
        <v>163968.8075000027</v>
      </c>
      <c r="J182" s="35">
        <f t="shared" si="37"/>
        <v>22987.783796569005</v>
      </c>
      <c r="K182" s="35">
        <f t="shared" si="37"/>
        <v>202549.70338235627</v>
      </c>
      <c r="L182" s="35">
        <f t="shared" si="37"/>
        <v>163968.8075000027</v>
      </c>
      <c r="M182" s="35">
        <f t="shared" si="37"/>
        <v>130612.40793505116</v>
      </c>
      <c r="N182" s="35">
        <f t="shared" si="37"/>
        <v>151912.27753676721</v>
      </c>
      <c r="O182" s="35">
        <f t="shared" si="37"/>
        <v>123458.86682353144</v>
      </c>
      <c r="P182" s="35">
        <f t="shared" si="37"/>
        <v>114938.91898284502</v>
      </c>
      <c r="Q182" s="35">
        <f t="shared" si="37"/>
        <v>60282.649816177458</v>
      </c>
      <c r="R182" s="35">
        <f t="shared" si="37"/>
        <v>10448.992634804094</v>
      </c>
    </row>
    <row r="183" spans="1:18" s="33" customFormat="1" outlineLevel="1" x14ac:dyDescent="0.15">
      <c r="A183" s="78"/>
      <c r="B183" s="64" t="s">
        <v>64</v>
      </c>
      <c r="C183" s="42"/>
      <c r="D183" s="66" t="s">
        <v>165</v>
      </c>
      <c r="E183" s="65">
        <f t="shared" si="34"/>
        <v>226540.85839475447</v>
      </c>
      <c r="F183" s="126">
        <f t="shared" si="35"/>
        <v>2718490.3007370536</v>
      </c>
      <c r="G183" s="127">
        <f>SUM(G180:G182)</f>
        <v>692848.58855393296</v>
      </c>
      <c r="H183" s="127">
        <f t="shared" ref="H183:R183" si="38">SUM(H180:H182)</f>
        <v>469883.16110049793</v>
      </c>
      <c r="I183" s="127">
        <f t="shared" si="38"/>
        <v>379218.05577696703</v>
      </c>
      <c r="J183" s="127">
        <f t="shared" si="38"/>
        <v>205121.76310784652</v>
      </c>
      <c r="K183" s="127">
        <f t="shared" si="38"/>
        <v>215795.81096863101</v>
      </c>
      <c r="L183" s="127">
        <f t="shared" si="38"/>
        <v>163968.8075000027</v>
      </c>
      <c r="M183" s="127">
        <f t="shared" si="38"/>
        <v>130612.40793505116</v>
      </c>
      <c r="N183" s="127">
        <f t="shared" si="38"/>
        <v>151912.27753676721</v>
      </c>
      <c r="O183" s="127">
        <f t="shared" si="38"/>
        <v>123458.86682353144</v>
      </c>
      <c r="P183" s="127">
        <f t="shared" si="38"/>
        <v>114938.91898284502</v>
      </c>
      <c r="Q183" s="127">
        <f t="shared" si="38"/>
        <v>60282.649816177458</v>
      </c>
      <c r="R183" s="127">
        <f t="shared" si="38"/>
        <v>10448.992634804094</v>
      </c>
    </row>
    <row r="184" spans="1:18" s="33" customFormat="1" outlineLevel="1" x14ac:dyDescent="0.15">
      <c r="A184" s="78"/>
      <c r="B184" s="78"/>
      <c r="C184" s="78"/>
      <c r="D184" s="79"/>
      <c r="E184" s="79"/>
      <c r="F184" s="152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</row>
    <row r="185" spans="1:18" s="33" customFormat="1" outlineLevel="1" x14ac:dyDescent="0.15">
      <c r="A185" s="78"/>
      <c r="B185" s="78"/>
      <c r="C185" s="78"/>
      <c r="D185" s="79"/>
      <c r="E185" s="79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</row>
    <row r="186" spans="1:18" s="33" customFormat="1" outlineLevel="1" x14ac:dyDescent="0.15">
      <c r="A186" s="73" t="s">
        <v>166</v>
      </c>
      <c r="B186" s="74"/>
      <c r="C186" s="74"/>
      <c r="D186" s="75"/>
      <c r="E186" s="75"/>
      <c r="F186" s="74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</row>
    <row r="187" spans="1:18" s="33" customFormat="1" outlineLevel="1" x14ac:dyDescent="0.15">
      <c r="A187" s="78"/>
      <c r="B187" s="78"/>
      <c r="C187" s="78"/>
      <c r="D187" s="79"/>
      <c r="E187" s="150"/>
      <c r="F187" s="152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</row>
    <row r="188" spans="1:18" s="33" customFormat="1" outlineLevel="1" x14ac:dyDescent="0.15">
      <c r="A188" s="78" t="s">
        <v>167</v>
      </c>
      <c r="B188" s="78"/>
      <c r="C188" s="78"/>
      <c r="D188" s="79"/>
      <c r="E188" s="150"/>
      <c r="F188" s="152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</row>
    <row r="189" spans="1:18" s="33" customFormat="1" outlineLevel="1" x14ac:dyDescent="0.15">
      <c r="A189" s="78"/>
      <c r="B189" s="114" t="s">
        <v>239</v>
      </c>
      <c r="C189" s="78"/>
      <c r="D189" s="79" t="s">
        <v>156</v>
      </c>
      <c r="E189" s="150">
        <f t="shared" ref="E189:E191" si="39">IFERROR(AVERAGE(G189:R189),"na")</f>
        <v>2200000</v>
      </c>
      <c r="F189" s="152">
        <f t="shared" ref="F189:F191" si="40">SUM(G189:R189)</f>
        <v>4400000</v>
      </c>
      <c r="G189" s="78">
        <f>-G159</f>
        <v>3500000</v>
      </c>
      <c r="H189" s="78">
        <f>-H159</f>
        <v>900000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</row>
    <row r="190" spans="1:18" s="33" customFormat="1" outlineLevel="1" x14ac:dyDescent="0.15">
      <c r="A190" s="78"/>
      <c r="B190" s="114" t="s">
        <v>242</v>
      </c>
      <c r="C190" s="78"/>
      <c r="D190" s="79" t="s">
        <v>156</v>
      </c>
      <c r="E190" s="150">
        <f t="shared" si="39"/>
        <v>5080000</v>
      </c>
      <c r="F190" s="152">
        <f t="shared" si="40"/>
        <v>25400000</v>
      </c>
      <c r="G190" s="78">
        <f>-G163</f>
        <v>6500000</v>
      </c>
      <c r="H190" s="78">
        <f t="shared" ref="H190:K190" si="41">-H163</f>
        <v>6500000</v>
      </c>
      <c r="I190" s="78">
        <f t="shared" si="41"/>
        <v>6500000</v>
      </c>
      <c r="J190" s="78">
        <f t="shared" si="41"/>
        <v>5500000</v>
      </c>
      <c r="K190" s="78">
        <f t="shared" si="41"/>
        <v>400000</v>
      </c>
      <c r="L190" s="78"/>
      <c r="M190" s="78"/>
      <c r="N190" s="78"/>
      <c r="O190" s="78"/>
      <c r="P190" s="78"/>
      <c r="Q190" s="78"/>
      <c r="R190" s="78"/>
    </row>
    <row r="191" spans="1:18" s="33" customFormat="1" outlineLevel="1" x14ac:dyDescent="0.15">
      <c r="A191" s="78"/>
      <c r="B191" s="114" t="s">
        <v>243</v>
      </c>
      <c r="C191" s="78"/>
      <c r="D191" s="79" t="s">
        <v>156</v>
      </c>
      <c r="E191" s="150">
        <f t="shared" si="39"/>
        <v>2933333.3333333335</v>
      </c>
      <c r="F191" s="152">
        <f t="shared" si="40"/>
        <v>35200000</v>
      </c>
      <c r="G191" s="78">
        <f>-G167</f>
        <v>3800000</v>
      </c>
      <c r="H191" s="78">
        <f t="shared" ref="H191:R191" si="42">-H167</f>
        <v>3550000</v>
      </c>
      <c r="I191" s="78">
        <f t="shared" si="42"/>
        <v>3400000</v>
      </c>
      <c r="J191" s="78">
        <f t="shared" si="42"/>
        <v>325000</v>
      </c>
      <c r="K191" s="78">
        <f t="shared" si="42"/>
        <v>3150000</v>
      </c>
      <c r="L191" s="78">
        <f t="shared" si="42"/>
        <v>3400000</v>
      </c>
      <c r="M191" s="78">
        <f t="shared" si="42"/>
        <v>3250000</v>
      </c>
      <c r="N191" s="78">
        <f t="shared" si="42"/>
        <v>3150000</v>
      </c>
      <c r="O191" s="78">
        <f t="shared" si="42"/>
        <v>3200000</v>
      </c>
      <c r="P191" s="78">
        <f t="shared" si="42"/>
        <v>3575000</v>
      </c>
      <c r="Q191" s="78">
        <f t="shared" si="42"/>
        <v>3750000</v>
      </c>
      <c r="R191" s="78">
        <f t="shared" si="42"/>
        <v>650000</v>
      </c>
    </row>
    <row r="192" spans="1:18" s="33" customFormat="1" outlineLevel="1" x14ac:dyDescent="0.15">
      <c r="A192" s="78"/>
      <c r="B192" s="78"/>
      <c r="C192" s="78"/>
      <c r="D192" s="79"/>
      <c r="E192" s="150"/>
      <c r="F192" s="152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</row>
    <row r="193" spans="1:18" s="33" customFormat="1" outlineLevel="1" x14ac:dyDescent="0.15">
      <c r="A193" s="78" t="s">
        <v>92</v>
      </c>
      <c r="B193" s="78"/>
      <c r="C193" s="78"/>
      <c r="D193" s="79"/>
      <c r="E193" s="79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</row>
    <row r="194" spans="1:18" s="33" customFormat="1" outlineLevel="1" x14ac:dyDescent="0.15">
      <c r="A194" s="78"/>
      <c r="B194" s="114" t="s">
        <v>239</v>
      </c>
      <c r="C194" s="78"/>
      <c r="D194" s="79" t="s">
        <v>93</v>
      </c>
      <c r="E194" s="159">
        <f t="shared" ref="E194:E195" si="43">IFERROR(AVERAGE(G194:R194),"na")</f>
        <v>0.89949999999999997</v>
      </c>
      <c r="F194" s="160"/>
      <c r="G194" s="36">
        <f>G29</f>
        <v>0.89200000000000002</v>
      </c>
      <c r="H194" s="36">
        <f>H29</f>
        <v>0.90700000000000003</v>
      </c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 s="33" customFormat="1" outlineLevel="1" x14ac:dyDescent="0.15">
      <c r="A195" s="78"/>
      <c r="B195" s="114" t="s">
        <v>242</v>
      </c>
      <c r="C195" s="78"/>
      <c r="D195" s="79" t="s">
        <v>93</v>
      </c>
      <c r="E195" s="159">
        <f t="shared" si="43"/>
        <v>0.9</v>
      </c>
      <c r="F195" s="160"/>
      <c r="G195" s="36">
        <f>G34</f>
        <v>0.9</v>
      </c>
      <c r="H195" s="36">
        <f t="shared" ref="H195:K195" si="44">H34</f>
        <v>0.9</v>
      </c>
      <c r="I195" s="36">
        <f t="shared" si="44"/>
        <v>0.9</v>
      </c>
      <c r="J195" s="36">
        <f t="shared" si="44"/>
        <v>0.9</v>
      </c>
      <c r="K195" s="36">
        <f t="shared" si="44"/>
        <v>0.9</v>
      </c>
      <c r="L195" s="30"/>
      <c r="M195" s="30"/>
      <c r="N195" s="30"/>
      <c r="O195" s="30"/>
      <c r="P195" s="30"/>
      <c r="Q195" s="30"/>
      <c r="R195" s="30"/>
    </row>
    <row r="196" spans="1:18" s="33" customFormat="1" outlineLevel="1" x14ac:dyDescent="0.15">
      <c r="A196" s="78"/>
      <c r="B196" s="114" t="s">
        <v>243</v>
      </c>
      <c r="C196" s="78"/>
      <c r="D196" s="79" t="s">
        <v>93</v>
      </c>
      <c r="E196" s="159">
        <f>IFERROR(AVERAGE(G196:R196),"na")</f>
        <v>0.92</v>
      </c>
      <c r="F196" s="160"/>
      <c r="G196" s="36">
        <f>G39</f>
        <v>0.92</v>
      </c>
      <c r="H196" s="36">
        <f t="shared" ref="H196:R196" si="45">H39</f>
        <v>0.92</v>
      </c>
      <c r="I196" s="36">
        <f t="shared" si="45"/>
        <v>0.92</v>
      </c>
      <c r="J196" s="36">
        <f t="shared" si="45"/>
        <v>0.92</v>
      </c>
      <c r="K196" s="36">
        <f t="shared" si="45"/>
        <v>0.92</v>
      </c>
      <c r="L196" s="36">
        <f t="shared" si="45"/>
        <v>0.92</v>
      </c>
      <c r="M196" s="36">
        <f t="shared" si="45"/>
        <v>0.92</v>
      </c>
      <c r="N196" s="36">
        <f t="shared" si="45"/>
        <v>0.92</v>
      </c>
      <c r="O196" s="36">
        <f t="shared" si="45"/>
        <v>0.92</v>
      </c>
      <c r="P196" s="36">
        <f t="shared" si="45"/>
        <v>0.92</v>
      </c>
      <c r="Q196" s="36">
        <f t="shared" si="45"/>
        <v>0.92</v>
      </c>
      <c r="R196" s="36">
        <f t="shared" si="45"/>
        <v>0.92</v>
      </c>
    </row>
    <row r="197" spans="1:18" s="33" customFormat="1" outlineLevel="1" x14ac:dyDescent="0.15">
      <c r="A197" s="78"/>
      <c r="B197" s="78"/>
      <c r="C197" s="78"/>
      <c r="D197" s="79"/>
      <c r="E197" s="150"/>
      <c r="F197" s="78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</row>
    <row r="198" spans="1:18" s="33" customFormat="1" outlineLevel="1" x14ac:dyDescent="0.15">
      <c r="A198" s="78" t="s">
        <v>168</v>
      </c>
      <c r="B198" s="78"/>
      <c r="C198" s="78"/>
      <c r="D198" s="78"/>
      <c r="E198" s="79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</row>
    <row r="199" spans="1:18" s="37" customFormat="1" outlineLevel="1" x14ac:dyDescent="0.15">
      <c r="B199" s="78" t="s">
        <v>81</v>
      </c>
      <c r="C199" s="78"/>
      <c r="D199" s="79" t="s">
        <v>165</v>
      </c>
      <c r="E199" s="150">
        <f t="shared" ref="E199" si="46">IFERROR(AVERAGE(G199:R199),"na")</f>
        <v>206489.10756712148</v>
      </c>
      <c r="F199" s="152">
        <f>SUM(G199:R199)</f>
        <v>2477869.2908054576</v>
      </c>
      <c r="G199" s="78">
        <f>SUMPRODUCT(G180:G182,G194:G196)</f>
        <v>627435.96561526519</v>
      </c>
      <c r="H199" s="78">
        <f t="shared" ref="H199:R199" si="47">SUMPRODUCT(H180:H182,H194:H196)</f>
        <v>427348.04489766876</v>
      </c>
      <c r="I199" s="78">
        <f t="shared" si="47"/>
        <v>344575.62634927034</v>
      </c>
      <c r="J199" s="78">
        <f t="shared" si="47"/>
        <v>185069.34247299324</v>
      </c>
      <c r="K199" s="78">
        <f t="shared" si="47"/>
        <v>198267.22393941504</v>
      </c>
      <c r="L199" s="78">
        <f t="shared" si="47"/>
        <v>150851.30290000248</v>
      </c>
      <c r="M199" s="78">
        <f t="shared" si="47"/>
        <v>120163.41530024707</v>
      </c>
      <c r="N199" s="78">
        <f t="shared" si="47"/>
        <v>139759.29533382584</v>
      </c>
      <c r="O199" s="78">
        <f t="shared" si="47"/>
        <v>113582.15747764893</v>
      </c>
      <c r="P199" s="78">
        <f t="shared" si="47"/>
        <v>105743.80546421742</v>
      </c>
      <c r="Q199" s="78">
        <f t="shared" si="47"/>
        <v>55460.037830883266</v>
      </c>
      <c r="R199" s="78">
        <f t="shared" si="47"/>
        <v>9613.0732240197667</v>
      </c>
    </row>
    <row r="200" spans="1:18" s="37" customFormat="1" outlineLevel="1" x14ac:dyDescent="0.15">
      <c r="E200" s="38"/>
    </row>
    <row r="201" spans="1:18" s="37" customFormat="1" outlineLevel="1" x14ac:dyDescent="0.15">
      <c r="A201" s="78" t="s">
        <v>114</v>
      </c>
      <c r="E201" s="38"/>
    </row>
    <row r="202" spans="1:18" s="33" customFormat="1" outlineLevel="1" x14ac:dyDescent="0.15">
      <c r="A202" s="78"/>
      <c r="B202" s="78" t="s">
        <v>81</v>
      </c>
      <c r="C202" s="78"/>
      <c r="D202" s="79" t="s">
        <v>165</v>
      </c>
      <c r="E202" s="161">
        <f t="shared" ref="E202" si="48">IFERROR(AVERAGE(G202:R202),"na")</f>
        <v>0.9900000000000001</v>
      </c>
      <c r="F202" s="162" t="s">
        <v>157</v>
      </c>
      <c r="G202" s="85">
        <f>$E$81</f>
        <v>0.99</v>
      </c>
      <c r="H202" s="85">
        <f t="shared" ref="H202:R202" si="49">$E$81</f>
        <v>0.99</v>
      </c>
      <c r="I202" s="85">
        <f t="shared" si="49"/>
        <v>0.99</v>
      </c>
      <c r="J202" s="85">
        <f t="shared" si="49"/>
        <v>0.99</v>
      </c>
      <c r="K202" s="85">
        <f t="shared" si="49"/>
        <v>0.99</v>
      </c>
      <c r="L202" s="85">
        <f t="shared" si="49"/>
        <v>0.99</v>
      </c>
      <c r="M202" s="85">
        <f t="shared" si="49"/>
        <v>0.99</v>
      </c>
      <c r="N202" s="85">
        <f t="shared" si="49"/>
        <v>0.99</v>
      </c>
      <c r="O202" s="85">
        <f t="shared" si="49"/>
        <v>0.99</v>
      </c>
      <c r="P202" s="85">
        <f t="shared" si="49"/>
        <v>0.99</v>
      </c>
      <c r="Q202" s="85">
        <f t="shared" si="49"/>
        <v>0.99</v>
      </c>
      <c r="R202" s="85">
        <f t="shared" si="49"/>
        <v>0.99</v>
      </c>
    </row>
    <row r="203" spans="1:18" s="33" customFormat="1" outlineLevel="1" x14ac:dyDescent="0.15">
      <c r="A203" s="78"/>
      <c r="B203" s="78"/>
      <c r="C203" s="78"/>
      <c r="D203" s="79"/>
      <c r="E203" s="79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</row>
    <row r="204" spans="1:18" s="33" customFormat="1" outlineLevel="1" x14ac:dyDescent="0.15">
      <c r="A204" s="78" t="s">
        <v>169</v>
      </c>
      <c r="B204" s="78"/>
      <c r="C204" s="78"/>
      <c r="D204" s="79"/>
      <c r="E204" s="79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</row>
    <row r="205" spans="1:18" s="33" customFormat="1" outlineLevel="1" x14ac:dyDescent="0.15">
      <c r="A205" s="78"/>
      <c r="B205" s="78" t="s">
        <v>81</v>
      </c>
      <c r="C205" s="78"/>
      <c r="D205" s="79" t="s">
        <v>165</v>
      </c>
      <c r="E205" s="150">
        <f t="shared" ref="E205" si="50">IFERROR(AVERAGE(G205:R205),"na")</f>
        <v>204424.21649145024</v>
      </c>
      <c r="F205" s="152">
        <f>SUM(G205:R205)</f>
        <v>2453090.5978974029</v>
      </c>
      <c r="G205" s="78">
        <f t="shared" ref="G205:R205" si="51">G199*G202</f>
        <v>621161.60595911252</v>
      </c>
      <c r="H205" s="78">
        <f t="shared" si="51"/>
        <v>423074.56444869208</v>
      </c>
      <c r="I205" s="78">
        <f t="shared" si="51"/>
        <v>341129.87008577766</v>
      </c>
      <c r="J205" s="78">
        <f t="shared" si="51"/>
        <v>183218.64904826332</v>
      </c>
      <c r="K205" s="78">
        <f t="shared" si="51"/>
        <v>196284.55170002088</v>
      </c>
      <c r="L205" s="78">
        <f t="shared" si="51"/>
        <v>149342.78987100246</v>
      </c>
      <c r="M205" s="78">
        <f t="shared" si="51"/>
        <v>118961.7811472446</v>
      </c>
      <c r="N205" s="78">
        <f t="shared" si="51"/>
        <v>138361.70238048758</v>
      </c>
      <c r="O205" s="78">
        <f t="shared" si="51"/>
        <v>112446.33590287244</v>
      </c>
      <c r="P205" s="78">
        <f t="shared" si="51"/>
        <v>104686.36740957525</v>
      </c>
      <c r="Q205" s="78">
        <f t="shared" si="51"/>
        <v>54905.437452574435</v>
      </c>
      <c r="R205" s="78">
        <f t="shared" si="51"/>
        <v>9516.9424917795695</v>
      </c>
    </row>
    <row r="206" spans="1:18" s="33" customFormat="1" outlineLevel="1" x14ac:dyDescent="0.15">
      <c r="A206" s="78"/>
      <c r="B206" s="78"/>
      <c r="C206" s="78"/>
      <c r="D206" s="79"/>
      <c r="E206" s="79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</row>
    <row r="207" spans="1:18" s="33" customFormat="1" x14ac:dyDescent="0.15">
      <c r="A207" s="78"/>
      <c r="B207" s="78"/>
      <c r="C207" s="78"/>
      <c r="D207" s="79"/>
      <c r="E207" s="79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</row>
    <row r="208" spans="1:18" s="50" customFormat="1" ht="18.75" customHeight="1" x14ac:dyDescent="0.2">
      <c r="A208" s="107" t="s">
        <v>4</v>
      </c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</row>
    <row r="209" spans="1:18" s="39" customFormat="1" ht="16.5" customHeight="1" outlineLevel="1" x14ac:dyDescent="0.15">
      <c r="D209" s="40"/>
      <c r="E209" s="40"/>
      <c r="F209" s="40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</row>
    <row r="210" spans="1:18" s="29" customFormat="1" outlineLevel="1" x14ac:dyDescent="0.15">
      <c r="A210" s="28" t="s">
        <v>78</v>
      </c>
      <c r="B210" s="80"/>
      <c r="C210" s="80"/>
      <c r="D210" s="149"/>
      <c r="E210" s="149"/>
      <c r="F210" s="149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</row>
    <row r="211" spans="1:18" s="29" customFormat="1" outlineLevel="1" x14ac:dyDescent="0.15">
      <c r="A211" s="80"/>
      <c r="B211" s="80" t="s">
        <v>81</v>
      </c>
      <c r="C211" s="80"/>
      <c r="D211" s="149" t="s">
        <v>125</v>
      </c>
      <c r="E211" s="150">
        <f t="shared" ref="E211" si="52">IFERROR(AVERAGE(G211:R211),"na")</f>
        <v>2100</v>
      </c>
      <c r="F211" s="163" t="s">
        <v>157</v>
      </c>
      <c r="G211" s="164">
        <f t="shared" ref="G211:R211" si="53">G22</f>
        <v>2100</v>
      </c>
      <c r="H211" s="164">
        <f t="shared" si="53"/>
        <v>2100</v>
      </c>
      <c r="I211" s="164">
        <f t="shared" si="53"/>
        <v>2100</v>
      </c>
      <c r="J211" s="164">
        <f t="shared" si="53"/>
        <v>2100</v>
      </c>
      <c r="K211" s="164">
        <f t="shared" si="53"/>
        <v>2100</v>
      </c>
      <c r="L211" s="164">
        <f t="shared" si="53"/>
        <v>2100</v>
      </c>
      <c r="M211" s="164">
        <f t="shared" si="53"/>
        <v>2100</v>
      </c>
      <c r="N211" s="164">
        <f t="shared" si="53"/>
        <v>2100</v>
      </c>
      <c r="O211" s="164">
        <f t="shared" si="53"/>
        <v>2100</v>
      </c>
      <c r="P211" s="164">
        <f t="shared" si="53"/>
        <v>2100</v>
      </c>
      <c r="Q211" s="164">
        <f t="shared" si="53"/>
        <v>2100</v>
      </c>
      <c r="R211" s="164">
        <f t="shared" si="53"/>
        <v>2100</v>
      </c>
    </row>
    <row r="212" spans="1:18" s="29" customFormat="1" outlineLevel="1" x14ac:dyDescent="0.15">
      <c r="A212" s="80"/>
      <c r="B212" s="80"/>
      <c r="C212" s="80"/>
      <c r="D212" s="149"/>
      <c r="E212" s="149"/>
      <c r="F212" s="149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</row>
    <row r="213" spans="1:18" s="33" customFormat="1" outlineLevel="1" x14ac:dyDescent="0.15">
      <c r="A213" s="28" t="s">
        <v>169</v>
      </c>
      <c r="B213" s="78"/>
      <c r="C213" s="78"/>
      <c r="D213" s="78"/>
      <c r="E213" s="79"/>
      <c r="F213" s="79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</row>
    <row r="214" spans="1:18" s="37" customFormat="1" outlineLevel="1" x14ac:dyDescent="0.15">
      <c r="B214" s="80" t="s">
        <v>81</v>
      </c>
      <c r="D214" s="79" t="s">
        <v>165</v>
      </c>
      <c r="E214" s="150">
        <f t="shared" ref="E214" si="54">IFERROR(AVERAGE(G214:R214),"na")</f>
        <v>204424.21649145024</v>
      </c>
      <c r="F214" s="150">
        <f>SUM(G214:R214)</f>
        <v>2453090.5978974029</v>
      </c>
      <c r="G214" s="164">
        <f t="shared" ref="G214:R214" si="55">G205</f>
        <v>621161.60595911252</v>
      </c>
      <c r="H214" s="164">
        <f t="shared" si="55"/>
        <v>423074.56444869208</v>
      </c>
      <c r="I214" s="164">
        <f t="shared" si="55"/>
        <v>341129.87008577766</v>
      </c>
      <c r="J214" s="164">
        <f t="shared" si="55"/>
        <v>183218.64904826332</v>
      </c>
      <c r="K214" s="164">
        <f t="shared" si="55"/>
        <v>196284.55170002088</v>
      </c>
      <c r="L214" s="164">
        <f t="shared" si="55"/>
        <v>149342.78987100246</v>
      </c>
      <c r="M214" s="164">
        <f t="shared" si="55"/>
        <v>118961.7811472446</v>
      </c>
      <c r="N214" s="164">
        <f t="shared" si="55"/>
        <v>138361.70238048758</v>
      </c>
      <c r="O214" s="164">
        <f t="shared" si="55"/>
        <v>112446.33590287244</v>
      </c>
      <c r="P214" s="164">
        <f t="shared" si="55"/>
        <v>104686.36740957525</v>
      </c>
      <c r="Q214" s="164">
        <f t="shared" si="55"/>
        <v>54905.437452574435</v>
      </c>
      <c r="R214" s="164">
        <f t="shared" si="55"/>
        <v>9516.9424917795695</v>
      </c>
    </row>
    <row r="215" spans="1:18" s="29" customFormat="1" outlineLevel="1" x14ac:dyDescent="0.15">
      <c r="A215" s="80"/>
      <c r="B215" s="80"/>
      <c r="C215" s="80"/>
      <c r="D215" s="149"/>
      <c r="E215" s="150"/>
      <c r="F215" s="163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</row>
    <row r="216" spans="1:18" s="29" customFormat="1" outlineLevel="1" x14ac:dyDescent="0.15">
      <c r="A216" s="28" t="s">
        <v>170</v>
      </c>
      <c r="B216" s="80"/>
      <c r="C216" s="80"/>
      <c r="D216" s="149"/>
      <c r="E216" s="150"/>
      <c r="F216" s="163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</row>
    <row r="217" spans="1:18" s="29" customFormat="1" outlineLevel="1" x14ac:dyDescent="0.15">
      <c r="A217" s="80"/>
      <c r="B217" s="80" t="s">
        <v>167</v>
      </c>
      <c r="C217" s="80"/>
      <c r="D217" s="149" t="s">
        <v>156</v>
      </c>
      <c r="E217" s="150">
        <f t="shared" ref="E217" si="56">IFERROR(AVERAGE(G217:R217),"na")</f>
        <v>5416666.666666667</v>
      </c>
      <c r="F217" s="150">
        <f>SUM(G217:R217)</f>
        <v>65000000</v>
      </c>
      <c r="G217" s="164">
        <f>SUM(G189:G191)</f>
        <v>13800000</v>
      </c>
      <c r="H217" s="164">
        <f t="shared" ref="H217:R217" si="57">SUM(H189:H191)</f>
        <v>10950000</v>
      </c>
      <c r="I217" s="164">
        <f t="shared" si="57"/>
        <v>9900000</v>
      </c>
      <c r="J217" s="164">
        <f t="shared" si="57"/>
        <v>5825000</v>
      </c>
      <c r="K217" s="164">
        <f t="shared" si="57"/>
        <v>3550000</v>
      </c>
      <c r="L217" s="164">
        <f t="shared" si="57"/>
        <v>3400000</v>
      </c>
      <c r="M217" s="164">
        <f t="shared" si="57"/>
        <v>3250000</v>
      </c>
      <c r="N217" s="164">
        <f t="shared" si="57"/>
        <v>3150000</v>
      </c>
      <c r="O217" s="164">
        <f t="shared" si="57"/>
        <v>3200000</v>
      </c>
      <c r="P217" s="164">
        <f t="shared" si="57"/>
        <v>3575000</v>
      </c>
      <c r="Q217" s="164">
        <f t="shared" si="57"/>
        <v>3750000</v>
      </c>
      <c r="R217" s="164">
        <f t="shared" si="57"/>
        <v>650000</v>
      </c>
    </row>
    <row r="218" spans="1:18" s="37" customFormat="1" outlineLevel="1" x14ac:dyDescent="0.15">
      <c r="E218" s="38"/>
      <c r="F218" s="150"/>
    </row>
    <row r="219" spans="1:18" s="37" customFormat="1" outlineLevel="1" x14ac:dyDescent="0.15">
      <c r="E219" s="38"/>
      <c r="F219" s="38"/>
    </row>
    <row r="220" spans="1:18" s="33" customFormat="1" outlineLevel="1" x14ac:dyDescent="0.15">
      <c r="A220" s="70" t="s">
        <v>171</v>
      </c>
      <c r="B220" s="71"/>
      <c r="C220" s="71"/>
      <c r="D220" s="72"/>
      <c r="E220" s="72"/>
      <c r="F220" s="72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</row>
    <row r="221" spans="1:18" s="33" customFormat="1" outlineLevel="1" x14ac:dyDescent="0.15">
      <c r="A221" s="37"/>
      <c r="B221" s="78"/>
      <c r="C221" s="78"/>
      <c r="D221" s="79"/>
      <c r="E221" s="79"/>
      <c r="F221" s="79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</row>
    <row r="222" spans="1:18" s="33" customFormat="1" outlineLevel="1" x14ac:dyDescent="0.15">
      <c r="A222" s="78" t="s">
        <v>172</v>
      </c>
      <c r="B222" s="78"/>
      <c r="C222" s="78"/>
      <c r="D222" s="79"/>
      <c r="E222" s="79"/>
      <c r="F222" s="79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</row>
    <row r="223" spans="1:18" s="33" customFormat="1" outlineLevel="1" x14ac:dyDescent="0.15">
      <c r="A223" s="78"/>
      <c r="B223" s="78" t="s">
        <v>81</v>
      </c>
      <c r="C223" s="78"/>
      <c r="D223" s="79" t="s">
        <v>173</v>
      </c>
      <c r="E223" s="150">
        <f t="shared" ref="E223:E224" si="58">IFERROR(AVERAGE(G223:R223),"na")</f>
        <v>429290854.63204551</v>
      </c>
      <c r="F223" s="150">
        <f>SUM(G223:R223)</f>
        <v>5151490255.5845461</v>
      </c>
      <c r="G223" s="78">
        <f t="shared" ref="G223:R223" si="59">G214*G211</f>
        <v>1304439372.5141363</v>
      </c>
      <c r="H223" s="78">
        <f t="shared" si="59"/>
        <v>888456585.34225333</v>
      </c>
      <c r="I223" s="78">
        <f t="shared" si="59"/>
        <v>716372727.1801331</v>
      </c>
      <c r="J223" s="78">
        <f t="shared" si="59"/>
        <v>384759163.00135297</v>
      </c>
      <c r="K223" s="78">
        <f t="shared" si="59"/>
        <v>412197558.57004386</v>
      </c>
      <c r="L223" s="78">
        <f t="shared" si="59"/>
        <v>313619858.72910517</v>
      </c>
      <c r="M223" s="78">
        <f t="shared" si="59"/>
        <v>249819740.40921366</v>
      </c>
      <c r="N223" s="78">
        <f t="shared" si="59"/>
        <v>290559574.99902391</v>
      </c>
      <c r="O223" s="78">
        <f t="shared" si="59"/>
        <v>236137305.39603212</v>
      </c>
      <c r="P223" s="78">
        <f t="shared" si="59"/>
        <v>219841371.56010804</v>
      </c>
      <c r="Q223" s="78">
        <f t="shared" si="59"/>
        <v>115301418.65040632</v>
      </c>
      <c r="R223" s="78">
        <f t="shared" si="59"/>
        <v>19985579.232737094</v>
      </c>
    </row>
    <row r="224" spans="1:18" s="33" customFormat="1" outlineLevel="1" x14ac:dyDescent="0.15">
      <c r="A224" s="42" t="s">
        <v>174</v>
      </c>
      <c r="B224" s="165"/>
      <c r="C224" s="165"/>
      <c r="D224" s="166"/>
      <c r="E224" s="65">
        <f t="shared" si="58"/>
        <v>429290854.63204551</v>
      </c>
      <c r="F224" s="65">
        <f>SUM(G224:R224)</f>
        <v>5151490255.5845461</v>
      </c>
      <c r="G224" s="42">
        <f t="shared" ref="G224:R224" si="60">SUM(G223:G223)</f>
        <v>1304439372.5141363</v>
      </c>
      <c r="H224" s="42">
        <f t="shared" si="60"/>
        <v>888456585.34225333</v>
      </c>
      <c r="I224" s="42">
        <f t="shared" si="60"/>
        <v>716372727.1801331</v>
      </c>
      <c r="J224" s="42">
        <f t="shared" si="60"/>
        <v>384759163.00135297</v>
      </c>
      <c r="K224" s="42">
        <f t="shared" si="60"/>
        <v>412197558.57004386</v>
      </c>
      <c r="L224" s="42">
        <f t="shared" si="60"/>
        <v>313619858.72910517</v>
      </c>
      <c r="M224" s="42">
        <f t="shared" si="60"/>
        <v>249819740.40921366</v>
      </c>
      <c r="N224" s="42">
        <f t="shared" si="60"/>
        <v>290559574.99902391</v>
      </c>
      <c r="O224" s="42">
        <f t="shared" si="60"/>
        <v>236137305.39603212</v>
      </c>
      <c r="P224" s="42">
        <f t="shared" si="60"/>
        <v>219841371.56010804</v>
      </c>
      <c r="Q224" s="42">
        <f t="shared" si="60"/>
        <v>115301418.65040632</v>
      </c>
      <c r="R224" s="42">
        <f t="shared" si="60"/>
        <v>19985579.232737094</v>
      </c>
    </row>
    <row r="225" spans="1:18" s="33" customFormat="1" outlineLevel="1" x14ac:dyDescent="0.15">
      <c r="A225" s="78"/>
      <c r="B225" s="78"/>
      <c r="C225" s="78"/>
      <c r="D225" s="79"/>
      <c r="E225" s="79"/>
      <c r="F225" s="79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</row>
    <row r="226" spans="1:18" s="33" customFormat="1" outlineLevel="1" x14ac:dyDescent="0.15">
      <c r="A226" s="78" t="s">
        <v>109</v>
      </c>
      <c r="B226" s="78"/>
      <c r="C226" s="78"/>
      <c r="D226" s="79"/>
      <c r="E226" s="79"/>
      <c r="F226" s="79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</row>
    <row r="227" spans="1:18" s="33" customFormat="1" outlineLevel="1" x14ac:dyDescent="0.15">
      <c r="A227" s="78"/>
      <c r="B227" s="78" t="s">
        <v>175</v>
      </c>
      <c r="C227" s="78"/>
      <c r="D227" s="79" t="s">
        <v>125</v>
      </c>
      <c r="E227" s="205">
        <f>F78</f>
        <v>1053</v>
      </c>
      <c r="F227" s="150">
        <f>SUM(G227:R227)</f>
        <v>2329.6207007572675</v>
      </c>
      <c r="G227" s="78">
        <f t="shared" ref="G227:R227" si="61">G214/$E$227</f>
        <v>589.89706168956559</v>
      </c>
      <c r="H227" s="78">
        <f t="shared" si="61"/>
        <v>401.78021315165438</v>
      </c>
      <c r="I227" s="78">
        <f t="shared" si="61"/>
        <v>323.95999058478412</v>
      </c>
      <c r="J227" s="78">
        <f t="shared" si="61"/>
        <v>173.99681770965179</v>
      </c>
      <c r="K227" s="78">
        <f t="shared" si="61"/>
        <v>186.40508233620216</v>
      </c>
      <c r="L227" s="78">
        <f t="shared" si="61"/>
        <v>141.82601127350662</v>
      </c>
      <c r="M227" s="78">
        <f t="shared" si="61"/>
        <v>112.97415113698443</v>
      </c>
      <c r="N227" s="78">
        <f t="shared" si="61"/>
        <v>131.39762809163113</v>
      </c>
      <c r="O227" s="78">
        <f t="shared" si="61"/>
        <v>106.78664378240498</v>
      </c>
      <c r="P227" s="78">
        <f t="shared" si="61"/>
        <v>99.417253000546296</v>
      </c>
      <c r="Q227" s="78">
        <f t="shared" si="61"/>
        <v>52.141915909377431</v>
      </c>
      <c r="R227" s="78">
        <f t="shared" si="61"/>
        <v>9.0379320909587548</v>
      </c>
    </row>
    <row r="228" spans="1:18" s="33" customFormat="1" outlineLevel="1" x14ac:dyDescent="0.15">
      <c r="A228" s="165" t="s">
        <v>176</v>
      </c>
      <c r="B228" s="165"/>
      <c r="C228" s="165"/>
      <c r="D228" s="166" t="s">
        <v>173</v>
      </c>
      <c r="E228" s="155">
        <f t="shared" ref="E228" si="62">IFERROR(AVERAGE(G228:R228),"na")</f>
        <v>194.13505839643895</v>
      </c>
      <c r="F228" s="155">
        <f>SUM(G228:R228)</f>
        <v>2329.6207007572675</v>
      </c>
      <c r="G228" s="165">
        <f>SUM(G227)</f>
        <v>589.89706168956559</v>
      </c>
      <c r="H228" s="165">
        <f t="shared" ref="H228:R228" si="63">SUM(H227)</f>
        <v>401.78021315165438</v>
      </c>
      <c r="I228" s="165">
        <f t="shared" si="63"/>
        <v>323.95999058478412</v>
      </c>
      <c r="J228" s="165">
        <f t="shared" si="63"/>
        <v>173.99681770965179</v>
      </c>
      <c r="K228" s="165">
        <f t="shared" si="63"/>
        <v>186.40508233620216</v>
      </c>
      <c r="L228" s="165">
        <f t="shared" si="63"/>
        <v>141.82601127350662</v>
      </c>
      <c r="M228" s="165">
        <f t="shared" si="63"/>
        <v>112.97415113698443</v>
      </c>
      <c r="N228" s="165">
        <f t="shared" si="63"/>
        <v>131.39762809163113</v>
      </c>
      <c r="O228" s="165">
        <f t="shared" si="63"/>
        <v>106.78664378240498</v>
      </c>
      <c r="P228" s="165">
        <f t="shared" si="63"/>
        <v>99.417253000546296</v>
      </c>
      <c r="Q228" s="165">
        <f t="shared" si="63"/>
        <v>52.141915909377431</v>
      </c>
      <c r="R228" s="165">
        <f t="shared" si="63"/>
        <v>9.0379320909587548</v>
      </c>
    </row>
    <row r="229" spans="1:18" s="33" customFormat="1" outlineLevel="1" x14ac:dyDescent="0.15">
      <c r="A229" s="78"/>
      <c r="B229" s="78"/>
      <c r="C229" s="78"/>
      <c r="D229" s="79"/>
      <c r="E229" s="79"/>
      <c r="F229" s="150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</row>
    <row r="230" spans="1:18" s="33" customFormat="1" outlineLevel="1" x14ac:dyDescent="0.15">
      <c r="A230" s="78" t="s">
        <v>177</v>
      </c>
      <c r="B230" s="78"/>
      <c r="C230" s="78"/>
      <c r="D230" s="79"/>
      <c r="E230" s="79"/>
      <c r="F230" s="79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</row>
    <row r="231" spans="1:18" s="33" customFormat="1" outlineLevel="1" x14ac:dyDescent="0.15">
      <c r="A231" s="78"/>
      <c r="B231" s="80" t="s">
        <v>118</v>
      </c>
      <c r="C231" s="78"/>
      <c r="D231" s="79" t="s">
        <v>113</v>
      </c>
      <c r="E231" s="167" t="str">
        <f t="shared" ref="E231:E247" si="64">IFERROR(AVERAGE(G231:R231),"na")</f>
        <v>na</v>
      </c>
      <c r="F231" s="163" t="s">
        <v>157</v>
      </c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  <c r="R231" s="168"/>
    </row>
    <row r="232" spans="1:18" s="33" customFormat="1" outlineLevel="1" x14ac:dyDescent="0.15">
      <c r="A232" s="78"/>
      <c r="B232" s="114" t="s">
        <v>239</v>
      </c>
      <c r="C232" s="78"/>
      <c r="D232" s="79"/>
      <c r="E232" s="167">
        <f t="shared" si="64"/>
        <v>8.5573269599999993</v>
      </c>
      <c r="F232" s="163"/>
      <c r="G232" s="168">
        <f>G85</f>
        <v>7.1861999999999995</v>
      </c>
      <c r="H232" s="168">
        <f>H85</f>
        <v>8.4797159999999998</v>
      </c>
      <c r="I232" s="168">
        <f>I85</f>
        <v>10.006064879999998</v>
      </c>
      <c r="J232" s="168"/>
      <c r="K232" s="168"/>
      <c r="L232" s="168"/>
      <c r="M232" s="168"/>
      <c r="N232" s="168"/>
      <c r="O232" s="168"/>
      <c r="P232" s="168"/>
      <c r="Q232" s="168"/>
      <c r="R232" s="168"/>
    </row>
    <row r="233" spans="1:18" s="33" customFormat="1" outlineLevel="1" x14ac:dyDescent="0.15">
      <c r="A233" s="78"/>
      <c r="B233" s="114" t="s">
        <v>242</v>
      </c>
      <c r="C233" s="78"/>
      <c r="D233" s="79"/>
      <c r="E233" s="167">
        <f t="shared" si="64"/>
        <v>55.989999999999995</v>
      </c>
      <c r="F233" s="163"/>
      <c r="G233" s="168">
        <f>$G$91</f>
        <v>55.99</v>
      </c>
      <c r="H233" s="168">
        <f t="shared" ref="H233:K233" si="65">$G$91</f>
        <v>55.99</v>
      </c>
      <c r="I233" s="168">
        <f t="shared" si="65"/>
        <v>55.99</v>
      </c>
      <c r="J233" s="168">
        <f t="shared" si="65"/>
        <v>55.99</v>
      </c>
      <c r="K233" s="168">
        <f t="shared" si="65"/>
        <v>55.99</v>
      </c>
      <c r="L233" s="168"/>
      <c r="M233" s="168"/>
      <c r="N233" s="168"/>
      <c r="O233" s="168"/>
      <c r="P233" s="168"/>
      <c r="Q233" s="168"/>
      <c r="R233" s="168"/>
    </row>
    <row r="234" spans="1:18" s="33" customFormat="1" outlineLevel="1" x14ac:dyDescent="0.15">
      <c r="A234" s="78"/>
      <c r="B234" s="114" t="s">
        <v>243</v>
      </c>
      <c r="C234" s="78"/>
      <c r="D234" s="79"/>
      <c r="E234" s="167">
        <f t="shared" si="64"/>
        <v>3.31</v>
      </c>
      <c r="F234" s="163"/>
      <c r="G234" s="168">
        <f>$G$97</f>
        <v>3.31</v>
      </c>
      <c r="H234" s="168">
        <f t="shared" ref="H234:R234" si="66">$G$97</f>
        <v>3.31</v>
      </c>
      <c r="I234" s="168">
        <f t="shared" si="66"/>
        <v>3.31</v>
      </c>
      <c r="J234" s="168">
        <f t="shared" si="66"/>
        <v>3.31</v>
      </c>
      <c r="K234" s="168">
        <f t="shared" si="66"/>
        <v>3.31</v>
      </c>
      <c r="L234" s="168">
        <f t="shared" si="66"/>
        <v>3.31</v>
      </c>
      <c r="M234" s="168">
        <f t="shared" si="66"/>
        <v>3.31</v>
      </c>
      <c r="N234" s="168">
        <f t="shared" si="66"/>
        <v>3.31</v>
      </c>
      <c r="O234" s="168">
        <f t="shared" si="66"/>
        <v>3.31</v>
      </c>
      <c r="P234" s="168">
        <f t="shared" si="66"/>
        <v>3.31</v>
      </c>
      <c r="Q234" s="168">
        <f t="shared" si="66"/>
        <v>3.31</v>
      </c>
      <c r="R234" s="168">
        <f t="shared" si="66"/>
        <v>3.31</v>
      </c>
    </row>
    <row r="235" spans="1:18" s="33" customFormat="1" outlineLevel="1" x14ac:dyDescent="0.15">
      <c r="A235" s="78"/>
      <c r="B235" s="80" t="s">
        <v>121</v>
      </c>
      <c r="C235" s="78"/>
      <c r="D235" s="79" t="s">
        <v>113</v>
      </c>
      <c r="E235" s="167" t="str">
        <f t="shared" si="64"/>
        <v>na</v>
      </c>
      <c r="F235" s="163" t="s">
        <v>157</v>
      </c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</row>
    <row r="236" spans="1:18" s="33" customFormat="1" outlineLevel="1" x14ac:dyDescent="0.15">
      <c r="A236" s="78"/>
      <c r="B236" s="114" t="s">
        <v>239</v>
      </c>
      <c r="C236" s="78"/>
      <c r="D236" s="79"/>
      <c r="E236" s="167">
        <f t="shared" si="64"/>
        <v>12.337928893333336</v>
      </c>
      <c r="F236" s="163"/>
      <c r="G236" s="168">
        <f>G86</f>
        <v>11.513200000000001</v>
      </c>
      <c r="H236" s="168">
        <f>H86</f>
        <v>12.319124000000002</v>
      </c>
      <c r="I236" s="168">
        <f>I86</f>
        <v>13.181462680000003</v>
      </c>
      <c r="J236" s="168"/>
      <c r="K236" s="168"/>
      <c r="L236" s="168"/>
      <c r="M236" s="168"/>
      <c r="N236" s="168"/>
      <c r="O236" s="168"/>
      <c r="P236" s="168"/>
      <c r="Q236" s="168"/>
      <c r="R236" s="168"/>
    </row>
    <row r="237" spans="1:18" s="33" customFormat="1" outlineLevel="1" x14ac:dyDescent="0.15">
      <c r="A237" s="78"/>
      <c r="B237" s="114" t="s">
        <v>242</v>
      </c>
      <c r="C237" s="78"/>
      <c r="D237" s="79"/>
      <c r="E237" s="167">
        <f t="shared" si="64"/>
        <v>18.689999999999998</v>
      </c>
      <c r="F237" s="163"/>
      <c r="G237" s="168">
        <f>$G$92</f>
        <v>18.689999999999998</v>
      </c>
      <c r="H237" s="168">
        <f t="shared" ref="H237:K237" si="67">$G$92</f>
        <v>18.689999999999998</v>
      </c>
      <c r="I237" s="168">
        <f t="shared" si="67"/>
        <v>18.689999999999998</v>
      </c>
      <c r="J237" s="168">
        <f t="shared" si="67"/>
        <v>18.689999999999998</v>
      </c>
      <c r="K237" s="168">
        <f t="shared" si="67"/>
        <v>18.689999999999998</v>
      </c>
      <c r="L237" s="168"/>
      <c r="M237" s="168"/>
      <c r="N237" s="168"/>
      <c r="O237" s="168"/>
      <c r="P237" s="168"/>
      <c r="Q237" s="168"/>
      <c r="R237" s="168"/>
    </row>
    <row r="238" spans="1:18" s="33" customFormat="1" outlineLevel="1" x14ac:dyDescent="0.15">
      <c r="A238" s="78"/>
      <c r="B238" s="114" t="s">
        <v>243</v>
      </c>
      <c r="C238" s="78"/>
      <c r="D238" s="79"/>
      <c r="E238" s="167">
        <f t="shared" si="64"/>
        <v>12.08</v>
      </c>
      <c r="F238" s="163"/>
      <c r="G238" s="168">
        <f>$G$98</f>
        <v>12.08</v>
      </c>
      <c r="H238" s="168">
        <f t="shared" ref="H238:R238" si="68">$G$98</f>
        <v>12.08</v>
      </c>
      <c r="I238" s="168">
        <f t="shared" si="68"/>
        <v>12.08</v>
      </c>
      <c r="J238" s="168">
        <f t="shared" si="68"/>
        <v>12.08</v>
      </c>
      <c r="K238" s="168">
        <f t="shared" si="68"/>
        <v>12.08</v>
      </c>
      <c r="L238" s="168">
        <f t="shared" si="68"/>
        <v>12.08</v>
      </c>
      <c r="M238" s="168">
        <f t="shared" si="68"/>
        <v>12.08</v>
      </c>
      <c r="N238" s="168">
        <f t="shared" si="68"/>
        <v>12.08</v>
      </c>
      <c r="O238" s="168">
        <f t="shared" si="68"/>
        <v>12.08</v>
      </c>
      <c r="P238" s="168">
        <f t="shared" si="68"/>
        <v>12.08</v>
      </c>
      <c r="Q238" s="168">
        <f t="shared" si="68"/>
        <v>12.08</v>
      </c>
      <c r="R238" s="168">
        <f t="shared" si="68"/>
        <v>12.08</v>
      </c>
    </row>
    <row r="239" spans="1:18" s="33" customFormat="1" outlineLevel="1" x14ac:dyDescent="0.15">
      <c r="A239" s="78"/>
      <c r="B239" s="80" t="s">
        <v>122</v>
      </c>
      <c r="C239" s="78"/>
      <c r="D239" s="79" t="s">
        <v>113</v>
      </c>
      <c r="E239" s="167" t="str">
        <f t="shared" si="64"/>
        <v>na</v>
      </c>
      <c r="F239" s="163" t="s">
        <v>157</v>
      </c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  <c r="R239" s="168"/>
    </row>
    <row r="240" spans="1:18" s="33" customFormat="1" outlineLevel="1" x14ac:dyDescent="0.15">
      <c r="A240" s="78"/>
      <c r="B240" s="114" t="s">
        <v>239</v>
      </c>
      <c r="C240" s="78"/>
      <c r="D240" s="79"/>
      <c r="E240" s="167">
        <f t="shared" si="64"/>
        <v>0.12</v>
      </c>
      <c r="F240" s="163"/>
      <c r="G240" s="168">
        <f>G87</f>
        <v>0.12</v>
      </c>
      <c r="H240" s="168">
        <f>H87</f>
        <v>0.12</v>
      </c>
      <c r="I240" s="168">
        <f>I87</f>
        <v>0.12</v>
      </c>
      <c r="J240" s="168"/>
      <c r="K240" s="168"/>
      <c r="L240" s="168"/>
      <c r="M240" s="168"/>
      <c r="N240" s="168"/>
      <c r="O240" s="168"/>
      <c r="P240" s="168"/>
      <c r="Q240" s="168"/>
      <c r="R240" s="168"/>
    </row>
    <row r="241" spans="1:18" s="33" customFormat="1" outlineLevel="1" x14ac:dyDescent="0.15">
      <c r="A241" s="78"/>
      <c r="B241" s="114" t="s">
        <v>242</v>
      </c>
      <c r="C241" s="78"/>
      <c r="D241" s="79"/>
      <c r="E241" s="167">
        <f t="shared" si="64"/>
        <v>7.9735471685300055E-2</v>
      </c>
      <c r="F241" s="163"/>
      <c r="G241" s="168">
        <f>$G$93</f>
        <v>7.9735471685300055E-2</v>
      </c>
      <c r="H241" s="168">
        <f t="shared" ref="H241:K241" si="69">$G$93</f>
        <v>7.9735471685300055E-2</v>
      </c>
      <c r="I241" s="168">
        <f t="shared" si="69"/>
        <v>7.9735471685300055E-2</v>
      </c>
      <c r="J241" s="168">
        <f t="shared" si="69"/>
        <v>7.9735471685300055E-2</v>
      </c>
      <c r="K241" s="168">
        <f t="shared" si="69"/>
        <v>7.9735471685300055E-2</v>
      </c>
      <c r="L241" s="168"/>
      <c r="M241" s="168"/>
      <c r="N241" s="168"/>
      <c r="O241" s="168"/>
      <c r="P241" s="168"/>
      <c r="Q241" s="168"/>
      <c r="R241" s="168"/>
    </row>
    <row r="242" spans="1:18" s="33" customFormat="1" outlineLevel="1" x14ac:dyDescent="0.15">
      <c r="A242" s="78"/>
      <c r="B242" s="114" t="s">
        <v>243</v>
      </c>
      <c r="C242" s="78"/>
      <c r="D242" s="79"/>
      <c r="E242" s="167">
        <f t="shared" si="64"/>
        <v>0.14945625277843827</v>
      </c>
      <c r="F242" s="163"/>
      <c r="G242" s="168">
        <f>$G$99</f>
        <v>0.1494562527784383</v>
      </c>
      <c r="H242" s="168">
        <f t="shared" ref="H242:R242" si="70">$G$99</f>
        <v>0.1494562527784383</v>
      </c>
      <c r="I242" s="168">
        <f t="shared" si="70"/>
        <v>0.1494562527784383</v>
      </c>
      <c r="J242" s="168">
        <f t="shared" si="70"/>
        <v>0.1494562527784383</v>
      </c>
      <c r="K242" s="168">
        <f t="shared" si="70"/>
        <v>0.1494562527784383</v>
      </c>
      <c r="L242" s="168">
        <f t="shared" si="70"/>
        <v>0.1494562527784383</v>
      </c>
      <c r="M242" s="168">
        <f t="shared" si="70"/>
        <v>0.1494562527784383</v>
      </c>
      <c r="N242" s="168">
        <f t="shared" si="70"/>
        <v>0.1494562527784383</v>
      </c>
      <c r="O242" s="168">
        <f t="shared" si="70"/>
        <v>0.1494562527784383</v>
      </c>
      <c r="P242" s="168">
        <f t="shared" si="70"/>
        <v>0.1494562527784383</v>
      </c>
      <c r="Q242" s="168">
        <f t="shared" si="70"/>
        <v>0.1494562527784383</v>
      </c>
      <c r="R242" s="168">
        <f t="shared" si="70"/>
        <v>0.1494562527784383</v>
      </c>
    </row>
    <row r="243" spans="1:18" s="33" customFormat="1" outlineLevel="1" x14ac:dyDescent="0.15">
      <c r="A243" s="78"/>
      <c r="B243" s="80" t="s">
        <v>123</v>
      </c>
      <c r="C243" s="78"/>
      <c r="D243" s="79" t="s">
        <v>113</v>
      </c>
      <c r="E243" s="167" t="str">
        <f t="shared" si="64"/>
        <v>na</v>
      </c>
      <c r="F243" s="163" t="s">
        <v>157</v>
      </c>
      <c r="G243" s="168"/>
      <c r="H243" s="168"/>
      <c r="I243" s="168"/>
      <c r="J243" s="168"/>
      <c r="K243" s="168"/>
      <c r="L243" s="168"/>
      <c r="M243" s="168"/>
      <c r="N243" s="168"/>
      <c r="O243" s="168"/>
      <c r="P243" s="168"/>
      <c r="Q243" s="168"/>
      <c r="R243" s="168"/>
    </row>
    <row r="244" spans="1:18" s="33" customFormat="1" outlineLevel="1" x14ac:dyDescent="0.15">
      <c r="A244" s="78"/>
      <c r="B244" s="114" t="s">
        <v>239</v>
      </c>
      <c r="C244" s="78"/>
      <c r="D244" s="79"/>
      <c r="E244" s="167">
        <f t="shared" si="64"/>
        <v>1.7969895061333334</v>
      </c>
      <c r="F244" s="163"/>
      <c r="G244" s="168">
        <f>G88</f>
        <v>1.7476</v>
      </c>
      <c r="H244" s="168">
        <f>H88</f>
        <v>1.7965328</v>
      </c>
      <c r="I244" s="168">
        <f>I88</f>
        <v>1.8468357184000002</v>
      </c>
      <c r="J244" s="168"/>
      <c r="K244" s="168"/>
      <c r="L244" s="168"/>
      <c r="M244" s="168"/>
      <c r="N244" s="168"/>
      <c r="O244" s="168"/>
      <c r="P244" s="168"/>
      <c r="Q244" s="168"/>
      <c r="R244" s="168"/>
    </row>
    <row r="245" spans="1:18" s="33" customFormat="1" outlineLevel="1" x14ac:dyDescent="0.15">
      <c r="A245" s="78"/>
      <c r="B245" s="114" t="s">
        <v>242</v>
      </c>
      <c r="C245" s="78"/>
      <c r="D245" s="79"/>
      <c r="E245" s="167">
        <f t="shared" si="64"/>
        <v>5.98</v>
      </c>
      <c r="F245" s="163"/>
      <c r="G245" s="168">
        <f>$G$94</f>
        <v>5.98</v>
      </c>
      <c r="H245" s="168">
        <f t="shared" ref="H245:K245" si="71">$G$94</f>
        <v>5.98</v>
      </c>
      <c r="I245" s="168">
        <f t="shared" si="71"/>
        <v>5.98</v>
      </c>
      <c r="J245" s="168">
        <f t="shared" si="71"/>
        <v>5.98</v>
      </c>
      <c r="K245" s="168">
        <f t="shared" si="71"/>
        <v>5.98</v>
      </c>
      <c r="L245" s="168"/>
      <c r="M245" s="168"/>
      <c r="N245" s="168"/>
      <c r="O245" s="168"/>
      <c r="P245" s="168"/>
      <c r="Q245" s="168"/>
      <c r="R245" s="168"/>
    </row>
    <row r="246" spans="1:18" s="33" customFormat="1" outlineLevel="1" x14ac:dyDescent="0.15">
      <c r="A246" s="78"/>
      <c r="B246" s="114" t="s">
        <v>243</v>
      </c>
      <c r="C246" s="78"/>
      <c r="D246" s="79"/>
      <c r="E246" s="167">
        <f t="shared" si="64"/>
        <v>3.4500000000000006</v>
      </c>
      <c r="F246" s="163"/>
      <c r="G246" s="168">
        <f>$G$100</f>
        <v>3.45</v>
      </c>
      <c r="H246" s="168">
        <f t="shared" ref="H246:R246" si="72">$G$100</f>
        <v>3.45</v>
      </c>
      <c r="I246" s="168">
        <f t="shared" si="72"/>
        <v>3.45</v>
      </c>
      <c r="J246" s="168">
        <f t="shared" si="72"/>
        <v>3.45</v>
      </c>
      <c r="K246" s="168">
        <f t="shared" si="72"/>
        <v>3.45</v>
      </c>
      <c r="L246" s="168">
        <f t="shared" si="72"/>
        <v>3.45</v>
      </c>
      <c r="M246" s="168">
        <f t="shared" si="72"/>
        <v>3.45</v>
      </c>
      <c r="N246" s="168">
        <f t="shared" si="72"/>
        <v>3.45</v>
      </c>
      <c r="O246" s="168">
        <f t="shared" si="72"/>
        <v>3.45</v>
      </c>
      <c r="P246" s="168">
        <f t="shared" si="72"/>
        <v>3.45</v>
      </c>
      <c r="Q246" s="168">
        <f t="shared" si="72"/>
        <v>3.45</v>
      </c>
      <c r="R246" s="168">
        <f t="shared" si="72"/>
        <v>3.45</v>
      </c>
    </row>
    <row r="247" spans="1:18" s="33" customFormat="1" outlineLevel="1" x14ac:dyDescent="0.15">
      <c r="A247" s="153" t="s">
        <v>64</v>
      </c>
      <c r="B247" s="64"/>
      <c r="C247" s="165"/>
      <c r="D247" s="166" t="s">
        <v>113</v>
      </c>
      <c r="E247" s="169">
        <f t="shared" si="64"/>
        <v>58.334074039180621</v>
      </c>
      <c r="F247" s="170" t="s">
        <v>157</v>
      </c>
      <c r="G247" s="171">
        <f>SUM(G232:G246)</f>
        <v>120.29619172446374</v>
      </c>
      <c r="H247" s="171">
        <f t="shared" ref="H247:R247" si="73">SUM(H232:H246)</f>
        <v>122.44456452446374</v>
      </c>
      <c r="I247" s="171">
        <f t="shared" si="73"/>
        <v>124.88355500286376</v>
      </c>
      <c r="J247" s="171">
        <f t="shared" si="73"/>
        <v>99.729191724463746</v>
      </c>
      <c r="K247" s="171">
        <f t="shared" si="73"/>
        <v>99.729191724463746</v>
      </c>
      <c r="L247" s="171">
        <f t="shared" si="73"/>
        <v>18.989456252778439</v>
      </c>
      <c r="M247" s="171">
        <f t="shared" si="73"/>
        <v>18.989456252778439</v>
      </c>
      <c r="N247" s="171">
        <f t="shared" si="73"/>
        <v>18.989456252778439</v>
      </c>
      <c r="O247" s="171">
        <f t="shared" si="73"/>
        <v>18.989456252778439</v>
      </c>
      <c r="P247" s="171">
        <f t="shared" si="73"/>
        <v>18.989456252778439</v>
      </c>
      <c r="Q247" s="171">
        <f t="shared" si="73"/>
        <v>18.989456252778439</v>
      </c>
      <c r="R247" s="171">
        <f t="shared" si="73"/>
        <v>18.989456252778439</v>
      </c>
    </row>
    <row r="248" spans="1:18" s="33" customFormat="1" outlineLevel="1" x14ac:dyDescent="0.15">
      <c r="A248" s="78"/>
      <c r="B248" s="78"/>
      <c r="C248" s="78"/>
      <c r="D248" s="79"/>
      <c r="E248" s="79"/>
      <c r="F248" s="79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</row>
    <row r="249" spans="1:18" s="33" customFormat="1" outlineLevel="1" x14ac:dyDescent="0.15">
      <c r="A249" s="78" t="s">
        <v>178</v>
      </c>
      <c r="B249" s="78"/>
      <c r="C249" s="78"/>
      <c r="D249" s="79"/>
      <c r="E249" s="79"/>
      <c r="F249" s="79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</row>
    <row r="250" spans="1:18" s="33" customFormat="1" outlineLevel="1" x14ac:dyDescent="0.15">
      <c r="A250" s="78"/>
      <c r="B250" s="80" t="s">
        <v>118</v>
      </c>
      <c r="C250" s="78"/>
      <c r="D250" s="79" t="s">
        <v>173</v>
      </c>
      <c r="E250" s="150">
        <f t="shared" ref="E250:E254" si="74">IFERROR(AVERAGE(G250:R250),"na")</f>
        <v>130953453.7</v>
      </c>
      <c r="F250" s="150">
        <f>SUM(G250:R250)</f>
        <v>1571441444.4000001</v>
      </c>
      <c r="G250" s="78">
        <f>SUMPRODUCT(G232:G234,G$189:G$191)</f>
        <v>401664700</v>
      </c>
      <c r="H250" s="78">
        <f t="shared" ref="H250:R250" si="75">SUMPRODUCT(H232:H234,H$189:H$191)</f>
        <v>383317244.39999998</v>
      </c>
      <c r="I250" s="78">
        <f t="shared" si="75"/>
        <v>375189000</v>
      </c>
      <c r="J250" s="78">
        <f t="shared" si="75"/>
        <v>309020750</v>
      </c>
      <c r="K250" s="78">
        <f t="shared" si="75"/>
        <v>32822500</v>
      </c>
      <c r="L250" s="78">
        <f t="shared" si="75"/>
        <v>11254000</v>
      </c>
      <c r="M250" s="78">
        <f t="shared" si="75"/>
        <v>10757500</v>
      </c>
      <c r="N250" s="78">
        <f t="shared" si="75"/>
        <v>10426500</v>
      </c>
      <c r="O250" s="78">
        <f t="shared" si="75"/>
        <v>10592000</v>
      </c>
      <c r="P250" s="78">
        <f t="shared" si="75"/>
        <v>11833250</v>
      </c>
      <c r="Q250" s="78">
        <f t="shared" si="75"/>
        <v>12412500</v>
      </c>
      <c r="R250" s="78">
        <f t="shared" si="75"/>
        <v>2151500</v>
      </c>
    </row>
    <row r="251" spans="1:18" s="33" customFormat="1" outlineLevel="1" x14ac:dyDescent="0.15">
      <c r="A251" s="78"/>
      <c r="B251" s="80" t="s">
        <v>121</v>
      </c>
      <c r="C251" s="78"/>
      <c r="D251" s="79" t="s">
        <v>173</v>
      </c>
      <c r="E251" s="150">
        <f t="shared" si="74"/>
        <v>79277117.63333334</v>
      </c>
      <c r="F251" s="150">
        <f>SUM(G251:R251)</f>
        <v>951325411.60000002</v>
      </c>
      <c r="G251" s="78">
        <f t="shared" ref="G251:R251" si="76">SUMPRODUCT(G236:G238,G$189:G$191)</f>
        <v>207685200</v>
      </c>
      <c r="H251" s="78">
        <f t="shared" si="76"/>
        <v>175456211.59999999</v>
      </c>
      <c r="I251" s="78">
        <f t="shared" si="76"/>
        <v>162557000</v>
      </c>
      <c r="J251" s="78">
        <f t="shared" si="76"/>
        <v>106720999.99999999</v>
      </c>
      <c r="K251" s="78">
        <f t="shared" si="76"/>
        <v>45528000</v>
      </c>
      <c r="L251" s="78">
        <f t="shared" si="76"/>
        <v>41072000</v>
      </c>
      <c r="M251" s="78">
        <f t="shared" si="76"/>
        <v>39260000</v>
      </c>
      <c r="N251" s="78">
        <f t="shared" si="76"/>
        <v>38052000</v>
      </c>
      <c r="O251" s="78">
        <f t="shared" si="76"/>
        <v>38656000</v>
      </c>
      <c r="P251" s="78">
        <f t="shared" si="76"/>
        <v>43186000</v>
      </c>
      <c r="Q251" s="78">
        <f t="shared" si="76"/>
        <v>45300000</v>
      </c>
      <c r="R251" s="78">
        <f t="shared" si="76"/>
        <v>7852000</v>
      </c>
    </row>
    <row r="252" spans="1:18" s="33" customFormat="1" outlineLevel="1" x14ac:dyDescent="0.15">
      <c r="A252" s="78"/>
      <c r="B252" s="80" t="s">
        <v>122</v>
      </c>
      <c r="C252" s="78"/>
      <c r="D252" s="79" t="s">
        <v>173</v>
      </c>
      <c r="E252" s="150">
        <f t="shared" si="74"/>
        <v>651178.42321730405</v>
      </c>
      <c r="F252" s="150">
        <f>SUM(G252:R252)</f>
        <v>7814141.0786076486</v>
      </c>
      <c r="G252" s="78">
        <f>SUMPRODUCT(G240:G242,G$189:G$191)</f>
        <v>1506214.3265125158</v>
      </c>
      <c r="H252" s="78">
        <f t="shared" ref="H252:R252" si="77">SUMPRODUCT(H240:H242,H$189:H$191)</f>
        <v>1156850.2633179063</v>
      </c>
      <c r="I252" s="78">
        <f t="shared" si="77"/>
        <v>1026431.8254011406</v>
      </c>
      <c r="J252" s="78">
        <f t="shared" si="77"/>
        <v>487118.37642214273</v>
      </c>
      <c r="K252" s="78">
        <f t="shared" si="77"/>
        <v>502681.38492620061</v>
      </c>
      <c r="L252" s="78">
        <f t="shared" si="77"/>
        <v>508151.25944669021</v>
      </c>
      <c r="M252" s="78">
        <f t="shared" si="77"/>
        <v>485732.82152992446</v>
      </c>
      <c r="N252" s="78">
        <f t="shared" si="77"/>
        <v>470787.19625208061</v>
      </c>
      <c r="O252" s="78">
        <f t="shared" si="77"/>
        <v>478260.00889100257</v>
      </c>
      <c r="P252" s="78">
        <f t="shared" si="77"/>
        <v>534306.10368291696</v>
      </c>
      <c r="Q252" s="78">
        <f t="shared" si="77"/>
        <v>560460.9479191436</v>
      </c>
      <c r="R252" s="78">
        <f t="shared" si="77"/>
        <v>97146.564305984895</v>
      </c>
    </row>
    <row r="253" spans="1:18" s="33" customFormat="1" outlineLevel="1" x14ac:dyDescent="0.15">
      <c r="A253" s="78"/>
      <c r="B253" s="80" t="s">
        <v>123</v>
      </c>
      <c r="C253" s="78"/>
      <c r="D253" s="79" t="s">
        <v>173</v>
      </c>
      <c r="E253" s="150">
        <f t="shared" si="74"/>
        <v>23422123.293333333</v>
      </c>
      <c r="F253" s="150">
        <f>SUM(G253:R253)</f>
        <v>281065479.51999998</v>
      </c>
      <c r="G253" s="78">
        <f>SUMPRODUCT(G244:G246,G$189:G$191)</f>
        <v>58096600</v>
      </c>
      <c r="H253" s="78">
        <f t="shared" ref="H253:R253" si="78">SUMPRODUCT(H244:H246,H$189:H$191)</f>
        <v>52734379.520000003</v>
      </c>
      <c r="I253" s="78">
        <f t="shared" si="78"/>
        <v>50600000</v>
      </c>
      <c r="J253" s="78">
        <f t="shared" si="78"/>
        <v>34011250</v>
      </c>
      <c r="K253" s="78">
        <f t="shared" si="78"/>
        <v>13259500</v>
      </c>
      <c r="L253" s="78">
        <f t="shared" si="78"/>
        <v>11730000</v>
      </c>
      <c r="M253" s="78">
        <f t="shared" si="78"/>
        <v>11212500</v>
      </c>
      <c r="N253" s="78">
        <f t="shared" si="78"/>
        <v>10867500</v>
      </c>
      <c r="O253" s="78">
        <f t="shared" si="78"/>
        <v>11040000</v>
      </c>
      <c r="P253" s="78">
        <f t="shared" si="78"/>
        <v>12333750</v>
      </c>
      <c r="Q253" s="78">
        <f t="shared" si="78"/>
        <v>12937500</v>
      </c>
      <c r="R253" s="78">
        <f t="shared" si="78"/>
        <v>2242500</v>
      </c>
    </row>
    <row r="254" spans="1:18" s="33" customFormat="1" outlineLevel="1" x14ac:dyDescent="0.15">
      <c r="A254" s="153" t="s">
        <v>64</v>
      </c>
      <c r="B254" s="64"/>
      <c r="C254" s="165"/>
      <c r="D254" s="166" t="s">
        <v>173</v>
      </c>
      <c r="E254" s="155">
        <f t="shared" si="74"/>
        <v>234303873.04988399</v>
      </c>
      <c r="F254" s="155">
        <f>SUM(G254:R254)</f>
        <v>2811646476.598608</v>
      </c>
      <c r="G254" s="165">
        <f>SUM(G250:G253)</f>
        <v>668952714.32651258</v>
      </c>
      <c r="H254" s="165">
        <f t="shared" ref="H254:R254" si="79">SUM(H250:H253)</f>
        <v>612664685.78331792</v>
      </c>
      <c r="I254" s="165">
        <f t="shared" si="79"/>
        <v>589372431.82540119</v>
      </c>
      <c r="J254" s="165">
        <f t="shared" si="79"/>
        <v>450240118.37642217</v>
      </c>
      <c r="K254" s="165">
        <f t="shared" si="79"/>
        <v>92112681.3849262</v>
      </c>
      <c r="L254" s="165">
        <f t="shared" si="79"/>
        <v>64564151.259446688</v>
      </c>
      <c r="M254" s="165">
        <f t="shared" si="79"/>
        <v>61715732.821529925</v>
      </c>
      <c r="N254" s="165">
        <f t="shared" si="79"/>
        <v>59816787.196252078</v>
      </c>
      <c r="O254" s="165">
        <f t="shared" si="79"/>
        <v>60766260.008891001</v>
      </c>
      <c r="P254" s="165">
        <f t="shared" si="79"/>
        <v>67887306.10368292</v>
      </c>
      <c r="Q254" s="165">
        <f t="shared" si="79"/>
        <v>71210460.947919145</v>
      </c>
      <c r="R254" s="165">
        <f t="shared" si="79"/>
        <v>12343146.564305985</v>
      </c>
    </row>
    <row r="255" spans="1:18" s="33" customFormat="1" outlineLevel="1" x14ac:dyDescent="0.15">
      <c r="A255" s="78"/>
      <c r="B255" s="78"/>
      <c r="C255" s="78"/>
      <c r="D255" s="79"/>
      <c r="E255" s="79"/>
      <c r="F255" s="150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</row>
    <row r="256" spans="1:18" s="33" customFormat="1" outlineLevel="1" x14ac:dyDescent="0.15">
      <c r="A256" s="37" t="s">
        <v>179</v>
      </c>
      <c r="B256" s="78"/>
      <c r="C256" s="78"/>
      <c r="D256" s="79"/>
      <c r="E256" s="41" t="str">
        <f t="shared" ref="E256" si="80">IFERROR(AVERAGE(G256:R256),"na")</f>
        <v>na</v>
      </c>
      <c r="F256" s="41">
        <f>SUM(G256:R256)</f>
        <v>0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</row>
    <row r="257" spans="1:18" s="33" customFormat="1" outlineLevel="1" x14ac:dyDescent="0.15">
      <c r="A257" s="78"/>
      <c r="B257" s="78"/>
      <c r="C257" s="78"/>
      <c r="D257" s="79"/>
      <c r="E257" s="79"/>
      <c r="F257" s="79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</row>
    <row r="258" spans="1:18" s="33" customFormat="1" outlineLevel="1" x14ac:dyDescent="0.15">
      <c r="A258" s="78" t="s">
        <v>128</v>
      </c>
      <c r="B258" s="78"/>
      <c r="C258" s="78"/>
      <c r="D258" s="79"/>
      <c r="E258" s="79"/>
      <c r="F258" s="79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</row>
    <row r="259" spans="1:18" s="33" customFormat="1" outlineLevel="1" x14ac:dyDescent="0.15">
      <c r="A259" s="78"/>
      <c r="B259" s="78" t="s">
        <v>258</v>
      </c>
      <c r="C259" s="78"/>
      <c r="D259" s="79" t="s">
        <v>173</v>
      </c>
      <c r="E259" s="150">
        <f>IFERROR(AVERAGE(G259:R259),"na")</f>
        <v>14352500</v>
      </c>
      <c r="F259" s="150">
        <f>SUM(G259:R259)</f>
        <v>172230000</v>
      </c>
      <c r="G259" s="78">
        <f t="shared" ref="G259:R259" si="81">G109+G114+G119</f>
        <v>18593011.363636363</v>
      </c>
      <c r="H259" s="78">
        <f t="shared" si="81"/>
        <v>17369786.93181818</v>
      </c>
      <c r="I259" s="78">
        <f t="shared" si="81"/>
        <v>16635852.272727272</v>
      </c>
      <c r="J259" s="78">
        <f t="shared" si="81"/>
        <v>1590191.7613636365</v>
      </c>
      <c r="K259" s="78">
        <f t="shared" si="81"/>
        <v>15412627.840909092</v>
      </c>
      <c r="L259" s="78">
        <f t="shared" si="81"/>
        <v>16635852.272727272</v>
      </c>
      <c r="M259" s="78">
        <f t="shared" si="81"/>
        <v>15901917.613636363</v>
      </c>
      <c r="N259" s="78">
        <f t="shared" si="81"/>
        <v>15412627.840909092</v>
      </c>
      <c r="O259" s="78">
        <f t="shared" si="81"/>
        <v>15657272.727272728</v>
      </c>
      <c r="P259" s="78">
        <f t="shared" si="81"/>
        <v>17492109.375</v>
      </c>
      <c r="Q259" s="78">
        <f t="shared" si="81"/>
        <v>18348366.477272727</v>
      </c>
      <c r="R259" s="78">
        <f t="shared" si="81"/>
        <v>3180383.5227272729</v>
      </c>
    </row>
    <row r="260" spans="1:18" s="33" customFormat="1" outlineLevel="1" x14ac:dyDescent="0.15">
      <c r="A260" s="78"/>
      <c r="B260" s="78" t="s">
        <v>131</v>
      </c>
      <c r="C260" s="78"/>
      <c r="D260" s="79" t="s">
        <v>173</v>
      </c>
      <c r="E260" s="150">
        <f>IFERROR(AVERAGE(G260:R260),"na")</f>
        <v>14400833.333333334</v>
      </c>
      <c r="F260" s="150">
        <f>SUM(G260:R260)</f>
        <v>172810000</v>
      </c>
      <c r="G260" s="78">
        <f t="shared" ref="G260:R260" si="82">G110+G115+G120</f>
        <v>28015796.796707232</v>
      </c>
      <c r="H260" s="78">
        <f t="shared" si="82"/>
        <v>25954816.683070865</v>
      </c>
      <c r="I260" s="78">
        <f t="shared" si="82"/>
        <v>25030228.614889048</v>
      </c>
      <c r="J260" s="78">
        <f t="shared" si="82"/>
        <v>12687755.178507518</v>
      </c>
      <c r="K260" s="78">
        <f t="shared" si="82"/>
        <v>11325898.465461705</v>
      </c>
      <c r="L260" s="78">
        <f t="shared" si="82"/>
        <v>11313693.181818182</v>
      </c>
      <c r="M260" s="78">
        <f t="shared" si="82"/>
        <v>10814559.65909091</v>
      </c>
      <c r="N260" s="78">
        <f t="shared" si="82"/>
        <v>10481803.977272728</v>
      </c>
      <c r="O260" s="78">
        <f t="shared" si="82"/>
        <v>10648181.818181818</v>
      </c>
      <c r="P260" s="78">
        <f t="shared" si="82"/>
        <v>11896015.625</v>
      </c>
      <c r="Q260" s="78">
        <f t="shared" si="82"/>
        <v>12478338.068181818</v>
      </c>
      <c r="R260" s="78">
        <f t="shared" si="82"/>
        <v>2162911.9318181821</v>
      </c>
    </row>
    <row r="261" spans="1:18" s="33" customFormat="1" outlineLevel="1" x14ac:dyDescent="0.15">
      <c r="A261" s="42" t="s">
        <v>180</v>
      </c>
      <c r="B261" s="165"/>
      <c r="C261" s="165"/>
      <c r="D261" s="66" t="s">
        <v>173</v>
      </c>
      <c r="E261" s="65">
        <f>IFERROR(AVERAGE(G261:R261),"na")</f>
        <v>28753333.333333332</v>
      </c>
      <c r="F261" s="65">
        <f>SUM(G261:R261)</f>
        <v>345040000</v>
      </c>
      <c r="G261" s="42">
        <f t="shared" ref="G261:R261" si="83">SUM(G259:G260)</f>
        <v>46608808.160343595</v>
      </c>
      <c r="H261" s="42">
        <f t="shared" si="83"/>
        <v>43324603.614889041</v>
      </c>
      <c r="I261" s="42">
        <f t="shared" si="83"/>
        <v>41666080.887616321</v>
      </c>
      <c r="J261" s="42">
        <f t="shared" si="83"/>
        <v>14277946.939871155</v>
      </c>
      <c r="K261" s="42">
        <f t="shared" si="83"/>
        <v>26738526.306370795</v>
      </c>
      <c r="L261" s="42">
        <f t="shared" si="83"/>
        <v>27949545.454545453</v>
      </c>
      <c r="M261" s="42">
        <f t="shared" si="83"/>
        <v>26716477.272727273</v>
      </c>
      <c r="N261" s="42">
        <f t="shared" si="83"/>
        <v>25894431.81818182</v>
      </c>
      <c r="O261" s="42">
        <f t="shared" si="83"/>
        <v>26305454.545454547</v>
      </c>
      <c r="P261" s="42">
        <f t="shared" si="83"/>
        <v>29388125</v>
      </c>
      <c r="Q261" s="42">
        <f t="shared" si="83"/>
        <v>30826704.545454547</v>
      </c>
      <c r="R261" s="42">
        <f t="shared" si="83"/>
        <v>5343295.4545454551</v>
      </c>
    </row>
    <row r="262" spans="1:18" s="33" customFormat="1" outlineLevel="1" x14ac:dyDescent="0.15">
      <c r="A262" s="78"/>
      <c r="B262" s="78"/>
      <c r="C262" s="78"/>
      <c r="D262" s="79"/>
      <c r="E262" s="79"/>
      <c r="F262" s="150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</row>
    <row r="263" spans="1:18" s="33" customFormat="1" outlineLevel="1" x14ac:dyDescent="0.15">
      <c r="A263" s="78" t="s">
        <v>181</v>
      </c>
      <c r="B263" s="78"/>
      <c r="C263" s="78"/>
      <c r="D263" s="79"/>
      <c r="E263" s="79"/>
      <c r="F263" s="150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</row>
    <row r="264" spans="1:18" s="33" customFormat="1" outlineLevel="1" x14ac:dyDescent="0.15">
      <c r="A264" s="78"/>
      <c r="B264" s="78" t="s">
        <v>182</v>
      </c>
      <c r="C264" s="78"/>
      <c r="D264" s="79" t="s">
        <v>125</v>
      </c>
      <c r="E264" s="150">
        <f t="shared" ref="E264:E268" si="84">IFERROR(AVERAGE(G264:R264),"na")</f>
        <v>1028.8074732414134</v>
      </c>
      <c r="F264" s="163" t="s">
        <v>157</v>
      </c>
      <c r="G264" s="168">
        <f t="shared" ref="G264:R264" si="85">G254/G205</f>
        <v>1076.9382845123012</v>
      </c>
      <c r="H264" s="168">
        <f t="shared" si="85"/>
        <v>1448.1246032402835</v>
      </c>
      <c r="I264" s="168">
        <f t="shared" si="85"/>
        <v>1727.7069043446784</v>
      </c>
      <c r="J264" s="168">
        <f t="shared" si="85"/>
        <v>2457.39241455612</v>
      </c>
      <c r="K264" s="168">
        <f t="shared" si="85"/>
        <v>469.28136008227898</v>
      </c>
      <c r="L264" s="168">
        <f t="shared" si="85"/>
        <v>432.32185039006669</v>
      </c>
      <c r="M264" s="168">
        <f t="shared" si="85"/>
        <v>518.78622046808005</v>
      </c>
      <c r="N264" s="168">
        <f t="shared" si="85"/>
        <v>432.32185039006663</v>
      </c>
      <c r="O264" s="168">
        <f t="shared" si="85"/>
        <v>540.4023129875834</v>
      </c>
      <c r="P264" s="168">
        <f t="shared" si="85"/>
        <v>648.48277558510006</v>
      </c>
      <c r="Q264" s="168">
        <f t="shared" si="85"/>
        <v>1296.9655511702001</v>
      </c>
      <c r="R264" s="168">
        <f t="shared" si="85"/>
        <v>1296.9655511701999</v>
      </c>
    </row>
    <row r="265" spans="1:18" s="33" customFormat="1" outlineLevel="1" x14ac:dyDescent="0.15">
      <c r="A265" s="78"/>
      <c r="B265" s="78" t="s">
        <v>183</v>
      </c>
      <c r="C265" s="78"/>
      <c r="D265" s="79" t="s">
        <v>125</v>
      </c>
      <c r="E265" s="150">
        <f t="shared" si="84"/>
        <v>229.18151061426957</v>
      </c>
      <c r="F265" s="163" t="s">
        <v>157</v>
      </c>
      <c r="G265" s="168">
        <f t="shared" ref="G265:R265" si="86">G261/G205</f>
        <v>75.034914768076604</v>
      </c>
      <c r="H265" s="168">
        <f t="shared" si="86"/>
        <v>102.40417944138352</v>
      </c>
      <c r="I265" s="168">
        <f t="shared" si="86"/>
        <v>122.14140285381436</v>
      </c>
      <c r="J265" s="168">
        <f t="shared" si="86"/>
        <v>77.92845877883353</v>
      </c>
      <c r="K265" s="168">
        <f t="shared" si="86"/>
        <v>136.22328438376005</v>
      </c>
      <c r="L265" s="168">
        <f t="shared" si="86"/>
        <v>187.15028344312691</v>
      </c>
      <c r="M265" s="168">
        <f t="shared" si="86"/>
        <v>224.58034013175231</v>
      </c>
      <c r="N265" s="168">
        <f t="shared" si="86"/>
        <v>187.15028344312694</v>
      </c>
      <c r="O265" s="168">
        <f t="shared" si="86"/>
        <v>233.93785430390867</v>
      </c>
      <c r="P265" s="168">
        <f t="shared" si="86"/>
        <v>280.72542516469036</v>
      </c>
      <c r="Q265" s="168">
        <f t="shared" si="86"/>
        <v>561.45085032938073</v>
      </c>
      <c r="R265" s="168">
        <f t="shared" si="86"/>
        <v>561.45085032938073</v>
      </c>
    </row>
    <row r="266" spans="1:18" s="33" customFormat="1" outlineLevel="1" x14ac:dyDescent="0.15">
      <c r="A266" s="78"/>
      <c r="B266" s="78" t="s">
        <v>124</v>
      </c>
      <c r="C266" s="78"/>
      <c r="D266" s="79" t="s">
        <v>125</v>
      </c>
      <c r="E266" s="150">
        <f t="shared" si="84"/>
        <v>0</v>
      </c>
      <c r="F266" s="163" t="s">
        <v>157</v>
      </c>
      <c r="G266" s="168">
        <f>$G$104</f>
        <v>0</v>
      </c>
      <c r="H266" s="168">
        <f t="shared" ref="H266:R266" si="87">$G$104</f>
        <v>0</v>
      </c>
      <c r="I266" s="168">
        <f t="shared" si="87"/>
        <v>0</v>
      </c>
      <c r="J266" s="168">
        <f t="shared" si="87"/>
        <v>0</v>
      </c>
      <c r="K266" s="168">
        <f t="shared" si="87"/>
        <v>0</v>
      </c>
      <c r="L266" s="168">
        <f t="shared" si="87"/>
        <v>0</v>
      </c>
      <c r="M266" s="168">
        <f t="shared" si="87"/>
        <v>0</v>
      </c>
      <c r="N266" s="168">
        <f t="shared" si="87"/>
        <v>0</v>
      </c>
      <c r="O266" s="168">
        <f t="shared" si="87"/>
        <v>0</v>
      </c>
      <c r="P266" s="168">
        <f t="shared" si="87"/>
        <v>0</v>
      </c>
      <c r="Q266" s="168">
        <f t="shared" si="87"/>
        <v>0</v>
      </c>
      <c r="R266" s="168">
        <f t="shared" si="87"/>
        <v>0</v>
      </c>
    </row>
    <row r="267" spans="1:18" s="33" customFormat="1" outlineLevel="1" x14ac:dyDescent="0.15">
      <c r="A267" s="78"/>
      <c r="B267" s="78" t="s">
        <v>127</v>
      </c>
      <c r="C267" s="78"/>
      <c r="D267" s="79" t="s">
        <v>125</v>
      </c>
      <c r="E267" s="150">
        <f t="shared" si="84"/>
        <v>111.23317890659494</v>
      </c>
      <c r="F267" s="163" t="s">
        <v>157</v>
      </c>
      <c r="G267" s="168">
        <f>$G$105</f>
        <v>111.23317890659494</v>
      </c>
      <c r="H267" s="168">
        <f t="shared" ref="H267:R267" si="88">$G$105</f>
        <v>111.23317890659494</v>
      </c>
      <c r="I267" s="168">
        <f t="shared" si="88"/>
        <v>111.23317890659494</v>
      </c>
      <c r="J267" s="168">
        <f t="shared" si="88"/>
        <v>111.23317890659494</v>
      </c>
      <c r="K267" s="168">
        <f t="shared" si="88"/>
        <v>111.23317890659494</v>
      </c>
      <c r="L267" s="168">
        <f t="shared" si="88"/>
        <v>111.23317890659494</v>
      </c>
      <c r="M267" s="168">
        <f t="shared" si="88"/>
        <v>111.23317890659494</v>
      </c>
      <c r="N267" s="168">
        <f t="shared" si="88"/>
        <v>111.23317890659494</v>
      </c>
      <c r="O267" s="168">
        <f t="shared" si="88"/>
        <v>111.23317890659494</v>
      </c>
      <c r="P267" s="168">
        <f t="shared" si="88"/>
        <v>111.23317890659494</v>
      </c>
      <c r="Q267" s="168">
        <f t="shared" si="88"/>
        <v>111.23317890659494</v>
      </c>
      <c r="R267" s="168">
        <f t="shared" si="88"/>
        <v>111.23317890659494</v>
      </c>
    </row>
    <row r="268" spans="1:18" s="33" customFormat="1" outlineLevel="1" x14ac:dyDescent="0.15">
      <c r="A268" s="42" t="s">
        <v>181</v>
      </c>
      <c r="B268" s="165"/>
      <c r="C268" s="165"/>
      <c r="D268" s="66" t="s">
        <v>125</v>
      </c>
      <c r="E268" s="65">
        <f t="shared" si="84"/>
        <v>1369.2221627622778</v>
      </c>
      <c r="F268" s="67" t="s">
        <v>157</v>
      </c>
      <c r="G268" s="88">
        <f>SUM(G264:G267)</f>
        <v>1263.2063781869726</v>
      </c>
      <c r="H268" s="88">
        <f t="shared" ref="H268:R268" si="89">SUM(H264:H267)</f>
        <v>1661.761961588262</v>
      </c>
      <c r="I268" s="88">
        <f>SUM(I264:I267)</f>
        <v>1961.0814861050876</v>
      </c>
      <c r="J268" s="88">
        <f t="shared" si="89"/>
        <v>2646.5540522415481</v>
      </c>
      <c r="K268" s="88">
        <f t="shared" si="89"/>
        <v>716.73782337263401</v>
      </c>
      <c r="L268" s="88">
        <f t="shared" si="89"/>
        <v>730.7053127397885</v>
      </c>
      <c r="M268" s="88">
        <f t="shared" si="89"/>
        <v>854.59973950642734</v>
      </c>
      <c r="N268" s="88">
        <f t="shared" si="89"/>
        <v>730.7053127397885</v>
      </c>
      <c r="O268" s="88">
        <f t="shared" si="89"/>
        <v>885.57334619808705</v>
      </c>
      <c r="P268" s="88">
        <f t="shared" si="89"/>
        <v>1040.4413796563854</v>
      </c>
      <c r="Q268" s="88">
        <f t="shared" si="89"/>
        <v>1969.6495804061758</v>
      </c>
      <c r="R268" s="88">
        <f t="shared" si="89"/>
        <v>1969.6495804061756</v>
      </c>
    </row>
    <row r="269" spans="1:18" s="33" customFormat="1" outlineLevel="1" x14ac:dyDescent="0.15">
      <c r="A269" s="130"/>
      <c r="B269" s="114" t="s">
        <v>239</v>
      </c>
      <c r="C269" s="173"/>
      <c r="D269" s="131"/>
      <c r="E269" s="41"/>
      <c r="F269" s="132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</row>
    <row r="270" spans="1:18" s="33" customFormat="1" outlineLevel="1" x14ac:dyDescent="0.15">
      <c r="A270" s="130"/>
      <c r="B270" s="114" t="s">
        <v>242</v>
      </c>
      <c r="C270" s="173"/>
      <c r="D270" s="131"/>
      <c r="E270" s="41"/>
      <c r="F270" s="132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</row>
    <row r="271" spans="1:18" s="33" customFormat="1" outlineLevel="1" x14ac:dyDescent="0.15">
      <c r="A271" s="130"/>
      <c r="B271" s="114" t="s">
        <v>243</v>
      </c>
      <c r="C271" s="173"/>
      <c r="D271" s="131"/>
      <c r="E271" s="41"/>
      <c r="F271" s="132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</row>
    <row r="272" spans="1:18" s="33" customFormat="1" outlineLevel="1" x14ac:dyDescent="0.15">
      <c r="A272" s="78"/>
      <c r="B272" s="78"/>
      <c r="C272" s="78"/>
      <c r="D272" s="79"/>
      <c r="E272" s="79"/>
      <c r="F272" s="79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</row>
    <row r="273" spans="1:18" s="33" customFormat="1" outlineLevel="1" x14ac:dyDescent="0.15">
      <c r="A273" s="37" t="s">
        <v>21</v>
      </c>
      <c r="B273" s="78"/>
      <c r="C273" s="78"/>
      <c r="D273" s="38" t="s">
        <v>173</v>
      </c>
      <c r="E273" s="41">
        <f t="shared" ref="E273" si="90">IFERROR(AVERAGE(G273:R273),"na")</f>
        <v>194986787.44710311</v>
      </c>
      <c r="F273" s="41">
        <f t="shared" ref="F273:R273" si="91">F224-F228-F254</f>
        <v>2339841449.3652372</v>
      </c>
      <c r="G273" s="41">
        <f t="shared" si="91"/>
        <v>635486068.29056215</v>
      </c>
      <c r="H273" s="41">
        <f t="shared" si="91"/>
        <v>275791497.77872229</v>
      </c>
      <c r="I273" s="41">
        <f t="shared" si="91"/>
        <v>126999971.3947413</v>
      </c>
      <c r="J273" s="41">
        <f t="shared" si="91"/>
        <v>-65481129.371886909</v>
      </c>
      <c r="K273" s="41">
        <f t="shared" si="91"/>
        <v>320084690.78003532</v>
      </c>
      <c r="L273" s="41">
        <f t="shared" si="91"/>
        <v>249055565.64364719</v>
      </c>
      <c r="M273" s="41">
        <f t="shared" si="91"/>
        <v>188103894.6135326</v>
      </c>
      <c r="N273" s="41">
        <f t="shared" si="91"/>
        <v>230742656.40514377</v>
      </c>
      <c r="O273" s="41">
        <f t="shared" si="91"/>
        <v>175370938.60049736</v>
      </c>
      <c r="P273" s="41">
        <f t="shared" si="91"/>
        <v>151953966.03917211</v>
      </c>
      <c r="Q273" s="41">
        <f t="shared" si="91"/>
        <v>44090905.560571268</v>
      </c>
      <c r="R273" s="41">
        <f t="shared" si="91"/>
        <v>7642423.6304990184</v>
      </c>
    </row>
    <row r="274" spans="1:18" s="33" customFormat="1" outlineLevel="1" x14ac:dyDescent="0.15">
      <c r="A274" s="78"/>
      <c r="B274" s="78"/>
      <c r="C274" s="78"/>
      <c r="D274" s="79"/>
      <c r="E274" s="79"/>
      <c r="F274" s="79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</row>
    <row r="275" spans="1:18" s="33" customFormat="1" outlineLevel="1" x14ac:dyDescent="0.15">
      <c r="A275" s="78" t="s">
        <v>184</v>
      </c>
      <c r="B275" s="78"/>
      <c r="C275" s="78"/>
      <c r="D275" s="79"/>
      <c r="E275" s="79"/>
      <c r="F275" s="79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</row>
    <row r="276" spans="1:18" s="33" customFormat="1" outlineLevel="1" x14ac:dyDescent="0.15">
      <c r="A276" s="78"/>
      <c r="B276" s="78" t="s">
        <v>185</v>
      </c>
      <c r="C276" s="78"/>
      <c r="D276" s="79" t="s">
        <v>93</v>
      </c>
      <c r="E276" s="163" t="s">
        <v>157</v>
      </c>
      <c r="F276" s="163" t="s">
        <v>157</v>
      </c>
      <c r="G276" s="172">
        <f t="shared" ref="G276:R276" si="92">G124</f>
        <v>0.21974522292993631</v>
      </c>
      <c r="H276" s="172">
        <f t="shared" si="92"/>
        <v>0.17436305732484075</v>
      </c>
      <c r="I276" s="172">
        <f t="shared" si="92"/>
        <v>0.15764331210191082</v>
      </c>
      <c r="J276" s="172">
        <f t="shared" si="92"/>
        <v>9.2754777070063688E-2</v>
      </c>
      <c r="K276" s="172">
        <f t="shared" si="92"/>
        <v>5.6528662420382167E-2</v>
      </c>
      <c r="L276" s="172">
        <f t="shared" si="92"/>
        <v>5.4140127388535034E-2</v>
      </c>
      <c r="M276" s="172">
        <f t="shared" si="92"/>
        <v>5.17515923566879E-2</v>
      </c>
      <c r="N276" s="172">
        <f t="shared" si="92"/>
        <v>5.0159235668789812E-2</v>
      </c>
      <c r="O276" s="172">
        <f t="shared" si="92"/>
        <v>5.0955414012738856E-2</v>
      </c>
      <c r="P276" s="172">
        <f t="shared" si="92"/>
        <v>5.6926751592356689E-2</v>
      </c>
      <c r="Q276" s="172">
        <f t="shared" si="92"/>
        <v>5.9713375796178345E-2</v>
      </c>
      <c r="R276" s="172">
        <f t="shared" si="92"/>
        <v>1.0350318471337579E-2</v>
      </c>
    </row>
    <row r="277" spans="1:18" s="33" customFormat="1" outlineLevel="1" x14ac:dyDescent="0.15">
      <c r="A277" s="78"/>
      <c r="B277" s="78" t="s">
        <v>155</v>
      </c>
      <c r="C277" s="78"/>
      <c r="D277" s="79" t="s">
        <v>173</v>
      </c>
      <c r="E277" s="150">
        <f t="shared" ref="E277:E281" si="93">IFERROR(AVERAGE(G277:R277),"na")</f>
        <v>382456600.75405902</v>
      </c>
      <c r="F277" s="163" t="s">
        <v>157</v>
      </c>
      <c r="G277" s="173">
        <f>$F$130</f>
        <v>499620000</v>
      </c>
      <c r="H277" s="78">
        <f>G281</f>
        <v>426197636.94039553</v>
      </c>
      <c r="I277" s="78">
        <f t="shared" ref="I277:R277" si="94">H281</f>
        <v>387654907.21005583</v>
      </c>
      <c r="J277" s="78">
        <f t="shared" si="94"/>
        <v>361641405.57909012</v>
      </c>
      <c r="K277" s="78">
        <f t="shared" si="94"/>
        <v>341051036.7797423</v>
      </c>
      <c r="L277" s="78">
        <f t="shared" si="94"/>
        <v>346998911.03267837</v>
      </c>
      <c r="M277" s="78">
        <f t="shared" si="94"/>
        <v>354648699.28887093</v>
      </c>
      <c r="N277" s="78">
        <f t="shared" si="94"/>
        <v>361628921.40514606</v>
      </c>
      <c r="O277" s="78">
        <f t="shared" si="94"/>
        <v>368085478.02183932</v>
      </c>
      <c r="P277" s="78">
        <f t="shared" si="94"/>
        <v>374294579.31545722</v>
      </c>
      <c r="Q277" s="78">
        <f t="shared" si="94"/>
        <v>380702359.28476042</v>
      </c>
      <c r="R277" s="78">
        <f t="shared" si="94"/>
        <v>386955274.19067186</v>
      </c>
    </row>
    <row r="278" spans="1:18" s="33" customFormat="1" outlineLevel="1" x14ac:dyDescent="0.15">
      <c r="A278" s="78"/>
      <c r="B278" s="78" t="s">
        <v>186</v>
      </c>
      <c r="C278" s="78"/>
      <c r="D278" s="79" t="s">
        <v>173</v>
      </c>
      <c r="E278" s="150">
        <f t="shared" si="93"/>
        <v>28753333.333333332</v>
      </c>
      <c r="F278" s="150">
        <f>SUM(G278:R278)</f>
        <v>345040000</v>
      </c>
      <c r="G278" s="78">
        <f>G261</f>
        <v>46608808.160343595</v>
      </c>
      <c r="H278" s="78">
        <f>H261</f>
        <v>43324603.614889041</v>
      </c>
      <c r="I278" s="78">
        <f t="shared" ref="I278:R278" si="95">I261</f>
        <v>41666080.887616321</v>
      </c>
      <c r="J278" s="78">
        <f t="shared" si="95"/>
        <v>14277946.939871155</v>
      </c>
      <c r="K278" s="78">
        <f t="shared" si="95"/>
        <v>26738526.306370795</v>
      </c>
      <c r="L278" s="78">
        <f t="shared" si="95"/>
        <v>27949545.454545453</v>
      </c>
      <c r="M278" s="78">
        <f t="shared" si="95"/>
        <v>26716477.272727273</v>
      </c>
      <c r="N278" s="78">
        <f t="shared" si="95"/>
        <v>25894431.81818182</v>
      </c>
      <c r="O278" s="78">
        <f t="shared" si="95"/>
        <v>26305454.545454547</v>
      </c>
      <c r="P278" s="78">
        <f t="shared" si="95"/>
        <v>29388125</v>
      </c>
      <c r="Q278" s="78">
        <f t="shared" si="95"/>
        <v>30826704.545454547</v>
      </c>
      <c r="R278" s="78">
        <f t="shared" si="95"/>
        <v>5343295.4545454551</v>
      </c>
    </row>
    <row r="279" spans="1:18" s="33" customFormat="1" outlineLevel="1" x14ac:dyDescent="0.15">
      <c r="A279" s="78"/>
      <c r="B279" s="78" t="s">
        <v>187</v>
      </c>
      <c r="C279" s="78"/>
      <c r="D279" s="79" t="s">
        <v>173</v>
      </c>
      <c r="E279" s="150">
        <f t="shared" si="93"/>
        <v>411209934.08739227</v>
      </c>
      <c r="F279" s="163" t="s">
        <v>157</v>
      </c>
      <c r="G279" s="78">
        <f>SUM(G277:G278)</f>
        <v>546228808.16034365</v>
      </c>
      <c r="H279" s="78">
        <f>SUM(H277:H278)</f>
        <v>469522240.55528456</v>
      </c>
      <c r="I279" s="78">
        <f t="shared" ref="I279:R279" si="96">SUM(I277:I278)</f>
        <v>429320988.09767216</v>
      </c>
      <c r="J279" s="78">
        <f t="shared" si="96"/>
        <v>375919352.51896125</v>
      </c>
      <c r="K279" s="78">
        <f t="shared" si="96"/>
        <v>367789563.0861131</v>
      </c>
      <c r="L279" s="78">
        <f t="shared" si="96"/>
        <v>374948456.4872238</v>
      </c>
      <c r="M279" s="78">
        <f t="shared" si="96"/>
        <v>381365176.56159818</v>
      </c>
      <c r="N279" s="78">
        <f t="shared" si="96"/>
        <v>387523353.22332788</v>
      </c>
      <c r="O279" s="78">
        <f t="shared" si="96"/>
        <v>394390932.56729388</v>
      </c>
      <c r="P279" s="78">
        <f t="shared" si="96"/>
        <v>403682704.31545722</v>
      </c>
      <c r="Q279" s="78">
        <f t="shared" si="96"/>
        <v>411529063.83021498</v>
      </c>
      <c r="R279" s="78">
        <f t="shared" si="96"/>
        <v>392298569.6452173</v>
      </c>
    </row>
    <row r="280" spans="1:18" s="33" customFormat="1" outlineLevel="1" x14ac:dyDescent="0.15">
      <c r="A280" s="78"/>
      <c r="B280" s="78" t="s">
        <v>188</v>
      </c>
      <c r="C280" s="78"/>
      <c r="D280" s="79" t="s">
        <v>173</v>
      </c>
      <c r="E280" s="150">
        <f t="shared" si="93"/>
        <v>38035153.790538415</v>
      </c>
      <c r="F280" s="150">
        <f>SUM(G280:R280)</f>
        <v>456421845.48646098</v>
      </c>
      <c r="G280" s="78">
        <f>G279*G276</f>
        <v>120031171.21994813</v>
      </c>
      <c r="H280" s="78">
        <f>H279*H276</f>
        <v>81867333.345228747</v>
      </c>
      <c r="I280" s="78">
        <f t="shared" ref="I280:R280" si="97">I279*I276</f>
        <v>67679582.518582076</v>
      </c>
      <c r="J280" s="78">
        <f t="shared" si="97"/>
        <v>34868315.739218935</v>
      </c>
      <c r="K280" s="78">
        <f t="shared" si="97"/>
        <v>20790652.053434737</v>
      </c>
      <c r="L280" s="78">
        <f t="shared" si="97"/>
        <v>20299757.198352881</v>
      </c>
      <c r="M280" s="78">
        <f t="shared" si="97"/>
        <v>19736255.156452134</v>
      </c>
      <c r="N280" s="78">
        <f t="shared" si="97"/>
        <v>19437875.201488581</v>
      </c>
      <c r="O280" s="78">
        <f t="shared" si="97"/>
        <v>20096353.251836631</v>
      </c>
      <c r="P280" s="78">
        <f t="shared" si="97"/>
        <v>22980345.030696809</v>
      </c>
      <c r="Q280" s="78">
        <f t="shared" si="97"/>
        <v>24573789.639543094</v>
      </c>
      <c r="R280" s="78">
        <f t="shared" si="97"/>
        <v>4060415.1316782045</v>
      </c>
    </row>
    <row r="281" spans="1:18" s="33" customFormat="1" outlineLevel="1" x14ac:dyDescent="0.15">
      <c r="A281" s="165"/>
      <c r="B281" s="165" t="s">
        <v>189</v>
      </c>
      <c r="C281" s="165"/>
      <c r="D281" s="166" t="s">
        <v>173</v>
      </c>
      <c r="E281" s="155">
        <f t="shared" si="93"/>
        <v>373174780.29685396</v>
      </c>
      <c r="F281" s="170" t="s">
        <v>157</v>
      </c>
      <c r="G281" s="165">
        <f>G279-G280</f>
        <v>426197636.94039553</v>
      </c>
      <c r="H281" s="165">
        <f>H279-H280</f>
        <v>387654907.21005583</v>
      </c>
      <c r="I281" s="165">
        <f t="shared" ref="I281:Q281" si="98">I279-I280</f>
        <v>361641405.57909012</v>
      </c>
      <c r="J281" s="165">
        <f t="shared" si="98"/>
        <v>341051036.7797423</v>
      </c>
      <c r="K281" s="165">
        <f t="shared" si="98"/>
        <v>346998911.03267837</v>
      </c>
      <c r="L281" s="165">
        <f t="shared" si="98"/>
        <v>354648699.28887093</v>
      </c>
      <c r="M281" s="165">
        <f t="shared" si="98"/>
        <v>361628921.40514606</v>
      </c>
      <c r="N281" s="165">
        <f t="shared" si="98"/>
        <v>368085478.02183932</v>
      </c>
      <c r="O281" s="165">
        <f t="shared" si="98"/>
        <v>374294579.31545722</v>
      </c>
      <c r="P281" s="165">
        <f t="shared" si="98"/>
        <v>380702359.28476042</v>
      </c>
      <c r="Q281" s="165">
        <f t="shared" si="98"/>
        <v>386955274.19067186</v>
      </c>
      <c r="R281" s="165">
        <f>R279-R280</f>
        <v>388238154.51353908</v>
      </c>
    </row>
    <row r="282" spans="1:18" s="33" customFormat="1" outlineLevel="1" x14ac:dyDescent="0.15">
      <c r="A282" s="78"/>
      <c r="B282" s="78"/>
      <c r="C282" s="78"/>
      <c r="D282" s="79"/>
      <c r="E282" s="79"/>
      <c r="F282" s="150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</row>
    <row r="283" spans="1:18" s="33" customFormat="1" outlineLevel="1" x14ac:dyDescent="0.15">
      <c r="A283" s="37" t="s">
        <v>22</v>
      </c>
      <c r="B283" s="78"/>
      <c r="C283" s="78"/>
      <c r="D283" s="79" t="s">
        <v>173</v>
      </c>
      <c r="E283" s="150">
        <f t="shared" ref="E283" si="99">IFERROR(AVERAGE(G283:R283),"na")</f>
        <v>156951633.65656474</v>
      </c>
      <c r="F283" s="150">
        <f>SUM(G283:R283)</f>
        <v>1883419603.8787768</v>
      </c>
      <c r="G283" s="37">
        <f>G273-G280</f>
        <v>515454897.07061404</v>
      </c>
      <c r="H283" s="37">
        <f t="shared" ref="H283:Q283" si="100">H273-H280</f>
        <v>193924164.43349355</v>
      </c>
      <c r="I283" s="37">
        <f t="shared" si="100"/>
        <v>59320388.876159221</v>
      </c>
      <c r="J283" s="37">
        <f>J273-J280</f>
        <v>-100349445.11110584</v>
      </c>
      <c r="K283" s="37">
        <f t="shared" si="100"/>
        <v>299294038.72660059</v>
      </c>
      <c r="L283" s="37">
        <f t="shared" si="100"/>
        <v>228755808.44529432</v>
      </c>
      <c r="M283" s="37">
        <f t="shared" si="100"/>
        <v>168367639.45708048</v>
      </c>
      <c r="N283" s="37">
        <f t="shared" si="100"/>
        <v>211304781.20365518</v>
      </c>
      <c r="O283" s="37">
        <f t="shared" si="100"/>
        <v>155274585.34866074</v>
      </c>
      <c r="P283" s="37">
        <f t="shared" si="100"/>
        <v>128973621.0084753</v>
      </c>
      <c r="Q283" s="37">
        <f t="shared" si="100"/>
        <v>19517115.921028174</v>
      </c>
      <c r="R283" s="37">
        <f>R273-R280</f>
        <v>3582008.4988208138</v>
      </c>
    </row>
    <row r="284" spans="1:18" s="33" customFormat="1" outlineLevel="1" x14ac:dyDescent="0.15">
      <c r="A284" s="78"/>
      <c r="B284" s="78"/>
      <c r="C284" s="78"/>
      <c r="D284" s="79"/>
      <c r="E284" s="79"/>
      <c r="F284" s="150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</row>
    <row r="285" spans="1:18" s="33" customFormat="1" outlineLevel="1" x14ac:dyDescent="0.15">
      <c r="A285" s="90" t="s">
        <v>190</v>
      </c>
      <c r="B285" s="90"/>
      <c r="C285" s="90"/>
      <c r="D285" s="91" t="s">
        <v>173</v>
      </c>
      <c r="E285" s="79"/>
      <c r="F285" s="150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</row>
    <row r="286" spans="1:18" s="33" customFormat="1" outlineLevel="1" x14ac:dyDescent="0.15">
      <c r="A286" s="78" t="s">
        <v>141</v>
      </c>
      <c r="B286" s="78"/>
      <c r="C286" s="78"/>
      <c r="D286" s="79" t="s">
        <v>173</v>
      </c>
      <c r="E286" s="161">
        <f>Perseus!$F$131</f>
        <v>0.2</v>
      </c>
      <c r="F286" s="150">
        <f>SUM(G286:R286)</f>
        <v>396753809.79797655</v>
      </c>
      <c r="G286" s="78">
        <f t="shared" ref="G286:R286" si="101">IF(G283&gt;0,G283*$E$286,0)</f>
        <v>103090979.41412282</v>
      </c>
      <c r="H286" s="78">
        <f t="shared" si="101"/>
        <v>38784832.886698715</v>
      </c>
      <c r="I286" s="78">
        <f t="shared" si="101"/>
        <v>11864077.775231846</v>
      </c>
      <c r="J286" s="78">
        <f t="shared" si="101"/>
        <v>0</v>
      </c>
      <c r="K286" s="78">
        <f t="shared" si="101"/>
        <v>59858807.745320119</v>
      </c>
      <c r="L286" s="78">
        <f t="shared" si="101"/>
        <v>45751161.68905887</v>
      </c>
      <c r="M286" s="78">
        <f t="shared" si="101"/>
        <v>33673527.891416095</v>
      </c>
      <c r="N286" s="78">
        <f t="shared" si="101"/>
        <v>42260956.240731038</v>
      </c>
      <c r="O286" s="78">
        <f t="shared" si="101"/>
        <v>31054917.069732148</v>
      </c>
      <c r="P286" s="78">
        <f t="shared" si="101"/>
        <v>25794724.201695062</v>
      </c>
      <c r="Q286" s="78">
        <f t="shared" si="101"/>
        <v>3903423.184205635</v>
      </c>
      <c r="R286" s="78">
        <f t="shared" si="101"/>
        <v>716401.69976416277</v>
      </c>
    </row>
    <row r="287" spans="1:18" s="33" customFormat="1" outlineLevel="1" x14ac:dyDescent="0.15">
      <c r="A287" s="78"/>
      <c r="B287" s="78"/>
      <c r="C287" s="78"/>
      <c r="D287" s="79"/>
      <c r="E287" s="79"/>
      <c r="F287" s="150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</row>
    <row r="288" spans="1:18" s="33" customFormat="1" outlineLevel="1" x14ac:dyDescent="0.15">
      <c r="A288" s="37" t="s">
        <v>191</v>
      </c>
      <c r="B288" s="78"/>
      <c r="C288" s="78"/>
      <c r="D288" s="79" t="s">
        <v>173</v>
      </c>
      <c r="E288" s="41">
        <f t="shared" ref="E288" si="102">IFERROR(AVERAGE(G288:R288),"na")</f>
        <v>123888816.17340003</v>
      </c>
      <c r="F288" s="41">
        <f>SUM(G288:R288)</f>
        <v>1486665794.0808003</v>
      </c>
      <c r="G288" s="37">
        <f>G283-G286</f>
        <v>412363917.65649122</v>
      </c>
      <c r="H288" s="37">
        <f t="shared" ref="H288:R288" si="103">H283-H286</f>
        <v>155139331.54679483</v>
      </c>
      <c r="I288" s="37">
        <f t="shared" si="103"/>
        <v>47456311.100927375</v>
      </c>
      <c r="J288" s="37">
        <f t="shared" si="103"/>
        <v>-100349445.11110584</v>
      </c>
      <c r="K288" s="37">
        <f t="shared" si="103"/>
        <v>239435230.98128048</v>
      </c>
      <c r="L288" s="37">
        <f t="shared" si="103"/>
        <v>183004646.75623545</v>
      </c>
      <c r="M288" s="37">
        <f t="shared" si="103"/>
        <v>134694111.56566438</v>
      </c>
      <c r="N288" s="37">
        <f t="shared" si="103"/>
        <v>169043824.96292415</v>
      </c>
      <c r="O288" s="37">
        <f t="shared" si="103"/>
        <v>124219668.27892859</v>
      </c>
      <c r="P288" s="37">
        <f t="shared" si="103"/>
        <v>103178896.80678025</v>
      </c>
      <c r="Q288" s="37">
        <f t="shared" si="103"/>
        <v>15613692.73682254</v>
      </c>
      <c r="R288" s="37">
        <f t="shared" si="103"/>
        <v>2865606.7990566511</v>
      </c>
    </row>
    <row r="289" spans="1:18" s="33" customFormat="1" outlineLevel="1" x14ac:dyDescent="0.15">
      <c r="A289" s="78"/>
      <c r="B289" s="78"/>
      <c r="C289" s="78"/>
      <c r="D289" s="79"/>
      <c r="E289" s="79"/>
      <c r="F289" s="79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</row>
    <row r="290" spans="1:18" s="33" customFormat="1" outlineLevel="1" x14ac:dyDescent="0.15">
      <c r="A290" s="37" t="s">
        <v>192</v>
      </c>
      <c r="B290" s="78"/>
      <c r="C290" s="78"/>
      <c r="D290" s="79"/>
      <c r="E290" s="79"/>
      <c r="F290" s="79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</row>
    <row r="291" spans="1:18" s="33" customFormat="1" outlineLevel="1" x14ac:dyDescent="0.15">
      <c r="A291" s="78" t="s">
        <v>193</v>
      </c>
      <c r="B291" s="78"/>
      <c r="C291" s="78"/>
      <c r="D291" s="79"/>
      <c r="E291" s="79"/>
      <c r="F291" s="79"/>
      <c r="G291" s="78">
        <f t="shared" ref="G291:R291" si="104">(G224/$I$134)*$F$134</f>
        <v>71476130.000774592</v>
      </c>
      <c r="H291" s="78">
        <f t="shared" si="104"/>
        <v>48682552.621493332</v>
      </c>
      <c r="I291" s="78">
        <f t="shared" si="104"/>
        <v>39253300.119459346</v>
      </c>
      <c r="J291" s="78">
        <f t="shared" si="104"/>
        <v>21082693.863087833</v>
      </c>
      <c r="K291" s="78">
        <f t="shared" si="104"/>
        <v>22586167.592879117</v>
      </c>
      <c r="L291" s="78">
        <f t="shared" si="104"/>
        <v>17184649.793375626</v>
      </c>
      <c r="M291" s="78">
        <f t="shared" si="104"/>
        <v>13688752.899134995</v>
      </c>
      <c r="N291" s="78">
        <f t="shared" si="104"/>
        <v>15921072.602686241</v>
      </c>
      <c r="O291" s="78">
        <f t="shared" si="104"/>
        <v>12939030.432659294</v>
      </c>
      <c r="P291" s="78">
        <f t="shared" si="104"/>
        <v>12046102.551238798</v>
      </c>
      <c r="Q291" s="78">
        <f t="shared" si="104"/>
        <v>6317885.953446921</v>
      </c>
      <c r="R291" s="78">
        <f t="shared" si="104"/>
        <v>1095100.2319307995</v>
      </c>
    </row>
    <row r="292" spans="1:18" s="33" customFormat="1" outlineLevel="1" x14ac:dyDescent="0.15">
      <c r="A292" s="78" t="s">
        <v>194</v>
      </c>
      <c r="B292" s="78"/>
      <c r="C292" s="78"/>
      <c r="D292" s="79"/>
      <c r="E292" s="79"/>
      <c r="F292" s="79"/>
      <c r="G292" s="78">
        <f t="shared" ref="G292:R292" si="105">(G254/$I$134)*$F$136</f>
        <v>36654943.250767812</v>
      </c>
      <c r="H292" s="78">
        <f t="shared" si="105"/>
        <v>33570667.714154407</v>
      </c>
      <c r="I292" s="78">
        <f t="shared" si="105"/>
        <v>32294379.82604938</v>
      </c>
      <c r="J292" s="78">
        <f t="shared" si="105"/>
        <v>24670691.417886145</v>
      </c>
      <c r="K292" s="78">
        <f t="shared" si="105"/>
        <v>5047270.2128726691</v>
      </c>
      <c r="L292" s="78">
        <f t="shared" si="105"/>
        <v>3537761.7128463937</v>
      </c>
      <c r="M292" s="78">
        <f t="shared" si="105"/>
        <v>3381683.9902208182</v>
      </c>
      <c r="N292" s="78">
        <f t="shared" si="105"/>
        <v>3277632.1751371003</v>
      </c>
      <c r="O292" s="78">
        <f t="shared" si="105"/>
        <v>3329658.0826789588</v>
      </c>
      <c r="P292" s="78">
        <f t="shared" si="105"/>
        <v>3719852.3892429001</v>
      </c>
      <c r="Q292" s="78">
        <f t="shared" si="105"/>
        <v>3901943.0656394055</v>
      </c>
      <c r="R292" s="78">
        <f t="shared" si="105"/>
        <v>676336.79804416362</v>
      </c>
    </row>
    <row r="293" spans="1:18" s="33" customFormat="1" outlineLevel="1" x14ac:dyDescent="0.15">
      <c r="A293" s="78" t="s">
        <v>195</v>
      </c>
      <c r="B293" s="78"/>
      <c r="C293" s="78"/>
      <c r="D293" s="79"/>
      <c r="E293" s="79"/>
      <c r="F293" s="79"/>
      <c r="G293" s="78">
        <f t="shared" ref="G293:R293" si="106">G254/$I$134*$F$135</f>
        <v>54982414.876151718</v>
      </c>
      <c r="H293" s="78">
        <f t="shared" si="106"/>
        <v>50356001.571231611</v>
      </c>
      <c r="I293" s="78">
        <f t="shared" si="106"/>
        <v>48441569.739074074</v>
      </c>
      <c r="J293" s="78">
        <f t="shared" si="106"/>
        <v>37006037.126829214</v>
      </c>
      <c r="K293" s="78">
        <f t="shared" si="106"/>
        <v>7570905.3193090027</v>
      </c>
      <c r="L293" s="78">
        <f t="shared" si="106"/>
        <v>5306642.569269591</v>
      </c>
      <c r="M293" s="78">
        <f t="shared" si="106"/>
        <v>5072525.9853312271</v>
      </c>
      <c r="N293" s="78">
        <f t="shared" si="106"/>
        <v>4916448.2627056502</v>
      </c>
      <c r="O293" s="78">
        <f t="shared" si="106"/>
        <v>4994487.1240184382</v>
      </c>
      <c r="P293" s="78">
        <f t="shared" si="106"/>
        <v>5579778.5838643499</v>
      </c>
      <c r="Q293" s="78">
        <f t="shared" si="106"/>
        <v>5852914.5984591078</v>
      </c>
      <c r="R293" s="78">
        <f t="shared" si="106"/>
        <v>1014505.1970662454</v>
      </c>
    </row>
    <row r="294" spans="1:18" s="33" customFormat="1" outlineLevel="1" x14ac:dyDescent="0.15">
      <c r="A294" s="165" t="s">
        <v>196</v>
      </c>
      <c r="B294" s="165"/>
      <c r="C294" s="165"/>
      <c r="D294" s="166"/>
      <c r="E294" s="166"/>
      <c r="F294" s="93">
        <v>-12000000</v>
      </c>
      <c r="G294" s="165">
        <f>G291+G292-G293</f>
        <v>53148658.375390686</v>
      </c>
      <c r="H294" s="165">
        <f t="shared" ref="H294:R294" si="107">H291+H292-H293</f>
        <v>31897218.764416121</v>
      </c>
      <c r="I294" s="165">
        <f t="shared" si="107"/>
        <v>23106110.206434645</v>
      </c>
      <c r="J294" s="165">
        <f t="shared" si="107"/>
        <v>8747348.1541447639</v>
      </c>
      <c r="K294" s="165">
        <f t="shared" si="107"/>
        <v>20062532.486442782</v>
      </c>
      <c r="L294" s="165">
        <f t="shared" si="107"/>
        <v>15415768.936952431</v>
      </c>
      <c r="M294" s="165">
        <f t="shared" si="107"/>
        <v>11997910.904024586</v>
      </c>
      <c r="N294" s="165">
        <f t="shared" si="107"/>
        <v>14282256.51511769</v>
      </c>
      <c r="O294" s="165">
        <f t="shared" si="107"/>
        <v>11274201.391319815</v>
      </c>
      <c r="P294" s="165">
        <f t="shared" si="107"/>
        <v>10186176.356617348</v>
      </c>
      <c r="Q294" s="165">
        <f t="shared" si="107"/>
        <v>4366914.4206272196</v>
      </c>
      <c r="R294" s="165">
        <f t="shared" si="107"/>
        <v>756931.83290871768</v>
      </c>
    </row>
    <row r="295" spans="1:18" s="33" customFormat="1" outlineLevel="1" x14ac:dyDescent="0.15">
      <c r="A295" s="78"/>
      <c r="B295" s="78"/>
      <c r="C295" s="78"/>
      <c r="D295" s="79"/>
      <c r="E295" s="79"/>
      <c r="F295" s="79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</row>
    <row r="296" spans="1:18" s="33" customFormat="1" outlineLevel="1" x14ac:dyDescent="0.15">
      <c r="A296" s="78" t="s">
        <v>197</v>
      </c>
      <c r="B296" s="78"/>
      <c r="C296" s="78"/>
      <c r="D296" s="79"/>
      <c r="E296" s="79"/>
      <c r="F296" s="79"/>
      <c r="G296" s="78">
        <f>G294-F294</f>
        <v>65148658.375390686</v>
      </c>
      <c r="H296" s="78">
        <f t="shared" ref="H296:R296" si="108">H294-G294</f>
        <v>-21251439.610974565</v>
      </c>
      <c r="I296" s="78">
        <f t="shared" si="108"/>
        <v>-8791108.5579814762</v>
      </c>
      <c r="J296" s="78">
        <f t="shared" si="108"/>
        <v>-14358762.052289881</v>
      </c>
      <c r="K296" s="78">
        <f t="shared" si="108"/>
        <v>11315184.332298018</v>
      </c>
      <c r="L296" s="78">
        <f t="shared" si="108"/>
        <v>-4646763.5494903512</v>
      </c>
      <c r="M296" s="78">
        <f t="shared" si="108"/>
        <v>-3417858.0329278447</v>
      </c>
      <c r="N296" s="78">
        <f t="shared" si="108"/>
        <v>2284345.6110931039</v>
      </c>
      <c r="O296" s="78">
        <f t="shared" si="108"/>
        <v>-3008055.1237978749</v>
      </c>
      <c r="P296" s="78">
        <f t="shared" si="108"/>
        <v>-1088025.0347024668</v>
      </c>
      <c r="Q296" s="78">
        <f t="shared" si="108"/>
        <v>-5819261.9359901287</v>
      </c>
      <c r="R296" s="78">
        <f t="shared" si="108"/>
        <v>-3609982.5877185017</v>
      </c>
    </row>
    <row r="297" spans="1:18" s="33" customFormat="1" x14ac:dyDescent="0.15">
      <c r="A297" s="78"/>
      <c r="B297" s="78"/>
      <c r="C297" s="78"/>
      <c r="D297" s="79"/>
      <c r="E297" s="79"/>
      <c r="F297" s="79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</row>
    <row r="298" spans="1:18" s="50" customFormat="1" ht="18.75" customHeight="1" x14ac:dyDescent="0.2">
      <c r="A298" s="107" t="s">
        <v>198</v>
      </c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</row>
    <row r="299" spans="1:18" s="33" customFormat="1" outlineLevel="1" x14ac:dyDescent="0.15">
      <c r="A299" s="78"/>
      <c r="B299" s="78"/>
      <c r="C299" s="78"/>
      <c r="D299" s="79"/>
      <c r="E299" s="79"/>
      <c r="F299" s="79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</row>
    <row r="300" spans="1:18" s="33" customFormat="1" outlineLevel="1" x14ac:dyDescent="0.15">
      <c r="A300" s="37" t="s">
        <v>199</v>
      </c>
      <c r="B300" s="78"/>
      <c r="C300" s="78"/>
      <c r="D300" s="79"/>
      <c r="E300" s="79"/>
      <c r="F300" s="79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</row>
    <row r="301" spans="1:18" s="33" customFormat="1" outlineLevel="1" x14ac:dyDescent="0.15">
      <c r="A301" s="78" t="s">
        <v>22</v>
      </c>
      <c r="B301" s="78"/>
      <c r="C301" s="78"/>
      <c r="D301" s="79" t="s">
        <v>173</v>
      </c>
      <c r="E301" s="150">
        <f t="shared" ref="E301" si="109">IFERROR(AVERAGE(G301:R301),"na")</f>
        <v>156951633.65656474</v>
      </c>
      <c r="F301" s="150">
        <f>SUM(G301:R301)</f>
        <v>1883419603.8787768</v>
      </c>
      <c r="G301" s="78">
        <f>G283</f>
        <v>515454897.07061404</v>
      </c>
      <c r="H301" s="78">
        <f t="shared" ref="H301:R301" si="110">H283</f>
        <v>193924164.43349355</v>
      </c>
      <c r="I301" s="78">
        <f t="shared" si="110"/>
        <v>59320388.876159221</v>
      </c>
      <c r="J301" s="78">
        <f t="shared" si="110"/>
        <v>-100349445.11110584</v>
      </c>
      <c r="K301" s="78">
        <f t="shared" si="110"/>
        <v>299294038.72660059</v>
      </c>
      <c r="L301" s="78">
        <f t="shared" si="110"/>
        <v>228755808.44529432</v>
      </c>
      <c r="M301" s="78">
        <f t="shared" si="110"/>
        <v>168367639.45708048</v>
      </c>
      <c r="N301" s="78">
        <f t="shared" si="110"/>
        <v>211304781.20365518</v>
      </c>
      <c r="O301" s="78">
        <f t="shared" si="110"/>
        <v>155274585.34866074</v>
      </c>
      <c r="P301" s="78">
        <f t="shared" si="110"/>
        <v>128973621.0084753</v>
      </c>
      <c r="Q301" s="78">
        <f t="shared" si="110"/>
        <v>19517115.921028174</v>
      </c>
      <c r="R301" s="78">
        <f t="shared" si="110"/>
        <v>3582008.4988208138</v>
      </c>
    </row>
    <row r="302" spans="1:18" s="33" customFormat="1" outlineLevel="1" x14ac:dyDescent="0.15">
      <c r="A302" s="78" t="s">
        <v>200</v>
      </c>
      <c r="B302" s="78"/>
      <c r="C302" s="78"/>
      <c r="D302" s="79"/>
      <c r="E302" s="79"/>
      <c r="F302" s="79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</row>
    <row r="303" spans="1:18" s="33" customFormat="1" outlineLevel="1" x14ac:dyDescent="0.15">
      <c r="A303" s="78" t="s">
        <v>201</v>
      </c>
      <c r="B303" s="78" t="s">
        <v>184</v>
      </c>
      <c r="C303" s="78"/>
      <c r="D303" s="79" t="s">
        <v>173</v>
      </c>
      <c r="E303" s="79" t="s">
        <v>157</v>
      </c>
      <c r="F303" s="150">
        <f>SUM(G303:R303)</f>
        <v>456421845.48646098</v>
      </c>
      <c r="G303" s="78">
        <f>G280</f>
        <v>120031171.21994813</v>
      </c>
      <c r="H303" s="78">
        <f t="shared" ref="H303:R303" si="111">H280</f>
        <v>81867333.345228747</v>
      </c>
      <c r="I303" s="78">
        <f t="shared" si="111"/>
        <v>67679582.518582076</v>
      </c>
      <c r="J303" s="78">
        <f t="shared" si="111"/>
        <v>34868315.739218935</v>
      </c>
      <c r="K303" s="78">
        <f t="shared" si="111"/>
        <v>20790652.053434737</v>
      </c>
      <c r="L303" s="78">
        <f t="shared" si="111"/>
        <v>20299757.198352881</v>
      </c>
      <c r="M303" s="78">
        <f t="shared" si="111"/>
        <v>19736255.156452134</v>
      </c>
      <c r="N303" s="78">
        <f t="shared" si="111"/>
        <v>19437875.201488581</v>
      </c>
      <c r="O303" s="78">
        <f t="shared" si="111"/>
        <v>20096353.251836631</v>
      </c>
      <c r="P303" s="78">
        <f t="shared" si="111"/>
        <v>22980345.030696809</v>
      </c>
      <c r="Q303" s="78">
        <f t="shared" si="111"/>
        <v>24573789.639543094</v>
      </c>
      <c r="R303" s="78">
        <f t="shared" si="111"/>
        <v>4060415.1316782045</v>
      </c>
    </row>
    <row r="304" spans="1:18" s="33" customFormat="1" outlineLevel="1" x14ac:dyDescent="0.15">
      <c r="A304" s="78" t="s">
        <v>202</v>
      </c>
      <c r="B304" s="78" t="s">
        <v>203</v>
      </c>
      <c r="C304" s="78"/>
      <c r="D304" s="79" t="s">
        <v>173</v>
      </c>
      <c r="E304" s="150">
        <f t="shared" ref="E304:E308" si="112">IFERROR(AVERAGE(G304:R304),"na")</f>
        <v>-28753333.333333332</v>
      </c>
      <c r="F304" s="150">
        <f t="shared" ref="F304:F308" si="113">SUM(G304:R304)</f>
        <v>-345040000</v>
      </c>
      <c r="G304" s="78">
        <f>-G278</f>
        <v>-46608808.160343595</v>
      </c>
      <c r="H304" s="78">
        <f t="shared" ref="H304:R304" si="114">-H278</f>
        <v>-43324603.614889041</v>
      </c>
      <c r="I304" s="78">
        <f t="shared" si="114"/>
        <v>-41666080.887616321</v>
      </c>
      <c r="J304" s="78">
        <f t="shared" si="114"/>
        <v>-14277946.939871155</v>
      </c>
      <c r="K304" s="78">
        <f t="shared" si="114"/>
        <v>-26738526.306370795</v>
      </c>
      <c r="L304" s="78">
        <f t="shared" si="114"/>
        <v>-27949545.454545453</v>
      </c>
      <c r="M304" s="78">
        <f t="shared" si="114"/>
        <v>-26716477.272727273</v>
      </c>
      <c r="N304" s="78">
        <f t="shared" si="114"/>
        <v>-25894431.81818182</v>
      </c>
      <c r="O304" s="78">
        <f t="shared" si="114"/>
        <v>-26305454.545454547</v>
      </c>
      <c r="P304" s="78">
        <f t="shared" si="114"/>
        <v>-29388125</v>
      </c>
      <c r="Q304" s="78">
        <f t="shared" si="114"/>
        <v>-30826704.545454547</v>
      </c>
      <c r="R304" s="78">
        <f t="shared" si="114"/>
        <v>-5343295.4545454551</v>
      </c>
    </row>
    <row r="305" spans="1:18" s="33" customFormat="1" outlineLevel="1" x14ac:dyDescent="0.15">
      <c r="A305" s="78" t="s">
        <v>202</v>
      </c>
      <c r="B305" s="78" t="s">
        <v>141</v>
      </c>
      <c r="C305" s="78"/>
      <c r="D305" s="79" t="s">
        <v>173</v>
      </c>
      <c r="E305" s="150">
        <f t="shared" si="112"/>
        <v>31390326.731312949</v>
      </c>
      <c r="F305" s="150">
        <f t="shared" si="113"/>
        <v>376683920.77575541</v>
      </c>
      <c r="G305" s="78">
        <f>G283*$E$286</f>
        <v>103090979.41412282</v>
      </c>
      <c r="H305" s="78">
        <f t="shared" ref="H305:R305" si="115">H283*$E$286</f>
        <v>38784832.886698715</v>
      </c>
      <c r="I305" s="78">
        <f t="shared" si="115"/>
        <v>11864077.775231846</v>
      </c>
      <c r="J305" s="78">
        <f t="shared" si="115"/>
        <v>-20069889.02222117</v>
      </c>
      <c r="K305" s="78">
        <f t="shared" si="115"/>
        <v>59858807.745320119</v>
      </c>
      <c r="L305" s="78">
        <f t="shared" si="115"/>
        <v>45751161.68905887</v>
      </c>
      <c r="M305" s="78">
        <f t="shared" si="115"/>
        <v>33673527.891416095</v>
      </c>
      <c r="N305" s="78">
        <f t="shared" si="115"/>
        <v>42260956.240731038</v>
      </c>
      <c r="O305" s="78">
        <f t="shared" si="115"/>
        <v>31054917.069732148</v>
      </c>
      <c r="P305" s="78">
        <f t="shared" si="115"/>
        <v>25794724.201695062</v>
      </c>
      <c r="Q305" s="78">
        <f t="shared" si="115"/>
        <v>3903423.184205635</v>
      </c>
      <c r="R305" s="78">
        <f t="shared" si="115"/>
        <v>716401.69976416277</v>
      </c>
    </row>
    <row r="306" spans="1:18" s="33" customFormat="1" outlineLevel="1" x14ac:dyDescent="0.15">
      <c r="A306" s="78" t="s">
        <v>202</v>
      </c>
      <c r="B306" s="78" t="s">
        <v>204</v>
      </c>
      <c r="C306" s="78"/>
      <c r="D306" s="79" t="s">
        <v>173</v>
      </c>
      <c r="E306" s="150">
        <f t="shared" si="112"/>
        <v>-1063077.6527423931</v>
      </c>
      <c r="F306" s="150">
        <f t="shared" si="113"/>
        <v>-12756931.832908716</v>
      </c>
      <c r="G306" s="78">
        <f>-G296</f>
        <v>-65148658.375390686</v>
      </c>
      <c r="H306" s="78">
        <f t="shared" ref="H306:R306" si="116">-H296</f>
        <v>21251439.610974565</v>
      </c>
      <c r="I306" s="78">
        <f t="shared" si="116"/>
        <v>8791108.5579814762</v>
      </c>
      <c r="J306" s="78">
        <f t="shared" si="116"/>
        <v>14358762.052289881</v>
      </c>
      <c r="K306" s="78">
        <f t="shared" si="116"/>
        <v>-11315184.332298018</v>
      </c>
      <c r="L306" s="78">
        <f t="shared" si="116"/>
        <v>4646763.5494903512</v>
      </c>
      <c r="M306" s="78">
        <f t="shared" si="116"/>
        <v>3417858.0329278447</v>
      </c>
      <c r="N306" s="78">
        <f t="shared" si="116"/>
        <v>-2284345.6110931039</v>
      </c>
      <c r="O306" s="78">
        <f t="shared" si="116"/>
        <v>3008055.1237978749</v>
      </c>
      <c r="P306" s="78">
        <f t="shared" si="116"/>
        <v>1088025.0347024668</v>
      </c>
      <c r="Q306" s="78">
        <f t="shared" si="116"/>
        <v>5819261.9359901287</v>
      </c>
      <c r="R306" s="78">
        <f t="shared" si="116"/>
        <v>3609982.5877185017</v>
      </c>
    </row>
    <row r="307" spans="1:18" s="33" customFormat="1" outlineLevel="1" x14ac:dyDescent="0.15">
      <c r="A307" s="78" t="s">
        <v>202</v>
      </c>
      <c r="B307" s="78" t="s">
        <v>134</v>
      </c>
      <c r="C307" s="78"/>
      <c r="D307" s="79" t="s">
        <v>173</v>
      </c>
      <c r="E307" s="150">
        <f t="shared" si="112"/>
        <v>-416666.66666666669</v>
      </c>
      <c r="F307" s="150">
        <f t="shared" si="113"/>
        <v>-5000000</v>
      </c>
      <c r="G307" s="78">
        <f>IF(G2=MAX(G2:R2),-$F$127,0)</f>
        <v>0</v>
      </c>
      <c r="H307" s="78">
        <f t="shared" ref="H307:R307" si="117">IF(H2=MAX(H2:S2),-$F$127,0)</f>
        <v>0</v>
      </c>
      <c r="I307" s="78">
        <f t="shared" si="117"/>
        <v>0</v>
      </c>
      <c r="J307" s="78">
        <f t="shared" si="117"/>
        <v>0</v>
      </c>
      <c r="K307" s="78">
        <f t="shared" si="117"/>
        <v>0</v>
      </c>
      <c r="L307" s="78">
        <f t="shared" si="117"/>
        <v>0</v>
      </c>
      <c r="M307" s="78">
        <f t="shared" si="117"/>
        <v>0</v>
      </c>
      <c r="N307" s="78">
        <f t="shared" si="117"/>
        <v>0</v>
      </c>
      <c r="O307" s="78">
        <f t="shared" si="117"/>
        <v>0</v>
      </c>
      <c r="P307" s="78">
        <f t="shared" si="117"/>
        <v>0</v>
      </c>
      <c r="Q307" s="78">
        <f t="shared" si="117"/>
        <v>0</v>
      </c>
      <c r="R307" s="78">
        <f t="shared" si="117"/>
        <v>-5000000</v>
      </c>
    </row>
    <row r="308" spans="1:18" s="33" customFormat="1" outlineLevel="1" x14ac:dyDescent="0.15">
      <c r="A308" s="165"/>
      <c r="B308" s="165" t="s">
        <v>205</v>
      </c>
      <c r="C308" s="165"/>
      <c r="D308" s="166" t="s">
        <v>173</v>
      </c>
      <c r="E308" s="155">
        <f t="shared" si="112"/>
        <v>39192402.869108967</v>
      </c>
      <c r="F308" s="155">
        <f t="shared" si="113"/>
        <v>470308834.42930758</v>
      </c>
      <c r="G308" s="165">
        <f>SUM(G303:G307)</f>
        <v>111364684.09833667</v>
      </c>
      <c r="H308" s="165">
        <f t="shared" ref="H308:R308" si="118">SUM(H303:H307)</f>
        <v>98579002.228012994</v>
      </c>
      <c r="I308" s="165">
        <f t="shared" si="118"/>
        <v>46668687.964179076</v>
      </c>
      <c r="J308" s="165">
        <f t="shared" si="118"/>
        <v>14879241.829416491</v>
      </c>
      <c r="K308" s="165">
        <f t="shared" si="118"/>
        <v>42595749.160086043</v>
      </c>
      <c r="L308" s="165">
        <f t="shared" si="118"/>
        <v>42748136.982356653</v>
      </c>
      <c r="M308" s="165">
        <f t="shared" si="118"/>
        <v>30111163.808068801</v>
      </c>
      <c r="N308" s="165">
        <f t="shared" si="118"/>
        <v>33520054.012944698</v>
      </c>
      <c r="O308" s="165">
        <f t="shared" si="118"/>
        <v>27853870.899912108</v>
      </c>
      <c r="P308" s="165">
        <f t="shared" si="118"/>
        <v>20474969.267094336</v>
      </c>
      <c r="Q308" s="165">
        <f t="shared" si="118"/>
        <v>3469770.2142843106</v>
      </c>
      <c r="R308" s="165">
        <f t="shared" si="118"/>
        <v>-1956496.0353845861</v>
      </c>
    </row>
    <row r="309" spans="1:18" s="33" customFormat="1" outlineLevel="1" x14ac:dyDescent="0.15">
      <c r="A309" s="78"/>
      <c r="B309" s="78"/>
      <c r="C309" s="78"/>
      <c r="D309" s="79"/>
      <c r="E309" s="79"/>
      <c r="F309" s="79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</row>
    <row r="310" spans="1:18" s="33" customFormat="1" outlineLevel="1" x14ac:dyDescent="0.15">
      <c r="A310" s="37" t="s">
        <v>199</v>
      </c>
      <c r="B310" s="78"/>
      <c r="C310" s="78"/>
      <c r="D310" s="79"/>
      <c r="E310" s="150">
        <f t="shared" ref="E310" si="119">IFERROR(AVERAGE(G310:R310),"na")</f>
        <v>196144036.52567366</v>
      </c>
      <c r="F310" s="150">
        <f>SUM(G310:R310)</f>
        <v>2353728438.308084</v>
      </c>
      <c r="G310" s="37">
        <f>G301+G308</f>
        <v>626819581.16895068</v>
      </c>
      <c r="H310" s="37">
        <f t="shared" ref="H310:R310" si="120">H301+H308</f>
        <v>292503166.66150653</v>
      </c>
      <c r="I310" s="37">
        <f t="shared" si="120"/>
        <v>105989076.84033829</v>
      </c>
      <c r="J310" s="37">
        <f t="shared" si="120"/>
        <v>-85470203.281689346</v>
      </c>
      <c r="K310" s="37">
        <f t="shared" si="120"/>
        <v>341889787.88668662</v>
      </c>
      <c r="L310" s="37">
        <f t="shared" si="120"/>
        <v>271503945.42765099</v>
      </c>
      <c r="M310" s="37">
        <f t="shared" si="120"/>
        <v>198478803.2651493</v>
      </c>
      <c r="N310" s="37">
        <f t="shared" si="120"/>
        <v>244824835.21659988</v>
      </c>
      <c r="O310" s="37">
        <f t="shared" si="120"/>
        <v>183128456.24857286</v>
      </c>
      <c r="P310" s="37">
        <f t="shared" si="120"/>
        <v>149448590.27556965</v>
      </c>
      <c r="Q310" s="37">
        <f t="shared" si="120"/>
        <v>22986886.135312486</v>
      </c>
      <c r="R310" s="37">
        <f t="shared" si="120"/>
        <v>1625512.4634362278</v>
      </c>
    </row>
    <row r="311" spans="1:18" s="33" customFormat="1" outlineLevel="1" x14ac:dyDescent="0.15">
      <c r="A311" s="78"/>
      <c r="B311" s="78"/>
      <c r="C311" s="78"/>
      <c r="D311" s="79"/>
      <c r="E311" s="79"/>
      <c r="F311" s="79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</row>
    <row r="312" spans="1:18" s="33" customFormat="1" outlineLevel="1" x14ac:dyDescent="0.15">
      <c r="A312" s="78" t="s">
        <v>206</v>
      </c>
      <c r="B312" s="78"/>
      <c r="C312" s="78"/>
      <c r="D312" s="94">
        <f>F146</f>
        <v>0.15048341800000001</v>
      </c>
      <c r="E312" s="163" t="s">
        <v>157</v>
      </c>
      <c r="F312" s="163" t="s">
        <v>157</v>
      </c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</row>
    <row r="313" spans="1:18" s="33" customFormat="1" outlineLevel="1" x14ac:dyDescent="0.15">
      <c r="A313" s="78"/>
      <c r="B313" s="78"/>
      <c r="C313" s="78"/>
      <c r="D313" s="79"/>
      <c r="E313" s="79"/>
      <c r="F313" s="79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</row>
    <row r="314" spans="1:18" s="33" customFormat="1" outlineLevel="1" x14ac:dyDescent="0.15">
      <c r="A314" s="37" t="s">
        <v>207</v>
      </c>
      <c r="B314" s="37"/>
      <c r="C314" s="37"/>
      <c r="D314" s="79" t="s">
        <v>173</v>
      </c>
      <c r="E314" s="3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</row>
    <row r="315" spans="1:18" s="33" customFormat="1" outlineLevel="1" x14ac:dyDescent="0.15">
      <c r="A315" s="113" t="s">
        <v>208</v>
      </c>
      <c r="B315" s="174"/>
      <c r="C315" s="175"/>
      <c r="D315" s="79"/>
      <c r="E315" s="108">
        <f>XNPV(D312,G315:R315,G1:R1)</f>
        <v>1519922916.8318601</v>
      </c>
      <c r="F315" s="37">
        <v>0</v>
      </c>
      <c r="G315" s="37">
        <f>G310</f>
        <v>626819581.16895068</v>
      </c>
      <c r="H315" s="37">
        <f t="shared" ref="H315:R315" si="121">H310</f>
        <v>292503166.66150653</v>
      </c>
      <c r="I315" s="37">
        <f t="shared" si="121"/>
        <v>105989076.84033829</v>
      </c>
      <c r="J315" s="37">
        <f t="shared" si="121"/>
        <v>-85470203.281689346</v>
      </c>
      <c r="K315" s="37">
        <f t="shared" si="121"/>
        <v>341889787.88668662</v>
      </c>
      <c r="L315" s="37">
        <f t="shared" si="121"/>
        <v>271503945.42765099</v>
      </c>
      <c r="M315" s="37">
        <f t="shared" si="121"/>
        <v>198478803.2651493</v>
      </c>
      <c r="N315" s="37">
        <f t="shared" si="121"/>
        <v>244824835.21659988</v>
      </c>
      <c r="O315" s="37">
        <f t="shared" si="121"/>
        <v>183128456.24857286</v>
      </c>
      <c r="P315" s="37">
        <f t="shared" si="121"/>
        <v>149448590.27556965</v>
      </c>
      <c r="Q315" s="37">
        <f t="shared" si="121"/>
        <v>22986886.135312486</v>
      </c>
      <c r="R315" s="37">
        <f t="shared" si="121"/>
        <v>1625512.4634362278</v>
      </c>
    </row>
    <row r="316" spans="1:18" s="33" customFormat="1" outlineLevel="1" x14ac:dyDescent="0.15">
      <c r="A316" s="78" t="s">
        <v>209</v>
      </c>
      <c r="B316" s="78"/>
      <c r="C316" s="79"/>
      <c r="D316" s="79"/>
      <c r="E316" s="45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</row>
    <row r="317" spans="1:18" s="33" customFormat="1" outlineLevel="1" x14ac:dyDescent="0.15">
      <c r="A317" s="78"/>
      <c r="B317" s="78"/>
      <c r="C317" s="79"/>
      <c r="D317" s="79"/>
      <c r="E317" s="3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</row>
    <row r="318" spans="1:18" s="33" customFormat="1" outlineLevel="1" x14ac:dyDescent="0.15">
      <c r="A318" s="78" t="s">
        <v>210</v>
      </c>
      <c r="B318" s="78"/>
      <c r="C318" s="176" t="s">
        <v>211</v>
      </c>
      <c r="D318" s="79"/>
      <c r="E318" s="37"/>
      <c r="F318" s="37"/>
      <c r="G318" s="37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</row>
    <row r="319" spans="1:18" s="33" customFormat="1" outlineLevel="1" x14ac:dyDescent="0.15">
      <c r="A319" s="78"/>
      <c r="B319" s="78"/>
      <c r="C319" s="176" t="s">
        <v>212</v>
      </c>
      <c r="D319" s="79"/>
      <c r="E319" s="44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</row>
    <row r="320" spans="1:18" s="33" customFormat="1" outlineLevel="1" x14ac:dyDescent="0.15">
      <c r="A320" s="165" t="s">
        <v>213</v>
      </c>
      <c r="B320" s="165"/>
      <c r="C320" s="177" t="s">
        <v>214</v>
      </c>
      <c r="D320" s="166"/>
      <c r="E320" s="11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</row>
    <row r="321" spans="1:18" s="33" customFormat="1" outlineLevel="1" x14ac:dyDescent="0.15">
      <c r="A321" s="78"/>
      <c r="B321" s="78"/>
      <c r="C321" s="78"/>
      <c r="D321" s="79"/>
      <c r="E321" s="79"/>
      <c r="F321" s="3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</row>
    <row r="322" spans="1:18" s="33" customFormat="1" outlineLevel="1" x14ac:dyDescent="0.15">
      <c r="A322" s="37" t="s">
        <v>215</v>
      </c>
      <c r="B322" s="78"/>
      <c r="C322" s="78"/>
      <c r="D322" s="79"/>
      <c r="E322" s="79"/>
      <c r="F322" s="79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</row>
    <row r="323" spans="1:18" s="33" customFormat="1" outlineLevel="1" x14ac:dyDescent="0.15">
      <c r="A323" s="78"/>
      <c r="B323" s="78" t="s">
        <v>211</v>
      </c>
      <c r="C323" s="78"/>
      <c r="D323" s="79"/>
      <c r="E323" s="79"/>
      <c r="F323" s="79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</row>
    <row r="324" spans="1:18" s="33" customFormat="1" outlineLevel="1" x14ac:dyDescent="0.15">
      <c r="A324" s="78"/>
      <c r="B324" s="78" t="s">
        <v>216</v>
      </c>
      <c r="C324" s="78"/>
      <c r="D324" s="79"/>
      <c r="E324" s="79"/>
      <c r="F324" s="79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</row>
    <row r="325" spans="1:18" s="33" customFormat="1" outlineLevel="1" x14ac:dyDescent="0.15">
      <c r="A325" s="165"/>
      <c r="B325" s="165" t="s">
        <v>64</v>
      </c>
      <c r="C325" s="165"/>
      <c r="D325" s="166"/>
      <c r="E325" s="166"/>
      <c r="F325" s="166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</row>
    <row r="326" spans="1:18" s="33" customFormat="1" outlineLevel="1" x14ac:dyDescent="0.15">
      <c r="A326" s="78"/>
      <c r="B326" s="78"/>
      <c r="C326" s="78"/>
      <c r="D326" s="79"/>
      <c r="E326" s="79"/>
      <c r="F326" s="79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</row>
    <row r="327" spans="1:18" s="33" customFormat="1" outlineLevel="1" x14ac:dyDescent="0.15">
      <c r="A327" s="78"/>
      <c r="B327" s="78" t="s">
        <v>217</v>
      </c>
      <c r="C327" s="78"/>
      <c r="D327" s="79"/>
      <c r="E327" s="79"/>
      <c r="F327" s="79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</row>
    <row r="328" spans="1:18" s="33" customFormat="1" outlineLevel="1" x14ac:dyDescent="0.15">
      <c r="A328" s="78"/>
      <c r="B328" s="78" t="s">
        <v>218</v>
      </c>
      <c r="C328" s="78"/>
      <c r="D328" s="79"/>
      <c r="E328" s="111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</row>
    <row r="329" spans="1:18" s="33" customFormat="1" outlineLevel="1" x14ac:dyDescent="0.15">
      <c r="A329" s="78"/>
      <c r="B329" s="78"/>
      <c r="C329" s="78"/>
      <c r="D329" s="79"/>
      <c r="E329" s="79"/>
      <c r="F329" s="79"/>
      <c r="G329" s="78"/>
      <c r="H329" s="78"/>
      <c r="I329" s="178"/>
      <c r="J329" s="178"/>
      <c r="K329" s="78"/>
      <c r="L329" s="78"/>
      <c r="M329" s="78"/>
      <c r="N329" s="78"/>
      <c r="O329" s="78"/>
      <c r="P329" s="78"/>
      <c r="Q329" s="78"/>
      <c r="R329" s="78"/>
    </row>
    <row r="330" spans="1:18" s="33" customFormat="1" outlineLevel="1" x14ac:dyDescent="0.15">
      <c r="A330" s="37" t="s">
        <v>12</v>
      </c>
      <c r="B330" s="78"/>
      <c r="C330" s="78"/>
      <c r="D330" s="79"/>
      <c r="E330" s="79"/>
      <c r="F330" s="79"/>
      <c r="G330" s="78"/>
      <c r="H330" s="78"/>
      <c r="I330" s="178"/>
      <c r="J330" s="178"/>
      <c r="K330" s="78"/>
      <c r="L330" s="78"/>
      <c r="M330" s="78"/>
      <c r="N330" s="78"/>
      <c r="O330" s="78"/>
      <c r="P330" s="78"/>
      <c r="Q330" s="78"/>
      <c r="R330" s="78"/>
    </row>
    <row r="331" spans="1:18" s="33" customFormat="1" outlineLevel="1" x14ac:dyDescent="0.15">
      <c r="A331" s="78" t="s">
        <v>219</v>
      </c>
      <c r="B331" s="78"/>
      <c r="C331" s="78"/>
      <c r="D331" s="79"/>
      <c r="E331" s="79">
        <f>E315</f>
        <v>1519922916.8318601</v>
      </c>
      <c r="F331" s="79"/>
      <c r="G331" s="78"/>
      <c r="H331" s="78"/>
      <c r="I331" s="178"/>
      <c r="J331" s="178"/>
      <c r="K331" s="78"/>
      <c r="L331" s="78"/>
      <c r="M331" s="78"/>
      <c r="N331" s="78"/>
      <c r="O331" s="78"/>
      <c r="P331" s="78"/>
      <c r="Q331" s="78"/>
      <c r="R331" s="78"/>
    </row>
    <row r="332" spans="1:18" s="33" customFormat="1" outlineLevel="1" x14ac:dyDescent="0.15">
      <c r="A332" s="78" t="s">
        <v>220</v>
      </c>
      <c r="B332" s="78"/>
      <c r="C332" s="78"/>
      <c r="D332" s="79"/>
      <c r="E332" s="136">
        <v>199700000</v>
      </c>
      <c r="F332" s="79"/>
      <c r="G332" s="78"/>
      <c r="H332" s="78"/>
      <c r="I332" s="178"/>
      <c r="J332" s="178"/>
      <c r="K332" s="78"/>
      <c r="L332" s="78"/>
      <c r="M332" s="78"/>
      <c r="N332" s="78"/>
      <c r="O332" s="78"/>
      <c r="P332" s="78"/>
      <c r="Q332" s="78"/>
      <c r="R332" s="78"/>
    </row>
    <row r="333" spans="1:18" s="33" customFormat="1" outlineLevel="1" x14ac:dyDescent="0.15">
      <c r="A333" s="78" t="s">
        <v>221</v>
      </c>
      <c r="B333" s="78"/>
      <c r="C333" s="78"/>
      <c r="D333" s="79"/>
      <c r="E333" s="136">
        <v>536900000</v>
      </c>
      <c r="F333" s="79"/>
      <c r="G333" s="78"/>
      <c r="H333" s="78"/>
      <c r="I333" s="178"/>
      <c r="J333" s="178"/>
      <c r="K333" s="78"/>
      <c r="L333" s="78"/>
      <c r="M333" s="78"/>
      <c r="N333" s="78"/>
      <c r="O333" s="78"/>
      <c r="P333" s="78"/>
      <c r="Q333" s="78"/>
      <c r="R333" s="78"/>
    </row>
    <row r="334" spans="1:18" s="33" customFormat="1" outlineLevel="1" x14ac:dyDescent="0.15">
      <c r="A334" s="78" t="s">
        <v>222</v>
      </c>
      <c r="B334" s="78"/>
      <c r="C334" s="78"/>
      <c r="D334" s="79"/>
      <c r="E334" s="136">
        <v>3200000</v>
      </c>
      <c r="F334" s="79"/>
      <c r="G334" s="78"/>
      <c r="H334" s="78"/>
      <c r="I334" s="178"/>
      <c r="J334" s="178"/>
      <c r="K334" s="78"/>
      <c r="L334" s="78"/>
      <c r="M334" s="78"/>
      <c r="N334" s="78"/>
      <c r="O334" s="78"/>
      <c r="P334" s="78"/>
      <c r="Q334" s="78"/>
      <c r="R334" s="78"/>
    </row>
    <row r="335" spans="1:18" s="33" customFormat="1" outlineLevel="1" x14ac:dyDescent="0.15">
      <c r="A335" s="37" t="s">
        <v>223</v>
      </c>
      <c r="B335" s="78"/>
      <c r="C335" s="78"/>
      <c r="D335" s="79"/>
      <c r="E335" s="109">
        <f>SUM(E331:E333)-E334</f>
        <v>2253322916.8318601</v>
      </c>
      <c r="F335" s="79"/>
      <c r="G335" s="78"/>
      <c r="H335" s="78"/>
      <c r="I335" s="178"/>
      <c r="J335" s="178"/>
      <c r="K335" s="78"/>
      <c r="L335" s="78"/>
      <c r="M335" s="78"/>
      <c r="N335" s="78"/>
      <c r="O335" s="78"/>
      <c r="P335" s="78"/>
      <c r="Q335" s="78"/>
      <c r="R335" s="78"/>
    </row>
    <row r="336" spans="1:18" s="33" customFormat="1" outlineLevel="1" x14ac:dyDescent="0.15">
      <c r="A336" s="37"/>
      <c r="B336" s="78"/>
      <c r="C336" s="78"/>
      <c r="D336" s="79"/>
      <c r="E336" s="79"/>
      <c r="F336" s="79"/>
      <c r="G336" s="78"/>
      <c r="H336" s="78"/>
      <c r="I336" s="178"/>
      <c r="J336" s="178"/>
      <c r="K336" s="78"/>
      <c r="L336" s="78"/>
      <c r="M336" s="78"/>
      <c r="N336" s="78"/>
      <c r="O336" s="78"/>
      <c r="P336" s="78"/>
      <c r="Q336" s="78"/>
      <c r="R336" s="78"/>
    </row>
    <row r="337" spans="1:18" s="33" customFormat="1" outlineLevel="1" x14ac:dyDescent="0.15">
      <c r="A337" s="78" t="s">
        <v>224</v>
      </c>
      <c r="B337" s="78"/>
      <c r="C337" s="78"/>
      <c r="D337" s="79"/>
      <c r="E337" s="79">
        <v>1376200000</v>
      </c>
      <c r="F337" s="79"/>
      <c r="G337" s="78"/>
      <c r="H337" s="78"/>
      <c r="I337" s="178"/>
      <c r="J337" s="178"/>
      <c r="K337" s="78"/>
      <c r="L337" s="78"/>
      <c r="M337" s="78"/>
      <c r="N337" s="78"/>
      <c r="O337" s="78"/>
      <c r="P337" s="78"/>
      <c r="Q337" s="78"/>
      <c r="R337" s="78"/>
    </row>
    <row r="338" spans="1:18" s="33" customFormat="1" outlineLevel="1" x14ac:dyDescent="0.15">
      <c r="A338" s="78" t="s">
        <v>225</v>
      </c>
      <c r="B338" s="78"/>
      <c r="C338" s="78"/>
      <c r="D338" s="79"/>
      <c r="E338" s="179">
        <f>E335/E337</f>
        <v>1.6373513419792618</v>
      </c>
      <c r="F338" s="79"/>
      <c r="G338" s="78"/>
      <c r="H338" s="78"/>
      <c r="I338" s="178"/>
      <c r="J338" s="178"/>
      <c r="K338" s="78"/>
      <c r="L338" s="78"/>
      <c r="M338" s="78"/>
      <c r="N338" s="78"/>
      <c r="O338" s="78"/>
      <c r="P338" s="78"/>
      <c r="Q338" s="78"/>
      <c r="R338" s="78"/>
    </row>
    <row r="339" spans="1:18" s="33" customFormat="1" outlineLevel="1" x14ac:dyDescent="0.15">
      <c r="A339" s="37"/>
      <c r="B339" s="78"/>
      <c r="C339" s="78"/>
      <c r="D339" s="79"/>
      <c r="E339" s="79"/>
      <c r="F339" s="79"/>
      <c r="G339" s="78"/>
      <c r="H339" s="78"/>
      <c r="I339" s="178"/>
      <c r="J339" s="178"/>
      <c r="K339" s="78"/>
      <c r="L339" s="78"/>
      <c r="M339" s="78"/>
      <c r="N339" s="78"/>
      <c r="O339" s="78"/>
      <c r="P339" s="78"/>
      <c r="Q339" s="78"/>
      <c r="R339" s="78"/>
    </row>
    <row r="340" spans="1:18" s="33" customFormat="1" outlineLevel="1" x14ac:dyDescent="0.15">
      <c r="A340" s="37" t="s">
        <v>15</v>
      </c>
      <c r="B340" s="78"/>
      <c r="C340" s="78"/>
      <c r="D340" s="79"/>
      <c r="E340" s="179">
        <f>$F$148</f>
        <v>1.87</v>
      </c>
      <c r="F340" s="79"/>
      <c r="G340" s="78"/>
      <c r="H340" s="78"/>
      <c r="I340" s="178"/>
      <c r="J340" s="178"/>
      <c r="K340" s="78"/>
      <c r="L340" s="78"/>
      <c r="M340" s="78"/>
      <c r="N340" s="78"/>
      <c r="O340" s="78"/>
      <c r="P340" s="78"/>
      <c r="Q340" s="78"/>
      <c r="R340" s="78"/>
    </row>
    <row r="341" spans="1:18" s="33" customFormat="1" outlineLevel="1" x14ac:dyDescent="0.15">
      <c r="A341" s="37" t="s">
        <v>56</v>
      </c>
      <c r="B341" s="78"/>
      <c r="C341" s="78"/>
      <c r="D341" s="79"/>
      <c r="E341" s="110">
        <f>E340/E338</f>
        <v>1.1420884156356499</v>
      </c>
      <c r="F341" s="79"/>
      <c r="G341" s="78"/>
      <c r="H341" s="78"/>
      <c r="I341" s="178"/>
      <c r="J341" s="178"/>
      <c r="K341" s="78"/>
      <c r="L341" s="78"/>
      <c r="M341" s="78"/>
      <c r="N341" s="78"/>
      <c r="O341" s="78"/>
      <c r="P341" s="78"/>
      <c r="Q341" s="78"/>
      <c r="R341" s="78"/>
    </row>
    <row r="342" spans="1:18" s="33" customFormat="1" x14ac:dyDescent="0.15">
      <c r="A342" s="78"/>
      <c r="B342" s="78"/>
      <c r="C342" s="78"/>
      <c r="D342" s="79"/>
      <c r="E342" s="79"/>
      <c r="F342" s="79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</row>
    <row r="343" spans="1:18" s="50" customFormat="1" ht="18.75" customHeight="1" x14ac:dyDescent="0.2">
      <c r="A343" s="107" t="s">
        <v>226</v>
      </c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</row>
    <row r="344" spans="1:18" ht="16.5" customHeight="1" outlineLevel="1" x14ac:dyDescent="0.15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</row>
    <row r="345" spans="1:18" outlineLevel="1" x14ac:dyDescent="0.15">
      <c r="A345" s="77"/>
      <c r="B345" s="77"/>
      <c r="C345" s="77"/>
      <c r="D345" s="77"/>
      <c r="E345" s="77"/>
      <c r="F345" s="77"/>
      <c r="G345" s="77" t="s">
        <v>227</v>
      </c>
      <c r="H345" s="180"/>
      <c r="I345" s="146"/>
      <c r="J345" s="77"/>
      <c r="K345" s="77"/>
      <c r="L345" s="77"/>
      <c r="M345" s="77"/>
      <c r="N345" s="77"/>
      <c r="O345" s="77"/>
      <c r="P345" s="77"/>
      <c r="Q345" s="77"/>
      <c r="R345" s="77"/>
    </row>
    <row r="346" spans="1:18" outlineLevel="1" x14ac:dyDescent="0.15">
      <c r="A346" s="77"/>
      <c r="B346" s="77"/>
      <c r="C346" s="77"/>
      <c r="D346" s="77"/>
      <c r="E346" s="77"/>
      <c r="F346" s="77"/>
      <c r="G346" s="77" t="s">
        <v>210</v>
      </c>
      <c r="H346" s="148"/>
      <c r="I346" s="146"/>
      <c r="J346" s="77"/>
      <c r="K346" s="77"/>
      <c r="L346" s="77"/>
      <c r="M346" s="77"/>
      <c r="N346" s="77"/>
      <c r="O346" s="77"/>
      <c r="P346" s="77"/>
      <c r="Q346" s="77"/>
      <c r="R346" s="77"/>
    </row>
    <row r="347" spans="1:18" outlineLevel="1" x14ac:dyDescent="0.15">
      <c r="A347" s="77"/>
      <c r="B347" s="77"/>
      <c r="C347" s="77"/>
      <c r="D347" s="77"/>
      <c r="E347" s="77"/>
      <c r="F347" s="77"/>
      <c r="G347" s="77" t="s">
        <v>228</v>
      </c>
      <c r="H347" s="60"/>
      <c r="I347" s="13"/>
      <c r="J347" s="77"/>
      <c r="K347" s="77"/>
      <c r="L347" s="77"/>
      <c r="M347" s="77"/>
      <c r="N347" s="77"/>
      <c r="O347" s="77"/>
      <c r="P347" s="77"/>
      <c r="Q347" s="77"/>
      <c r="R347" s="77"/>
    </row>
    <row r="348" spans="1:18" outlineLevel="1" x14ac:dyDescent="0.15">
      <c r="A348" s="77"/>
      <c r="B348" s="77"/>
      <c r="C348" s="77"/>
      <c r="D348" s="77"/>
      <c r="E348" s="77"/>
      <c r="F348" s="77"/>
      <c r="G348" s="77" t="s">
        <v>229</v>
      </c>
      <c r="H348" s="181"/>
      <c r="I348" s="142"/>
      <c r="J348" s="77"/>
      <c r="K348" s="77"/>
      <c r="L348" s="77"/>
      <c r="M348" s="77"/>
      <c r="N348" s="77"/>
      <c r="O348" s="77"/>
      <c r="P348" s="77"/>
      <c r="Q348" s="77"/>
      <c r="R348" s="77"/>
    </row>
    <row r="349" spans="1:18" outlineLevel="1" x14ac:dyDescent="0.15">
      <c r="A349" s="77"/>
      <c r="B349" s="77"/>
      <c r="C349" s="77"/>
      <c r="D349" s="77"/>
      <c r="E349" s="77"/>
      <c r="F349" s="77"/>
      <c r="G349" s="77"/>
      <c r="H349" s="142"/>
      <c r="I349" s="77"/>
      <c r="J349" s="77"/>
      <c r="K349" s="77"/>
      <c r="L349" s="77"/>
      <c r="M349" s="77"/>
      <c r="N349" s="77"/>
      <c r="O349" s="77"/>
      <c r="P349" s="77"/>
      <c r="Q349" s="77"/>
      <c r="R349" s="77"/>
    </row>
    <row r="350" spans="1:18" ht="15.75" customHeight="1" outlineLevel="1" x14ac:dyDescent="0.15">
      <c r="A350" s="77"/>
      <c r="B350" s="77"/>
      <c r="C350" s="77"/>
      <c r="D350" s="77"/>
      <c r="E350" s="77"/>
      <c r="F350" s="77"/>
      <c r="G350" s="529" t="s">
        <v>300</v>
      </c>
      <c r="H350" s="529"/>
      <c r="I350" s="529"/>
      <c r="J350" s="529"/>
      <c r="K350" s="529"/>
      <c r="L350" s="529"/>
      <c r="M350" s="77"/>
      <c r="N350" s="77"/>
      <c r="O350" s="77"/>
      <c r="P350" s="77"/>
      <c r="Q350" s="77"/>
      <c r="R350" s="77"/>
    </row>
    <row r="351" spans="1:18" ht="15" customHeight="1" outlineLevel="1" x14ac:dyDescent="0.15">
      <c r="A351" s="77"/>
      <c r="B351" s="77"/>
      <c r="C351" s="77"/>
      <c r="D351" s="77"/>
      <c r="E351" s="77"/>
      <c r="F351" s="77"/>
      <c r="G351" s="46"/>
      <c r="H351" s="528" t="s">
        <v>147</v>
      </c>
      <c r="I351" s="528"/>
      <c r="J351" s="528"/>
      <c r="K351" s="528"/>
      <c r="L351" s="528"/>
      <c r="M351" s="77"/>
      <c r="N351" s="77"/>
      <c r="O351" s="77"/>
      <c r="P351" s="77"/>
      <c r="Q351" s="77"/>
      <c r="R351" s="77"/>
    </row>
    <row r="352" spans="1:18" outlineLevel="1" x14ac:dyDescent="0.15">
      <c r="G352" s="47">
        <f>E335/1000000</f>
        <v>2253.3229168318599</v>
      </c>
      <c r="H352" s="217">
        <v>0.1305</v>
      </c>
      <c r="I352" s="218">
        <f>+H352+1%</f>
        <v>0.14050000000000001</v>
      </c>
      <c r="J352" s="218">
        <f t="shared" ref="J352:L352" si="122">+I352+1%</f>
        <v>0.15050000000000002</v>
      </c>
      <c r="K352" s="218">
        <f t="shared" si="122"/>
        <v>0.16050000000000003</v>
      </c>
      <c r="L352" s="218">
        <f t="shared" si="122"/>
        <v>0.17050000000000004</v>
      </c>
    </row>
    <row r="353" spans="7:12" outlineLevel="1" x14ac:dyDescent="0.15">
      <c r="G353" s="61">
        <v>1600</v>
      </c>
      <c r="H353" s="144">
        <f t="dataTable" ref="H353:L363" dt2D="1" dtr="1" r1="F146" r2="G18"/>
        <v>1952.2478749725035</v>
      </c>
      <c r="I353" s="144">
        <v>1916.4741850081934</v>
      </c>
      <c r="J353" s="144">
        <v>1882.7977355666796</v>
      </c>
      <c r="K353" s="144">
        <v>1851.0676020009601</v>
      </c>
      <c r="L353" s="144">
        <v>1821.1453843863644</v>
      </c>
    </row>
    <row r="354" spans="7:12" outlineLevel="1" x14ac:dyDescent="0.15">
      <c r="G354" s="185">
        <f>+G353+100</f>
        <v>1700</v>
      </c>
      <c r="H354" s="146">
        <v>2026.3943680028767</v>
      </c>
      <c r="I354" s="146">
        <v>1990.5942797434907</v>
      </c>
      <c r="J354" s="146">
        <v>1956.8918909081628</v>
      </c>
      <c r="K354" s="146">
        <v>1925.1362649868677</v>
      </c>
      <c r="L354" s="146">
        <v>1895.1889905973132</v>
      </c>
    </row>
    <row r="355" spans="7:12" outlineLevel="1" x14ac:dyDescent="0.15">
      <c r="G355" s="185">
        <f t="shared" ref="G355:G363" si="123">+G354+100</f>
        <v>1800</v>
      </c>
      <c r="H355" s="146">
        <v>2100.5408610332502</v>
      </c>
      <c r="I355" s="146">
        <v>2064.7143744787882</v>
      </c>
      <c r="J355" s="146">
        <v>2030.9860462496463</v>
      </c>
      <c r="K355" s="146">
        <v>1999.2049279727757</v>
      </c>
      <c r="L355" s="146">
        <v>1969.2325968082619</v>
      </c>
    </row>
    <row r="356" spans="7:12" outlineLevel="1" x14ac:dyDescent="0.15">
      <c r="G356" s="185">
        <f t="shared" si="123"/>
        <v>1900</v>
      </c>
      <c r="H356" s="146">
        <v>2174.6873540636234</v>
      </c>
      <c r="I356" s="219">
        <v>2138.8344692140859</v>
      </c>
      <c r="J356" s="219">
        <v>2105.080201591129</v>
      </c>
      <c r="K356" s="219">
        <v>2073.2735909586831</v>
      </c>
      <c r="L356" s="146">
        <v>2043.2762030192102</v>
      </c>
    </row>
    <row r="357" spans="7:12" outlineLevel="1" x14ac:dyDescent="0.15">
      <c r="G357" s="185">
        <f t="shared" si="123"/>
        <v>2000</v>
      </c>
      <c r="H357" s="146">
        <v>2248.8338470939971</v>
      </c>
      <c r="I357" s="219">
        <v>2212.9545639493826</v>
      </c>
      <c r="J357" s="220">
        <v>2179.1743569326122</v>
      </c>
      <c r="K357" s="219">
        <v>2147.342253944591</v>
      </c>
      <c r="L357" s="146">
        <v>2117.3198092301591</v>
      </c>
    </row>
    <row r="358" spans="7:12" outlineLevel="1" x14ac:dyDescent="0.15">
      <c r="G358" s="185">
        <f t="shared" si="123"/>
        <v>2100</v>
      </c>
      <c r="H358" s="146">
        <v>2322.9803401243698</v>
      </c>
      <c r="I358" s="219">
        <v>2287.0746586846799</v>
      </c>
      <c r="J358" s="221">
        <v>2253.268512274095</v>
      </c>
      <c r="K358" s="219">
        <v>2221.4109169304984</v>
      </c>
      <c r="L358" s="146">
        <v>2191.3634154411079</v>
      </c>
    </row>
    <row r="359" spans="7:12" outlineLevel="1" x14ac:dyDescent="0.15">
      <c r="G359" s="185">
        <f t="shared" si="123"/>
        <v>2200</v>
      </c>
      <c r="H359" s="146">
        <v>2397.1268331547431</v>
      </c>
      <c r="I359" s="219">
        <v>2361.1947534199771</v>
      </c>
      <c r="J359" s="220">
        <v>2327.3626676155782</v>
      </c>
      <c r="K359" s="219">
        <v>2295.4795799164062</v>
      </c>
      <c r="L359" s="146">
        <v>2265.4070216520568</v>
      </c>
    </row>
    <row r="360" spans="7:12" outlineLevel="1" x14ac:dyDescent="0.15">
      <c r="G360" s="185">
        <f t="shared" si="123"/>
        <v>2300</v>
      </c>
      <c r="H360" s="146">
        <v>2471.2733261851167</v>
      </c>
      <c r="I360" s="219">
        <v>2435.3148481552744</v>
      </c>
      <c r="J360" s="219">
        <v>2401.4568229570609</v>
      </c>
      <c r="K360" s="219">
        <v>2369.5482429023136</v>
      </c>
      <c r="L360" s="146">
        <v>2339.4506278630051</v>
      </c>
    </row>
    <row r="361" spans="7:12" outlineLevel="1" x14ac:dyDescent="0.15">
      <c r="G361" s="185">
        <f t="shared" si="123"/>
        <v>2400</v>
      </c>
      <c r="H361" s="146">
        <v>2545.4198192154895</v>
      </c>
      <c r="I361" s="146">
        <v>2509.4349428905716</v>
      </c>
      <c r="J361" s="146">
        <v>2475.5509782985441</v>
      </c>
      <c r="K361" s="146">
        <v>2443.6169058882215</v>
      </c>
      <c r="L361" s="146">
        <v>2413.4942340739535</v>
      </c>
    </row>
    <row r="362" spans="7:12" outlineLevel="1" x14ac:dyDescent="0.15">
      <c r="G362" s="185">
        <f>+G361+100</f>
        <v>2500</v>
      </c>
      <c r="H362" s="146">
        <v>2619.5663122458632</v>
      </c>
      <c r="I362" s="146">
        <v>2583.5550376258698</v>
      </c>
      <c r="J362" s="146">
        <v>2549.6451336400269</v>
      </c>
      <c r="K362" s="146">
        <v>2517.6855688741293</v>
      </c>
      <c r="L362" s="146">
        <v>2487.5378402849024</v>
      </c>
    </row>
    <row r="363" spans="7:12" outlineLevel="1" x14ac:dyDescent="0.15">
      <c r="G363" s="185">
        <f t="shared" si="123"/>
        <v>2600</v>
      </c>
      <c r="H363" s="146">
        <v>2693.7128052762364</v>
      </c>
      <c r="I363" s="146">
        <v>2657.675132361167</v>
      </c>
      <c r="J363" s="146">
        <v>2623.7392889815101</v>
      </c>
      <c r="K363" s="146">
        <v>2591.7542318600367</v>
      </c>
      <c r="L363" s="146">
        <v>2561.5814464958517</v>
      </c>
    </row>
    <row r="364" spans="7:12" outlineLevel="1" x14ac:dyDescent="0.15">
      <c r="G364" s="216"/>
      <c r="H364" s="77"/>
      <c r="I364" s="77"/>
      <c r="J364" s="77"/>
      <c r="K364" s="77"/>
      <c r="L364" s="77"/>
    </row>
    <row r="365" spans="7:12" ht="15.75" customHeight="1" outlineLevel="1" x14ac:dyDescent="0.15">
      <c r="G365" s="51" t="s">
        <v>231</v>
      </c>
      <c r="H365" s="52"/>
      <c r="I365" s="52"/>
      <c r="J365" s="52"/>
      <c r="K365" s="52"/>
      <c r="L365" s="52"/>
    </row>
    <row r="366" spans="7:12" outlineLevel="1" x14ac:dyDescent="0.15">
      <c r="G366" s="77"/>
      <c r="H366" s="182" t="s">
        <v>230</v>
      </c>
      <c r="I366" s="182"/>
      <c r="J366" s="182"/>
      <c r="K366" s="182"/>
      <c r="L366" s="182"/>
    </row>
    <row r="367" spans="7:12" outlineLevel="1" x14ac:dyDescent="0.15">
      <c r="G367" s="54">
        <f>E318/1000000</f>
        <v>0</v>
      </c>
      <c r="H367" s="62">
        <v>1000</v>
      </c>
      <c r="I367" s="183">
        <f>+H367+200</f>
        <v>1200</v>
      </c>
      <c r="J367" s="183">
        <f t="shared" ref="J367:L367" si="124">+I367+200</f>
        <v>1400</v>
      </c>
      <c r="K367" s="183">
        <f t="shared" si="124"/>
        <v>1600</v>
      </c>
      <c r="L367" s="183">
        <f t="shared" si="124"/>
        <v>1800</v>
      </c>
    </row>
    <row r="368" spans="7:12" outlineLevel="1" x14ac:dyDescent="0.15">
      <c r="G368" s="63">
        <v>0.09</v>
      </c>
      <c r="H368" s="187"/>
      <c r="I368" s="144"/>
      <c r="J368" s="144"/>
      <c r="K368" s="144"/>
      <c r="L368" s="144"/>
    </row>
    <row r="369" spans="1:18" outlineLevel="1" x14ac:dyDescent="0.15">
      <c r="A369" s="77"/>
      <c r="B369" s="77"/>
      <c r="C369" s="77"/>
      <c r="D369" s="77"/>
      <c r="E369" s="77"/>
      <c r="F369" s="77"/>
      <c r="G369" s="188">
        <f>G368-0.01</f>
        <v>0.08</v>
      </c>
      <c r="H369" s="146"/>
      <c r="I369" s="146"/>
      <c r="J369" s="146"/>
      <c r="K369" s="146"/>
      <c r="L369" s="146"/>
      <c r="M369" s="77"/>
      <c r="N369" s="77"/>
      <c r="O369" s="77"/>
      <c r="P369" s="77"/>
      <c r="Q369" s="77"/>
      <c r="R369" s="77"/>
    </row>
    <row r="370" spans="1:18" outlineLevel="1" x14ac:dyDescent="0.15">
      <c r="A370" s="77"/>
      <c r="B370" s="77"/>
      <c r="C370" s="77"/>
      <c r="D370" s="77"/>
      <c r="E370" s="77"/>
      <c r="F370" s="77"/>
      <c r="G370" s="188">
        <f t="shared" ref="G370:G376" si="125">G369-0.01</f>
        <v>7.0000000000000007E-2</v>
      </c>
      <c r="H370" s="146"/>
      <c r="I370" s="146"/>
      <c r="J370" s="146"/>
      <c r="K370" s="146"/>
      <c r="L370" s="146"/>
      <c r="M370" s="77"/>
      <c r="N370" s="77"/>
      <c r="O370" s="77"/>
      <c r="P370" s="77"/>
      <c r="Q370" s="77"/>
      <c r="R370" s="77"/>
    </row>
    <row r="371" spans="1:18" outlineLevel="1" x14ac:dyDescent="0.15">
      <c r="A371" s="77"/>
      <c r="B371" s="77"/>
      <c r="C371" s="77"/>
      <c r="D371" s="77"/>
      <c r="E371" s="77"/>
      <c r="F371" s="77"/>
      <c r="G371" s="188">
        <f t="shared" si="125"/>
        <v>6.0000000000000005E-2</v>
      </c>
      <c r="H371" s="146"/>
      <c r="I371" s="189"/>
      <c r="J371" s="189"/>
      <c r="K371" s="189"/>
      <c r="L371" s="146"/>
      <c r="M371" s="77"/>
      <c r="N371" s="77"/>
      <c r="O371" s="77"/>
      <c r="P371" s="77"/>
      <c r="Q371" s="77"/>
      <c r="R371" s="77"/>
    </row>
    <row r="372" spans="1:18" outlineLevel="1" x14ac:dyDescent="0.15">
      <c r="A372" s="77"/>
      <c r="B372" s="77"/>
      <c r="C372" s="77"/>
      <c r="D372" s="77"/>
      <c r="E372" s="77"/>
      <c r="F372" s="77"/>
      <c r="G372" s="188">
        <f t="shared" si="125"/>
        <v>0.05</v>
      </c>
      <c r="H372" s="146"/>
      <c r="I372" s="189"/>
      <c r="J372" s="189"/>
      <c r="K372" s="189"/>
      <c r="L372" s="146"/>
      <c r="M372" s="77"/>
      <c r="N372" s="77"/>
      <c r="O372" s="77"/>
      <c r="P372" s="77"/>
      <c r="Q372" s="77"/>
      <c r="R372" s="77"/>
    </row>
    <row r="373" spans="1:18" outlineLevel="1" x14ac:dyDescent="0.15">
      <c r="A373" s="77"/>
      <c r="B373" s="77"/>
      <c r="C373" s="77"/>
      <c r="D373" s="77"/>
      <c r="E373" s="77"/>
      <c r="F373" s="77"/>
      <c r="G373" s="188">
        <f t="shared" si="125"/>
        <v>0.04</v>
      </c>
      <c r="H373" s="146"/>
      <c r="I373" s="189"/>
      <c r="J373" s="189"/>
      <c r="K373" s="189"/>
      <c r="L373" s="146"/>
      <c r="M373" s="77"/>
      <c r="N373" s="77"/>
      <c r="O373" s="77"/>
      <c r="P373" s="77"/>
      <c r="Q373" s="77"/>
      <c r="R373" s="77"/>
    </row>
    <row r="374" spans="1:18" outlineLevel="1" x14ac:dyDescent="0.15">
      <c r="A374" s="77"/>
      <c r="B374" s="77"/>
      <c r="C374" s="77"/>
      <c r="D374" s="77"/>
      <c r="E374" s="77"/>
      <c r="F374" s="77"/>
      <c r="G374" s="188">
        <f t="shared" si="125"/>
        <v>0.03</v>
      </c>
      <c r="H374" s="146"/>
      <c r="I374" s="146"/>
      <c r="J374" s="146"/>
      <c r="K374" s="146"/>
      <c r="L374" s="146"/>
      <c r="M374" s="77"/>
      <c r="N374" s="77"/>
      <c r="O374" s="77"/>
      <c r="P374" s="77"/>
      <c r="Q374" s="77"/>
      <c r="R374" s="77"/>
    </row>
    <row r="375" spans="1:18" outlineLevel="1" x14ac:dyDescent="0.15">
      <c r="A375" s="77"/>
      <c r="B375" s="77"/>
      <c r="C375" s="77"/>
      <c r="D375" s="77"/>
      <c r="E375" s="77"/>
      <c r="F375" s="77"/>
      <c r="G375" s="188">
        <f t="shared" si="125"/>
        <v>1.9999999999999997E-2</v>
      </c>
      <c r="H375" s="146"/>
      <c r="I375" s="146"/>
      <c r="J375" s="146"/>
      <c r="K375" s="146"/>
      <c r="L375" s="146"/>
      <c r="M375" s="77"/>
      <c r="N375" s="77"/>
      <c r="O375" s="77"/>
      <c r="P375" s="77"/>
      <c r="Q375" s="77"/>
      <c r="R375" s="77"/>
    </row>
    <row r="376" spans="1:18" outlineLevel="1" x14ac:dyDescent="0.15">
      <c r="A376" s="77"/>
      <c r="B376" s="77"/>
      <c r="C376" s="77"/>
      <c r="D376" s="77"/>
      <c r="E376" s="77"/>
      <c r="F376" s="77"/>
      <c r="G376" s="188">
        <f t="shared" si="125"/>
        <v>9.9999999999999967E-3</v>
      </c>
      <c r="H376" s="146"/>
      <c r="I376" s="146"/>
      <c r="J376" s="146"/>
      <c r="K376" s="146"/>
      <c r="L376" s="146"/>
      <c r="M376" s="77"/>
      <c r="N376" s="77"/>
      <c r="O376" s="77"/>
      <c r="P376" s="77"/>
      <c r="Q376" s="77"/>
      <c r="R376" s="77"/>
    </row>
    <row r="377" spans="1:18" outlineLevel="1" x14ac:dyDescent="0.15">
      <c r="A377" s="77"/>
      <c r="B377" s="77"/>
      <c r="C377" s="77"/>
      <c r="D377" s="77"/>
      <c r="E377" s="77"/>
      <c r="F377" s="77"/>
      <c r="G377" s="142"/>
      <c r="H377" s="146"/>
      <c r="I377" s="146"/>
      <c r="J377" s="146"/>
      <c r="K377" s="146"/>
      <c r="L377" s="146"/>
      <c r="M377" s="77"/>
      <c r="N377" s="77"/>
      <c r="O377" s="77"/>
      <c r="P377" s="77"/>
      <c r="Q377" s="77"/>
      <c r="R377" s="77"/>
    </row>
    <row r="378" spans="1:18" x14ac:dyDescent="0.15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</row>
    <row r="379" spans="1:18" s="50" customFormat="1" ht="18.75" customHeight="1" x14ac:dyDescent="0.2">
      <c r="A379" s="107" t="s">
        <v>232</v>
      </c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</row>
    <row r="380" spans="1:18" s="29" customFormat="1" ht="24" hidden="1" customHeight="1" outlineLevel="2" x14ac:dyDescent="0.2">
      <c r="A380" s="80"/>
      <c r="B380" s="80"/>
      <c r="C380" s="80"/>
      <c r="D380" s="80"/>
      <c r="E380" s="80"/>
      <c r="F380" s="80"/>
      <c r="G380" s="56">
        <f t="shared" ref="G380:R380" si="126">G2</f>
        <v>2025</v>
      </c>
      <c r="H380" s="56">
        <f t="shared" si="126"/>
        <v>2026</v>
      </c>
      <c r="I380" s="56">
        <f t="shared" si="126"/>
        <v>2027</v>
      </c>
      <c r="J380" s="56">
        <f t="shared" si="126"/>
        <v>2028</v>
      </c>
      <c r="K380" s="56">
        <f t="shared" si="126"/>
        <v>2029</v>
      </c>
      <c r="L380" s="56">
        <f t="shared" si="126"/>
        <v>2030</v>
      </c>
      <c r="M380" s="56">
        <f t="shared" si="126"/>
        <v>2031</v>
      </c>
      <c r="N380" s="56">
        <f t="shared" si="126"/>
        <v>2032</v>
      </c>
      <c r="O380" s="56">
        <f t="shared" si="126"/>
        <v>2033</v>
      </c>
      <c r="P380" s="56">
        <f t="shared" si="126"/>
        <v>2034</v>
      </c>
      <c r="Q380" s="56">
        <f t="shared" si="126"/>
        <v>2035</v>
      </c>
      <c r="R380" s="56">
        <f t="shared" si="126"/>
        <v>2036</v>
      </c>
    </row>
    <row r="381" spans="1:18" s="29" customFormat="1" hidden="1" outlineLevel="2" x14ac:dyDescent="0.15">
      <c r="A381" s="153" t="s">
        <v>233</v>
      </c>
      <c r="B381" s="153"/>
      <c r="C381" s="153"/>
      <c r="D381" s="153"/>
      <c r="E381" s="153"/>
      <c r="F381" s="153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</row>
    <row r="382" spans="1:18" s="29" customFormat="1" hidden="1" outlineLevel="2" x14ac:dyDescent="0.15">
      <c r="A382" s="80" t="s">
        <v>203</v>
      </c>
      <c r="B382" s="80"/>
      <c r="C382" s="80"/>
      <c r="D382" s="80"/>
      <c r="E382" s="80"/>
      <c r="F382" s="8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</row>
    <row r="383" spans="1:18" s="29" customFormat="1" hidden="1" outlineLevel="2" x14ac:dyDescent="0.15">
      <c r="A383" s="153" t="s">
        <v>199</v>
      </c>
      <c r="B383" s="153"/>
      <c r="C383" s="153"/>
      <c r="D383" s="153"/>
      <c r="E383" s="153"/>
      <c r="F383" s="153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</row>
    <row r="384" spans="1:18" s="29" customFormat="1" hidden="1" outlineLevel="2" x14ac:dyDescent="0.15">
      <c r="A384" s="80"/>
      <c r="B384" s="80"/>
      <c r="C384" s="80"/>
      <c r="D384" s="80"/>
      <c r="E384" s="80"/>
      <c r="F384" s="80"/>
      <c r="G384" s="5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</row>
    <row r="385" spans="1:18" s="29" customFormat="1" hidden="1" outlineLevel="2" x14ac:dyDescent="0.15">
      <c r="A385" s="80" t="s">
        <v>215</v>
      </c>
      <c r="B385" s="80"/>
      <c r="C385" s="80"/>
      <c r="D385" s="80"/>
      <c r="E385" s="80"/>
      <c r="F385" s="80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</row>
    <row r="386" spans="1:18" s="29" customFormat="1" hidden="1" outlineLevel="2" x14ac:dyDescent="0.15">
      <c r="A386" s="80" t="s">
        <v>234</v>
      </c>
      <c r="B386" s="80"/>
      <c r="C386" s="80"/>
      <c r="D386" s="80"/>
      <c r="E386" s="80"/>
      <c r="F386" s="8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</row>
    <row r="387" spans="1:18" s="29" customFormat="1" hidden="1" outlineLevel="2" x14ac:dyDescent="0.15">
      <c r="A387" s="153" t="s">
        <v>199</v>
      </c>
      <c r="B387" s="153"/>
      <c r="C387" s="153"/>
      <c r="D387" s="153"/>
      <c r="E387" s="153"/>
      <c r="F387" s="153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</row>
    <row r="388" spans="1:18" s="29" customFormat="1" hidden="1" outlineLevel="2" x14ac:dyDescent="0.15">
      <c r="A388" s="80"/>
      <c r="B388" s="80"/>
      <c r="C388" s="80"/>
      <c r="D388" s="80"/>
      <c r="E388" s="80"/>
      <c r="F388" s="80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</row>
    <row r="389" spans="1:18" s="29" customFormat="1" hidden="1" outlineLevel="2" x14ac:dyDescent="0.15">
      <c r="A389" s="80" t="s">
        <v>235</v>
      </c>
      <c r="B389" s="80"/>
      <c r="C389" s="80"/>
      <c r="D389" s="80"/>
      <c r="E389" s="80"/>
      <c r="F389" s="8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</row>
    <row r="390" spans="1:18" s="29" customFormat="1" hidden="1" outlineLevel="2" x14ac:dyDescent="0.15">
      <c r="A390" s="80" t="s">
        <v>236</v>
      </c>
      <c r="B390" s="80"/>
      <c r="C390" s="80"/>
      <c r="D390" s="80"/>
      <c r="E390" s="80"/>
      <c r="F390" s="8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</row>
    <row r="391" spans="1:18" s="29" customFormat="1" hidden="1" outlineLevel="2" x14ac:dyDescent="0.15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</row>
    <row r="392" spans="1:18" s="29" customFormat="1" hidden="1" outlineLevel="2" x14ac:dyDescent="0.15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</row>
    <row r="393" spans="1:18" s="29" customFormat="1" hidden="1" outlineLevel="2" x14ac:dyDescent="0.15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</row>
    <row r="394" spans="1:18" s="29" customFormat="1" hidden="1" outlineLevel="2" x14ac:dyDescent="0.15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</row>
    <row r="395" spans="1:18" s="29" customFormat="1" hidden="1" outlineLevel="2" x14ac:dyDescent="0.15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</row>
    <row r="396" spans="1:18" s="29" customFormat="1" hidden="1" outlineLevel="2" x14ac:dyDescent="0.15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</row>
    <row r="397" spans="1:18" s="29" customFormat="1" hidden="1" outlineLevel="2" x14ac:dyDescent="0.15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</row>
    <row r="398" spans="1:18" s="29" customFormat="1" hidden="1" outlineLevel="2" x14ac:dyDescent="0.15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</row>
    <row r="399" spans="1:18" s="29" customFormat="1" hidden="1" outlineLevel="2" x14ac:dyDescent="0.15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</row>
    <row r="400" spans="1:18" s="29" customFormat="1" hidden="1" outlineLevel="2" x14ac:dyDescent="0.15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</row>
    <row r="401" s="29" customFormat="1" hidden="1" outlineLevel="2" x14ac:dyDescent="0.15"/>
    <row r="402" s="29" customFormat="1" hidden="1" outlineLevel="2" x14ac:dyDescent="0.15"/>
    <row r="403" s="29" customFormat="1" hidden="1" outlineLevel="2" x14ac:dyDescent="0.15"/>
    <row r="404" s="29" customFormat="1" hidden="1" outlineLevel="2" x14ac:dyDescent="0.15"/>
    <row r="405" s="29" customFormat="1" hidden="1" outlineLevel="2" x14ac:dyDescent="0.15"/>
    <row r="406" s="29" customFormat="1" hidden="1" outlineLevel="2" x14ac:dyDescent="0.15"/>
    <row r="407" s="29" customFormat="1" hidden="1" outlineLevel="2" x14ac:dyDescent="0.15"/>
    <row r="408" s="29" customFormat="1" hidden="1" outlineLevel="2" x14ac:dyDescent="0.15"/>
    <row r="409" s="29" customFormat="1" hidden="1" outlineLevel="2" x14ac:dyDescent="0.15"/>
    <row r="410" s="29" customFormat="1" hidden="1" outlineLevel="2" x14ac:dyDescent="0.15"/>
    <row r="411" s="29" customFormat="1" hidden="1" outlineLevel="2" x14ac:dyDescent="0.15"/>
    <row r="412" s="29" customFormat="1" hidden="1" outlineLevel="2" x14ac:dyDescent="0.15"/>
    <row r="413" s="29" customFormat="1" hidden="1" outlineLevel="2" x14ac:dyDescent="0.15"/>
    <row r="414" hidden="1" outlineLevel="2" x14ac:dyDescent="0.15"/>
    <row r="415" collapsed="1" x14ac:dyDescent="0.15"/>
  </sheetData>
  <mergeCells count="2">
    <mergeCell ref="H351:L351"/>
    <mergeCell ref="G350:L350"/>
  </mergeCells>
  <conditionalFormatting sqref="A2 C2">
    <cfRule type="containsText" dxfId="31" priority="3" operator="containsText" text="OK">
      <formula>NOT(ISERROR(SEARCH("OK",A2)))</formula>
    </cfRule>
    <cfRule type="containsText" dxfId="30" priority="4" operator="containsText" text="ERROR">
      <formula>NOT(ISERROR(SEARCH("ERROR",A2)))</formula>
    </cfRule>
  </conditionalFormatting>
  <conditionalFormatting sqref="E3:R3">
    <cfRule type="containsText" dxfId="29" priority="1" operator="containsText" text="OK">
      <formula>NOT(ISERROR(SEARCH("OK",#REF!)))</formula>
    </cfRule>
    <cfRule type="containsText" dxfId="28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A9043AC7-673E-BB4B-AE99-BEEFC044478C}">
      <formula1>$A$15:$A$16</formula1>
    </dataValidation>
  </dataValidations>
  <pageMargins left="0.7" right="0.7" top="0.75" bottom="0.75" header="0.3" footer="0.3"/>
  <pageSetup paperSize="17" scale="75" orientation="landscape" r:id="rId1"/>
  <rowBreaks count="1" manualBreakCount="1">
    <brk id="106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B73F-1AF6-E14E-B444-5E222A78C84A}">
  <dimension ref="A1:S228"/>
  <sheetViews>
    <sheetView showGridLines="0" tabSelected="1" zoomScaleNormal="100" workbookViewId="0">
      <pane ySplit="3" topLeftCell="A4" activePane="bottomLeft" state="frozen"/>
      <selection activeCell="B314" sqref="B314"/>
      <selection pane="bottomLeft" activeCell="I41" sqref="I41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7" width="13.83203125" style="5" customWidth="1"/>
    <col min="8" max="8" width="15.83203125" style="5" bestFit="1" customWidth="1"/>
    <col min="9" max="16" width="13.83203125" style="5" customWidth="1"/>
    <col min="17" max="16384" width="11.1640625" style="5"/>
  </cols>
  <sheetData>
    <row r="1" spans="1:16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P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</row>
    <row r="2" spans="1:16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P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</row>
    <row r="3" spans="1:16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</row>
    <row r="5" spans="1:16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</row>
    <row r="6" spans="1:16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spans="1:16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</row>
    <row r="8" spans="1:16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</row>
    <row r="9" spans="1:16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</row>
    <row r="10" spans="1:16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</row>
    <row r="11" spans="1:16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6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</row>
    <row r="13" spans="1:16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1:16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P14" si="2">+G14+1</f>
        <v>2025</v>
      </c>
      <c r="I14" s="121">
        <f t="shared" si="2"/>
        <v>2026</v>
      </c>
      <c r="J14" s="121">
        <f t="shared" si="2"/>
        <v>2027</v>
      </c>
      <c r="K14" s="121">
        <f t="shared" si="2"/>
        <v>2028</v>
      </c>
      <c r="L14" s="121">
        <f t="shared" si="2"/>
        <v>2029</v>
      </c>
      <c r="M14" s="121">
        <f t="shared" si="2"/>
        <v>2030</v>
      </c>
      <c r="N14" s="121">
        <f t="shared" si="2"/>
        <v>2031</v>
      </c>
      <c r="O14" s="121">
        <f t="shared" si="2"/>
        <v>2032</v>
      </c>
      <c r="P14" s="121">
        <f t="shared" si="2"/>
        <v>2033</v>
      </c>
    </row>
    <row r="15" spans="1:16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</row>
    <row r="17" spans="1:16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</row>
    <row r="18" spans="1:16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</row>
    <row r="19" spans="1:16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1:16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</row>
    <row r="21" spans="1:16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1:16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P22" si="3">CHOOSE($F$22,G16,G18,G20)</f>
        <v>2100</v>
      </c>
      <c r="H22" s="14">
        <f t="shared" si="3"/>
        <v>2100</v>
      </c>
      <c r="I22" s="14">
        <f t="shared" si="3"/>
        <v>2100</v>
      </c>
      <c r="J22" s="14">
        <f t="shared" si="3"/>
        <v>2100</v>
      </c>
      <c r="K22" s="14">
        <f t="shared" si="3"/>
        <v>2100</v>
      </c>
      <c r="L22" s="14">
        <f t="shared" si="3"/>
        <v>2100</v>
      </c>
      <c r="M22" s="14">
        <f t="shared" si="3"/>
        <v>2100</v>
      </c>
      <c r="N22" s="14">
        <f t="shared" si="3"/>
        <v>2100</v>
      </c>
      <c r="O22" s="14">
        <f t="shared" si="3"/>
        <v>2100</v>
      </c>
      <c r="P22" s="14">
        <f t="shared" si="3"/>
        <v>2100</v>
      </c>
    </row>
    <row r="23" spans="1:16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</row>
    <row r="25" spans="1:16" ht="17" customHeight="1" outlineLevel="1" x14ac:dyDescent="0.15">
      <c r="A25" s="77" t="s">
        <v>272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P25" si="4">+G25+1</f>
        <v>2025</v>
      </c>
      <c r="I25" s="121">
        <f t="shared" si="4"/>
        <v>2026</v>
      </c>
      <c r="J25" s="121">
        <f t="shared" si="4"/>
        <v>2027</v>
      </c>
      <c r="K25" s="121">
        <f t="shared" si="4"/>
        <v>2028</v>
      </c>
      <c r="L25" s="121">
        <f t="shared" si="4"/>
        <v>2029</v>
      </c>
      <c r="M25" s="121">
        <f t="shared" si="4"/>
        <v>2030</v>
      </c>
      <c r="N25" s="121">
        <f t="shared" si="4"/>
        <v>2031</v>
      </c>
      <c r="O25" s="121">
        <f t="shared" si="4"/>
        <v>2032</v>
      </c>
      <c r="P25" s="121">
        <f t="shared" si="4"/>
        <v>2033</v>
      </c>
    </row>
    <row r="26" spans="1:16" ht="16.5" customHeight="1" outlineLevel="1" x14ac:dyDescent="0.15">
      <c r="A26" s="89">
        <v>45474</v>
      </c>
      <c r="B26" s="77"/>
      <c r="C26" s="77"/>
      <c r="D26" s="114" t="s">
        <v>269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1:16" ht="16.5" customHeight="1" outlineLevel="1" x14ac:dyDescent="0.15">
      <c r="A27" s="77"/>
      <c r="B27" s="77"/>
      <c r="C27" s="77"/>
      <c r="D27" s="77" t="s">
        <v>87</v>
      </c>
      <c r="E27" s="77" t="s">
        <v>88</v>
      </c>
      <c r="F27" s="148">
        <f>SUM(G27:P27)</f>
        <v>18813319</v>
      </c>
      <c r="G27" s="13">
        <f>51319</f>
        <v>51319</v>
      </c>
      <c r="H27" s="13">
        <v>3240000</v>
      </c>
      <c r="I27" s="13">
        <v>2387000</v>
      </c>
      <c r="J27" s="13">
        <v>1922000</v>
      </c>
      <c r="K27" s="13">
        <v>1810000</v>
      </c>
      <c r="L27" s="13">
        <v>1999000</v>
      </c>
      <c r="M27" s="13">
        <v>2110000</v>
      </c>
      <c r="N27" s="13">
        <v>2182000</v>
      </c>
      <c r="O27" s="13">
        <v>1897000</v>
      </c>
      <c r="P27" s="13">
        <v>1215000</v>
      </c>
    </row>
    <row r="28" spans="1:16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77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77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6.5" customHeight="1" outlineLevel="1" x14ac:dyDescent="0.15">
      <c r="A30" s="77"/>
      <c r="B30" s="77"/>
      <c r="C30" s="77"/>
      <c r="D30" s="77" t="s">
        <v>94</v>
      </c>
      <c r="E30" s="77"/>
      <c r="F30" s="77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6.5" customHeight="1" outlineLevel="1" x14ac:dyDescent="0.15">
      <c r="A31" s="77"/>
      <c r="B31" s="77"/>
      <c r="C31" s="77"/>
      <c r="D31" s="114" t="s">
        <v>268</v>
      </c>
      <c r="E31" s="77"/>
      <c r="F31" s="77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6.5" customHeight="1" outlineLevel="1" x14ac:dyDescent="0.15">
      <c r="A32" s="77"/>
      <c r="B32" s="77"/>
      <c r="C32" s="77"/>
      <c r="D32" s="77" t="s">
        <v>87</v>
      </c>
      <c r="E32" s="77" t="s">
        <v>88</v>
      </c>
      <c r="F32" s="148">
        <f>SUM(G32:P32)</f>
        <v>78575000</v>
      </c>
      <c r="G32" s="13">
        <v>0</v>
      </c>
      <c r="H32" s="13">
        <v>4878000</v>
      </c>
      <c r="I32" s="13">
        <v>9965000</v>
      </c>
      <c r="J32" s="13">
        <v>9972000</v>
      </c>
      <c r="K32" s="13">
        <v>9611000</v>
      </c>
      <c r="L32" s="13">
        <v>8675000</v>
      </c>
      <c r="M32" s="13">
        <v>9308000</v>
      </c>
      <c r="N32" s="13">
        <v>8981000</v>
      </c>
      <c r="O32" s="13">
        <v>8628000</v>
      </c>
      <c r="P32" s="13">
        <v>8557000</v>
      </c>
    </row>
    <row r="33" spans="1:19" ht="16.5" customHeight="1" outlineLevel="1" x14ac:dyDescent="0.15">
      <c r="A33" s="77"/>
      <c r="B33" s="77"/>
      <c r="C33" s="77"/>
      <c r="D33" s="77" t="s">
        <v>90</v>
      </c>
      <c r="E33" s="77" t="s">
        <v>91</v>
      </c>
      <c r="F33" s="77"/>
      <c r="G33" s="16"/>
      <c r="H33" s="16"/>
      <c r="I33" s="16"/>
      <c r="J33" s="16"/>
      <c r="K33" s="16"/>
      <c r="L33" s="142"/>
      <c r="M33" s="142"/>
      <c r="N33" s="142"/>
      <c r="O33" s="142"/>
      <c r="P33" s="142"/>
      <c r="Q33" s="77"/>
      <c r="R33" s="77"/>
      <c r="S33" s="77"/>
    </row>
    <row r="34" spans="1:19" ht="16.5" customHeight="1" outlineLevel="1" x14ac:dyDescent="0.15">
      <c r="A34" s="77"/>
      <c r="B34" s="77"/>
      <c r="C34" s="77"/>
      <c r="D34" s="77" t="s">
        <v>92</v>
      </c>
      <c r="E34" s="77" t="s">
        <v>93</v>
      </c>
      <c r="F34" s="77"/>
      <c r="G34" s="118"/>
      <c r="H34" s="118"/>
      <c r="I34" s="118"/>
      <c r="J34" s="118"/>
      <c r="K34" s="118"/>
      <c r="L34" s="142"/>
      <c r="M34" s="142"/>
      <c r="N34" s="142"/>
      <c r="O34" s="142"/>
      <c r="P34" s="142"/>
      <c r="Q34" s="77"/>
      <c r="R34" s="77"/>
      <c r="S34" s="77"/>
    </row>
    <row r="35" spans="1:19" ht="16.5" customHeight="1" outlineLevel="1" x14ac:dyDescent="0.15">
      <c r="A35" s="77"/>
      <c r="B35" s="77"/>
      <c r="C35" s="77"/>
      <c r="D35" s="77" t="s">
        <v>94</v>
      </c>
      <c r="E35" s="77"/>
      <c r="F35" s="77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77"/>
      <c r="R35" s="77"/>
      <c r="S35" s="77"/>
    </row>
    <row r="36" spans="1:19" ht="16.5" customHeight="1" outlineLevel="1" x14ac:dyDescent="0.15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</row>
    <row r="37" spans="1:19" ht="16.5" customHeight="1" outlineLevel="1" x14ac:dyDescent="0.15">
      <c r="A37" s="77" t="s">
        <v>272</v>
      </c>
      <c r="B37" s="77"/>
      <c r="C37" s="77"/>
      <c r="D37" s="6" t="s">
        <v>95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1:19" ht="16.5" customHeight="1" outlineLevel="1" x14ac:dyDescent="0.15">
      <c r="A38" s="89">
        <v>45474</v>
      </c>
      <c r="B38" s="77"/>
      <c r="C38" s="77"/>
      <c r="D38" s="121" t="s">
        <v>81</v>
      </c>
      <c r="E38" s="121"/>
      <c r="F38" s="97" t="s">
        <v>96</v>
      </c>
      <c r="G38" s="97" t="s">
        <v>97</v>
      </c>
      <c r="H38" s="97" t="s">
        <v>98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 spans="1:19" ht="16.5" customHeight="1" outlineLevel="1" x14ac:dyDescent="0.15">
      <c r="A39" s="77"/>
      <c r="B39" s="77"/>
      <c r="C39" s="77"/>
      <c r="D39" s="114" t="s">
        <v>269</v>
      </c>
      <c r="E39" s="77"/>
      <c r="F39" s="96"/>
      <c r="G39" s="206" t="s">
        <v>270</v>
      </c>
      <c r="H39" s="9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 spans="1:19" ht="16.5" customHeight="1" outlineLevel="1" x14ac:dyDescent="0.15">
      <c r="A40" s="77"/>
      <c r="B40" s="77"/>
      <c r="C40" s="77"/>
      <c r="D40" s="77" t="s">
        <v>100</v>
      </c>
      <c r="E40" s="77"/>
      <c r="F40" s="82">
        <f>(1298+1635+3135)*1000</f>
        <v>6068000</v>
      </c>
      <c r="G40" s="115">
        <f>((1289000/F40)*7.5)+((1635000/F40)*1.1)+((3135000/F40)*0.7)</f>
        <v>2.2512359920896503</v>
      </c>
      <c r="H40" s="81">
        <f>F40*G40*$F$10</f>
        <v>439195.27350074245</v>
      </c>
      <c r="I40" s="77">
        <f>F40/(F41+F45)</f>
        <v>3.5387908159397213E-2</v>
      </c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 spans="1:19" ht="16.5" customHeight="1" outlineLevel="1" x14ac:dyDescent="0.15">
      <c r="A41" s="143"/>
      <c r="B41" s="143"/>
      <c r="C41" s="143"/>
      <c r="D41" s="77" t="s">
        <v>101</v>
      </c>
      <c r="E41" s="77"/>
      <c r="F41" s="13">
        <f>(1591+5846)*1000</f>
        <v>7437000</v>
      </c>
      <c r="G41" s="115">
        <f>((1519000/F41)*7.7)+((5846000/F41)*1.2)</f>
        <v>2.5160010757025684</v>
      </c>
      <c r="H41" s="81">
        <f>F41*G41*$F$10</f>
        <v>601588.69441888249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 spans="1:19" ht="16.5" customHeight="1" outlineLevel="1" x14ac:dyDescent="0.15">
      <c r="A42" s="77"/>
      <c r="B42" s="77"/>
      <c r="C42" s="77"/>
      <c r="D42" s="77" t="s">
        <v>102</v>
      </c>
      <c r="E42" s="77"/>
      <c r="F42" s="144">
        <f>SUM(F40:F41)</f>
        <v>13505000</v>
      </c>
      <c r="G42" s="19">
        <f>H42*$F$12/F42</f>
        <v>2.3970381340244353</v>
      </c>
      <c r="H42" s="12">
        <f>SUM(H40:H41)</f>
        <v>1040783.9679196249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</row>
    <row r="43" spans="1:19" ht="16.5" customHeight="1" outlineLevel="1" x14ac:dyDescent="0.15">
      <c r="A43" s="77"/>
      <c r="B43" s="77"/>
      <c r="C43" s="77"/>
      <c r="D43" s="114" t="s">
        <v>268</v>
      </c>
      <c r="E43" s="77"/>
      <c r="F43" s="123"/>
      <c r="G43" s="117"/>
      <c r="H43" s="81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 spans="1:19" ht="16.5" customHeight="1" outlineLevel="1" x14ac:dyDescent="0.15">
      <c r="A44" s="77"/>
      <c r="B44" s="77"/>
      <c r="C44" s="77"/>
      <c r="D44" s="77" t="s">
        <v>100</v>
      </c>
      <c r="E44" s="77"/>
      <c r="F44" s="82">
        <f>0</f>
        <v>0</v>
      </c>
      <c r="G44" s="115"/>
      <c r="H44" s="81">
        <f>F44*G44*$F$10</f>
        <v>0</v>
      </c>
    </row>
    <row r="45" spans="1:19" ht="16.5" customHeight="1" outlineLevel="1" x14ac:dyDescent="0.15">
      <c r="A45" s="77"/>
      <c r="B45" s="77"/>
      <c r="C45" s="77"/>
      <c r="D45" s="77" t="s">
        <v>101</v>
      </c>
      <c r="E45" s="77"/>
      <c r="F45" s="13">
        <v>164034000</v>
      </c>
      <c r="G45" s="16">
        <v>0.9</v>
      </c>
      <c r="H45" s="81">
        <f>F45*G45*$F$10</f>
        <v>4746434.0063744895</v>
      </c>
    </row>
    <row r="46" spans="1:19" ht="16.5" customHeight="1" outlineLevel="1" x14ac:dyDescent="0.15">
      <c r="A46" s="77"/>
      <c r="B46" s="77"/>
      <c r="C46" s="77"/>
      <c r="D46" s="77" t="s">
        <v>102</v>
      </c>
      <c r="E46" s="77"/>
      <c r="F46" s="144">
        <f>SUM(F44:F45)</f>
        <v>164034000</v>
      </c>
      <c r="G46" s="19">
        <f>H46*$F$12/F46</f>
        <v>0.8999999999999998</v>
      </c>
      <c r="H46" s="12">
        <f>SUM(H44:H45)</f>
        <v>4746434.0063744895</v>
      </c>
    </row>
    <row r="47" spans="1:19" ht="16.5" customHeight="1" outlineLevel="1" x14ac:dyDescent="0.15">
      <c r="A47" s="77"/>
      <c r="B47" s="77"/>
      <c r="C47" s="77"/>
      <c r="D47" s="77"/>
      <c r="E47" s="77"/>
      <c r="F47" s="77"/>
      <c r="G47" s="77"/>
      <c r="H47" s="77"/>
    </row>
    <row r="48" spans="1:19" ht="16.5" customHeight="1" outlineLevel="1" x14ac:dyDescent="0.15">
      <c r="A48" s="77" t="s">
        <v>273</v>
      </c>
      <c r="B48" s="77"/>
      <c r="C48" s="77"/>
      <c r="D48" s="86" t="s">
        <v>137</v>
      </c>
      <c r="E48" s="121"/>
      <c r="F48" s="121"/>
      <c r="G48" s="77"/>
      <c r="H48" s="77"/>
      <c r="I48" s="77"/>
    </row>
    <row r="49" spans="1:16" ht="16.5" customHeight="1" outlineLevel="1" x14ac:dyDescent="0.15">
      <c r="A49" s="89"/>
      <c r="B49" s="77"/>
      <c r="C49" s="77"/>
      <c r="D49" s="77" t="s">
        <v>141</v>
      </c>
      <c r="E49" s="77"/>
      <c r="F49" s="26">
        <v>0.2</v>
      </c>
      <c r="G49" s="77"/>
      <c r="H49" s="77"/>
      <c r="I49" s="77"/>
    </row>
    <row r="50" spans="1:16" outlineLevel="1" x14ac:dyDescent="0.15">
      <c r="A50" s="77"/>
      <c r="B50" s="77"/>
      <c r="C50" s="77"/>
      <c r="D50" s="77"/>
      <c r="E50" s="77"/>
      <c r="F50" s="77"/>
      <c r="G50" s="77"/>
      <c r="H50" s="77"/>
      <c r="I50" s="77"/>
    </row>
    <row r="51" spans="1:16" outlineLevel="1" x14ac:dyDescent="0.15">
      <c r="A51" s="77"/>
      <c r="B51" s="77"/>
      <c r="C51" s="77"/>
      <c r="D51" s="77" t="s">
        <v>262</v>
      </c>
      <c r="E51" s="77"/>
      <c r="F51" s="83">
        <v>3.1E-2</v>
      </c>
      <c r="G51" s="77"/>
      <c r="H51" s="77"/>
      <c r="I51" s="77"/>
    </row>
    <row r="52" spans="1:16" outlineLevel="1" x14ac:dyDescent="0.15">
      <c r="A52" s="77"/>
      <c r="B52" s="77"/>
      <c r="C52" s="77"/>
      <c r="D52" s="77" t="s">
        <v>263</v>
      </c>
      <c r="E52" s="77"/>
      <c r="F52" s="95">
        <v>1.1000000000000001</v>
      </c>
      <c r="G52" s="77"/>
      <c r="H52" s="77"/>
      <c r="I52" s="77"/>
    </row>
    <row r="53" spans="1:16" outlineLevel="1" x14ac:dyDescent="0.15">
      <c r="A53" s="77"/>
      <c r="B53" s="77"/>
      <c r="C53" s="77"/>
      <c r="D53" s="77" t="s">
        <v>264</v>
      </c>
      <c r="E53" s="77"/>
      <c r="F53" s="83">
        <v>0.15570000000000001</v>
      </c>
      <c r="G53" s="77"/>
      <c r="H53" s="77"/>
      <c r="I53" s="77"/>
    </row>
    <row r="54" spans="1:16" outlineLevel="1" x14ac:dyDescent="0.15">
      <c r="A54" s="77"/>
      <c r="B54" s="77"/>
      <c r="C54" s="77"/>
      <c r="D54" s="77" t="s">
        <v>265</v>
      </c>
      <c r="E54" s="77"/>
      <c r="F54" s="83">
        <f>F51+F52*F53</f>
        <v>0.20227000000000001</v>
      </c>
      <c r="G54" s="77"/>
      <c r="H54" s="77"/>
      <c r="I54" s="77"/>
    </row>
    <row r="55" spans="1:16" outlineLevel="1" x14ac:dyDescent="0.15">
      <c r="A55" s="77"/>
      <c r="B55" s="77"/>
      <c r="C55" s="77"/>
      <c r="D55" s="77" t="s">
        <v>266</v>
      </c>
      <c r="E55" s="77"/>
      <c r="F55" s="83">
        <f>27.6%</f>
        <v>0.27600000000000002</v>
      </c>
      <c r="G55" s="77"/>
      <c r="H55" s="77"/>
      <c r="I55" s="77"/>
    </row>
    <row r="56" spans="1:16" outlineLevel="1" x14ac:dyDescent="0.15">
      <c r="A56" s="77"/>
      <c r="B56" s="77"/>
      <c r="C56" s="77"/>
      <c r="D56" s="77" t="s">
        <v>267</v>
      </c>
      <c r="E56" s="77"/>
      <c r="F56" s="83">
        <v>0.02</v>
      </c>
      <c r="G56" s="77"/>
      <c r="H56" s="77"/>
      <c r="I56" s="77"/>
    </row>
    <row r="57" spans="1:16" outlineLevel="1" x14ac:dyDescent="0.15">
      <c r="A57" s="77"/>
      <c r="B57" s="77"/>
      <c r="C57" s="77"/>
      <c r="D57" s="77" t="s">
        <v>147</v>
      </c>
      <c r="E57" s="77"/>
      <c r="F57" s="83">
        <f>F56*F55*(1-F49)+F54*(1-F55)</f>
        <v>0.15085947999999999</v>
      </c>
      <c r="G57" s="77"/>
      <c r="H57" s="77"/>
      <c r="I57" s="77"/>
    </row>
    <row r="58" spans="1:16" outlineLevel="1" x14ac:dyDescent="0.15">
      <c r="A58" s="77"/>
      <c r="B58" s="77"/>
      <c r="C58" s="77"/>
      <c r="D58" s="77" t="s">
        <v>148</v>
      </c>
      <c r="E58" s="77"/>
      <c r="F58" s="83">
        <v>2.4E-2</v>
      </c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spans="1:16" outlineLevel="1" x14ac:dyDescent="0.15">
      <c r="A59" s="77"/>
      <c r="B59" s="77"/>
      <c r="C59" s="77"/>
      <c r="D59" s="6" t="s">
        <v>149</v>
      </c>
      <c r="E59" s="77"/>
      <c r="F59" s="83">
        <f>F57-F58</f>
        <v>0.12685948</v>
      </c>
      <c r="G59" s="77"/>
      <c r="H59" s="77"/>
      <c r="I59" s="77"/>
      <c r="J59" s="77"/>
      <c r="K59" s="77"/>
      <c r="L59" s="77"/>
      <c r="M59" s="77"/>
      <c r="N59" s="77"/>
      <c r="O59" s="77"/>
      <c r="P59" s="77"/>
    </row>
    <row r="60" spans="1:16" outlineLevel="1" x14ac:dyDescent="0.15">
      <c r="A60" s="77"/>
      <c r="B60" s="77"/>
      <c r="C60" s="77"/>
      <c r="D60" s="6"/>
      <c r="E60" s="77"/>
      <c r="F60" s="83"/>
      <c r="G60" s="77"/>
      <c r="H60" s="77"/>
      <c r="I60" s="77"/>
      <c r="J60" s="77"/>
      <c r="K60" s="77"/>
      <c r="L60" s="77"/>
      <c r="M60" s="77"/>
      <c r="N60" s="77"/>
      <c r="O60" s="77"/>
      <c r="P60" s="77"/>
    </row>
    <row r="61" spans="1:16" outlineLevel="1" x14ac:dyDescent="0.15">
      <c r="A61" s="77"/>
      <c r="B61" s="77"/>
      <c r="C61" s="77"/>
      <c r="D61" s="6" t="s">
        <v>150</v>
      </c>
      <c r="E61" s="77"/>
      <c r="F61" s="95">
        <v>1.21</v>
      </c>
      <c r="G61" s="77"/>
      <c r="H61" s="77"/>
      <c r="I61" s="77"/>
      <c r="J61" s="77"/>
      <c r="K61" s="77"/>
      <c r="L61" s="77"/>
      <c r="M61" s="77"/>
      <c r="N61" s="77"/>
      <c r="O61" s="77"/>
      <c r="P61" s="77"/>
    </row>
    <row r="62" spans="1:16" outlineLevel="1" x14ac:dyDescent="0.15">
      <c r="A62" s="77"/>
      <c r="B62" s="77"/>
      <c r="C62" s="77"/>
      <c r="D62" s="6"/>
      <c r="E62" s="77"/>
      <c r="F62" s="83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1:16" outlineLevel="1" x14ac:dyDescent="0.15">
      <c r="A63" s="77"/>
      <c r="B63" s="77"/>
      <c r="C63" s="77"/>
      <c r="D63" s="6" t="s">
        <v>151</v>
      </c>
      <c r="E63" s="77"/>
      <c r="F63" s="53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1:16" ht="13.5" customHeight="1" x14ac:dyDescent="0.15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1:16" s="50" customFormat="1" ht="18.75" customHeight="1" x14ac:dyDescent="0.2">
      <c r="A65" s="107" t="s">
        <v>152</v>
      </c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</row>
    <row r="66" spans="1:16" s="33" customFormat="1" outlineLevel="1" x14ac:dyDescent="0.15">
      <c r="A66" s="73" t="s">
        <v>166</v>
      </c>
      <c r="B66" s="74"/>
      <c r="C66" s="74"/>
      <c r="D66" s="75"/>
      <c r="E66" s="75"/>
      <c r="F66" s="74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spans="1:16" s="33" customFormat="1" outlineLevel="1" x14ac:dyDescent="0.15">
      <c r="A67" s="78"/>
      <c r="B67" s="78"/>
      <c r="C67" s="78"/>
      <c r="D67" s="79"/>
      <c r="E67" s="150"/>
      <c r="F67" s="152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spans="1:16" s="33" customFormat="1" outlineLevel="1" x14ac:dyDescent="0.15">
      <c r="A68" s="78" t="s">
        <v>167</v>
      </c>
      <c r="B68" s="78"/>
      <c r="C68" s="78"/>
      <c r="D68" s="79"/>
      <c r="E68" s="150"/>
      <c r="F68" s="152"/>
      <c r="G68" s="78"/>
      <c r="H68" s="78"/>
      <c r="I68" s="78"/>
      <c r="J68" s="78"/>
      <c r="K68" s="78"/>
      <c r="L68" s="78"/>
      <c r="M68" s="78"/>
      <c r="N68" s="78"/>
      <c r="O68" s="78"/>
      <c r="P68" s="78"/>
    </row>
    <row r="69" spans="1:16" s="33" customFormat="1" outlineLevel="1" x14ac:dyDescent="0.15">
      <c r="A69" s="78"/>
      <c r="B69" s="114" t="s">
        <v>269</v>
      </c>
      <c r="C69" s="78"/>
      <c r="D69" s="79" t="s">
        <v>156</v>
      </c>
      <c r="E69" s="150">
        <f>IFERROR(AVERAGE(G69:P69),"na")</f>
        <v>1881331.9</v>
      </c>
      <c r="F69" s="152">
        <f>SUM(G69:P69)</f>
        <v>18813319</v>
      </c>
      <c r="G69" s="78">
        <f t="shared" ref="G69:P69" si="5">G27</f>
        <v>51319</v>
      </c>
      <c r="H69" s="78">
        <f t="shared" si="5"/>
        <v>3240000</v>
      </c>
      <c r="I69" s="78">
        <f t="shared" si="5"/>
        <v>2387000</v>
      </c>
      <c r="J69" s="78">
        <f t="shared" si="5"/>
        <v>1922000</v>
      </c>
      <c r="K69" s="78">
        <f t="shared" si="5"/>
        <v>1810000</v>
      </c>
      <c r="L69" s="78">
        <f t="shared" si="5"/>
        <v>1999000</v>
      </c>
      <c r="M69" s="78">
        <f t="shared" si="5"/>
        <v>2110000</v>
      </c>
      <c r="N69" s="78">
        <f t="shared" si="5"/>
        <v>2182000</v>
      </c>
      <c r="O69" s="78">
        <f t="shared" si="5"/>
        <v>1897000</v>
      </c>
      <c r="P69" s="78">
        <f t="shared" si="5"/>
        <v>1215000</v>
      </c>
    </row>
    <row r="70" spans="1:16" s="33" customFormat="1" outlineLevel="1" x14ac:dyDescent="0.15">
      <c r="A70" s="78"/>
      <c r="B70" s="114" t="s">
        <v>268</v>
      </c>
      <c r="C70" s="78"/>
      <c r="D70" s="79" t="s">
        <v>156</v>
      </c>
      <c r="E70" s="150">
        <f>IFERROR(AVERAGE(G70:P70),"na")</f>
        <v>7857500</v>
      </c>
      <c r="F70" s="152">
        <f>SUM(G70:P70)</f>
        <v>78575000</v>
      </c>
      <c r="G70" s="78">
        <f t="shared" ref="G70:P70" si="6">G32</f>
        <v>0</v>
      </c>
      <c r="H70" s="78">
        <f t="shared" si="6"/>
        <v>4878000</v>
      </c>
      <c r="I70" s="78">
        <f t="shared" si="6"/>
        <v>9965000</v>
      </c>
      <c r="J70" s="78">
        <f t="shared" si="6"/>
        <v>9972000</v>
      </c>
      <c r="K70" s="78">
        <f t="shared" si="6"/>
        <v>9611000</v>
      </c>
      <c r="L70" s="78">
        <f t="shared" si="6"/>
        <v>8675000</v>
      </c>
      <c r="M70" s="78">
        <f t="shared" si="6"/>
        <v>9308000</v>
      </c>
      <c r="N70" s="78">
        <f t="shared" si="6"/>
        <v>8981000</v>
      </c>
      <c r="O70" s="78">
        <f t="shared" si="6"/>
        <v>8628000</v>
      </c>
      <c r="P70" s="78">
        <f t="shared" si="6"/>
        <v>8557000</v>
      </c>
    </row>
    <row r="71" spans="1:16" s="33" customFormat="1" outlineLevel="1" x14ac:dyDescent="0.15">
      <c r="A71" s="78"/>
      <c r="B71" s="78"/>
      <c r="C71" s="78"/>
      <c r="D71" s="79"/>
      <c r="E71" s="150"/>
      <c r="F71" s="152"/>
      <c r="G71" s="78"/>
      <c r="H71" s="78"/>
      <c r="I71" s="78"/>
      <c r="J71" s="78"/>
      <c r="K71" s="78"/>
      <c r="L71" s="78"/>
      <c r="M71" s="78"/>
      <c r="N71" s="78"/>
      <c r="O71" s="78"/>
      <c r="P71" s="78"/>
    </row>
    <row r="72" spans="1:16" s="33" customFormat="1" outlineLevel="1" x14ac:dyDescent="0.15">
      <c r="A72" s="78" t="s">
        <v>92</v>
      </c>
      <c r="B72" s="78"/>
      <c r="C72" s="78"/>
      <c r="D72" s="79"/>
      <c r="E72" s="79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</row>
    <row r="73" spans="1:16" s="33" customFormat="1" outlineLevel="1" x14ac:dyDescent="0.15">
      <c r="A73" s="78"/>
      <c r="B73" s="114" t="s">
        <v>269</v>
      </c>
      <c r="C73" s="78"/>
      <c r="D73" s="79" t="s">
        <v>93</v>
      </c>
      <c r="E73" s="159">
        <f>IFERROR(AVERAGE(G73:P73),"na")</f>
        <v>0.93700000000000006</v>
      </c>
      <c r="F73" s="160"/>
      <c r="G73" s="36">
        <v>0.93700000000000006</v>
      </c>
      <c r="H73" s="36">
        <v>0.93700000000000006</v>
      </c>
      <c r="I73" s="36">
        <v>0.93700000000000006</v>
      </c>
      <c r="J73" s="36">
        <v>0.93700000000000006</v>
      </c>
      <c r="K73" s="36">
        <v>0.93700000000000006</v>
      </c>
      <c r="L73" s="36">
        <v>0.93700000000000006</v>
      </c>
      <c r="M73" s="36">
        <v>0.93700000000000006</v>
      </c>
      <c r="N73" s="36">
        <v>0.93700000000000006</v>
      </c>
      <c r="O73" s="36">
        <v>0.93700000000000006</v>
      </c>
      <c r="P73" s="36">
        <v>0.93700000000000006</v>
      </c>
    </row>
    <row r="74" spans="1:16" s="33" customFormat="1" outlineLevel="1" x14ac:dyDescent="0.15">
      <c r="A74" s="78"/>
      <c r="B74" s="114" t="s">
        <v>268</v>
      </c>
      <c r="C74" s="78"/>
      <c r="D74" s="79" t="s">
        <v>93</v>
      </c>
      <c r="E74" s="159">
        <f>IFERROR(AVERAGE(G74:P74),"na")</f>
        <v>0.45</v>
      </c>
      <c r="F74" s="160"/>
      <c r="G74" s="36">
        <f>G34</f>
        <v>0</v>
      </c>
      <c r="H74" s="36">
        <f>H34</f>
        <v>0</v>
      </c>
      <c r="I74" s="36">
        <f>I34</f>
        <v>0</v>
      </c>
      <c r="J74" s="36">
        <f>J34</f>
        <v>0</v>
      </c>
      <c r="K74" s="36">
        <f>K34</f>
        <v>0</v>
      </c>
      <c r="L74" s="36">
        <v>0.9</v>
      </c>
      <c r="M74" s="36">
        <v>0.9</v>
      </c>
      <c r="N74" s="36">
        <v>0.9</v>
      </c>
      <c r="O74" s="36">
        <v>0.9</v>
      </c>
      <c r="P74" s="36">
        <v>0.9</v>
      </c>
    </row>
    <row r="75" spans="1:16" s="33" customFormat="1" outlineLevel="1" x14ac:dyDescent="0.15">
      <c r="A75" s="78"/>
      <c r="B75" s="78"/>
      <c r="C75" s="78"/>
      <c r="D75" s="79"/>
      <c r="E75" s="150"/>
      <c r="F75" s="78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s="33" customFormat="1" outlineLevel="1" x14ac:dyDescent="0.15">
      <c r="A76" s="78" t="s">
        <v>168</v>
      </c>
      <c r="B76" s="78"/>
      <c r="C76" s="78"/>
      <c r="D76" s="78"/>
      <c r="E76" s="79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1:16" s="33" customFormat="1" outlineLevel="1" x14ac:dyDescent="0.15">
      <c r="A77" s="78"/>
      <c r="B77" s="114" t="s">
        <v>269</v>
      </c>
      <c r="C77" s="78"/>
      <c r="D77" s="79" t="s">
        <v>165</v>
      </c>
      <c r="E77" s="150">
        <f>IFERROR(AVERAGE(G77:P77),"na")</f>
        <v>143100</v>
      </c>
      <c r="F77" s="152">
        <f>SUM(G77:P77)</f>
        <v>1431000</v>
      </c>
      <c r="G77" s="78">
        <v>196000</v>
      </c>
      <c r="H77" s="78">
        <v>197000</v>
      </c>
      <c r="I77" s="78">
        <v>173000</v>
      </c>
      <c r="J77" s="78">
        <v>156000</v>
      </c>
      <c r="K77" s="78">
        <v>129000</v>
      </c>
      <c r="L77" s="78">
        <v>97000</v>
      </c>
      <c r="M77" s="78">
        <v>194000</v>
      </c>
      <c r="N77" s="78">
        <v>164000</v>
      </c>
      <c r="O77" s="78">
        <v>82000</v>
      </c>
      <c r="P77" s="78">
        <v>43000</v>
      </c>
    </row>
    <row r="78" spans="1:16" s="33" customFormat="1" outlineLevel="1" x14ac:dyDescent="0.15">
      <c r="A78" s="78"/>
      <c r="B78" s="114" t="s">
        <v>268</v>
      </c>
      <c r="C78" s="78"/>
      <c r="D78" s="79" t="s">
        <v>165</v>
      </c>
      <c r="E78" s="150">
        <f>IFERROR(AVERAGE(G78:P78),"na")</f>
        <v>205500</v>
      </c>
      <c r="F78" s="152">
        <f>SUM(G78:P78)</f>
        <v>2055000</v>
      </c>
      <c r="G78" s="78">
        <v>0</v>
      </c>
      <c r="H78" s="78">
        <v>152000</v>
      </c>
      <c r="I78" s="78">
        <v>276000</v>
      </c>
      <c r="J78" s="78">
        <v>269000</v>
      </c>
      <c r="K78" s="78">
        <v>241000</v>
      </c>
      <c r="L78" s="78">
        <v>211000</v>
      </c>
      <c r="M78" s="78">
        <v>237000</v>
      </c>
      <c r="N78" s="78">
        <v>237000</v>
      </c>
      <c r="O78" s="78">
        <v>216000</v>
      </c>
      <c r="P78" s="78">
        <v>216000</v>
      </c>
    </row>
    <row r="79" spans="1:16" s="37" customFormat="1" outlineLevel="1" x14ac:dyDescent="0.15">
      <c r="E79" s="38"/>
    </row>
    <row r="80" spans="1:16" s="37" customFormat="1" outlineLevel="1" x14ac:dyDescent="0.15">
      <c r="A80" s="78" t="s">
        <v>114</v>
      </c>
      <c r="E80" s="38"/>
    </row>
    <row r="81" spans="1:16" s="33" customFormat="1" outlineLevel="1" x14ac:dyDescent="0.15">
      <c r="A81" s="78"/>
      <c r="B81" s="78" t="s">
        <v>81</v>
      </c>
      <c r="C81" s="78"/>
      <c r="D81" s="79" t="s">
        <v>165</v>
      </c>
      <c r="E81" s="161">
        <f>IFERROR(AVERAGE(G81:P81),"na")</f>
        <v>0.99</v>
      </c>
      <c r="F81" s="162" t="s">
        <v>157</v>
      </c>
      <c r="G81" s="85">
        <v>0.99</v>
      </c>
      <c r="H81" s="85">
        <v>0.99</v>
      </c>
      <c r="I81" s="85">
        <v>0.99</v>
      </c>
      <c r="J81" s="85">
        <v>0.99</v>
      </c>
      <c r="K81" s="85">
        <v>0.99</v>
      </c>
      <c r="L81" s="85">
        <v>0.99</v>
      </c>
      <c r="M81" s="85">
        <v>0.99</v>
      </c>
      <c r="N81" s="85">
        <v>0.99</v>
      </c>
      <c r="O81" s="85">
        <v>0.99</v>
      </c>
      <c r="P81" s="85">
        <v>0.99</v>
      </c>
    </row>
    <row r="82" spans="1:16" s="33" customFormat="1" outlineLevel="1" x14ac:dyDescent="0.15">
      <c r="A82" s="78"/>
      <c r="B82" s="78"/>
      <c r="C82" s="78"/>
      <c r="D82" s="79"/>
      <c r="E82" s="79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</row>
    <row r="83" spans="1:16" s="33" customFormat="1" outlineLevel="1" x14ac:dyDescent="0.15">
      <c r="A83" s="78" t="s">
        <v>169</v>
      </c>
      <c r="B83" s="78"/>
      <c r="C83" s="78"/>
      <c r="D83" s="79"/>
      <c r="E83" s="79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</row>
    <row r="84" spans="1:16" s="33" customFormat="1" outlineLevel="1" x14ac:dyDescent="0.15">
      <c r="A84" s="78"/>
      <c r="B84" s="78" t="s">
        <v>81</v>
      </c>
      <c r="C84" s="78"/>
      <c r="D84" s="79" t="s">
        <v>165</v>
      </c>
      <c r="E84" s="150">
        <f>IFERROR(AVERAGE(G84:P84),"na")</f>
        <v>345114</v>
      </c>
      <c r="F84" s="152">
        <f>SUM(G84:P84)</f>
        <v>3451140</v>
      </c>
      <c r="G84" s="78" cm="1">
        <f t="array" ref="G84">SUM(G77:G78*G81)</f>
        <v>194040</v>
      </c>
      <c r="H84" s="78" cm="1">
        <f t="array" ref="H84">SUM(H77:H78*H81)</f>
        <v>345510</v>
      </c>
      <c r="I84" s="78" cm="1">
        <f t="array" ref="I84">SUM(I77:I78*I81)</f>
        <v>444510</v>
      </c>
      <c r="J84" s="78" cm="1">
        <f t="array" ref="J84">SUM(J77:J78*J81)</f>
        <v>420750</v>
      </c>
      <c r="K84" s="78" cm="1">
        <f t="array" ref="K84">SUM(K77:K78*K81)</f>
        <v>366300</v>
      </c>
      <c r="L84" s="78" cm="1">
        <f t="array" ref="L84">SUM(L77:L78*L81)</f>
        <v>304920</v>
      </c>
      <c r="M84" s="78" cm="1">
        <f t="array" ref="M84">SUM(M77:M78*M81)</f>
        <v>426690</v>
      </c>
      <c r="N84" s="78" cm="1">
        <f t="array" ref="N84">SUM(N77:N78*N81)</f>
        <v>396990</v>
      </c>
      <c r="O84" s="78" cm="1">
        <f t="array" ref="O84">SUM(O77:O78*O81)</f>
        <v>295020</v>
      </c>
      <c r="P84" s="78" cm="1">
        <f t="array" ref="P84">SUM(P77:P78*P81)</f>
        <v>256410</v>
      </c>
    </row>
    <row r="85" spans="1:16" s="33" customFormat="1" outlineLevel="1" x14ac:dyDescent="0.15">
      <c r="A85" s="78"/>
      <c r="B85" s="78"/>
      <c r="C85" s="78"/>
      <c r="D85" s="79"/>
      <c r="E85" s="79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</row>
    <row r="86" spans="1:16" s="33" customFormat="1" x14ac:dyDescent="0.15">
      <c r="A86" s="78"/>
      <c r="B86" s="78"/>
      <c r="C86" s="78"/>
      <c r="D86" s="79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</row>
    <row r="87" spans="1:16" s="50" customFormat="1" ht="18.75" customHeight="1" x14ac:dyDescent="0.2">
      <c r="A87" s="107" t="s">
        <v>4</v>
      </c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</row>
    <row r="88" spans="1:16" s="39" customFormat="1" ht="16.5" customHeight="1" outlineLevel="1" x14ac:dyDescent="0.15">
      <c r="D88" s="40"/>
      <c r="E88" s="40"/>
      <c r="F88" s="40"/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 spans="1:16" s="29" customFormat="1" outlineLevel="1" x14ac:dyDescent="0.15">
      <c r="A89" s="28" t="s">
        <v>78</v>
      </c>
      <c r="B89" s="80"/>
      <c r="C89" s="80"/>
      <c r="D89" s="149"/>
      <c r="E89" s="149"/>
      <c r="F89" s="149"/>
      <c r="G89" s="80"/>
      <c r="H89" s="80"/>
      <c r="I89" s="80"/>
      <c r="J89" s="80"/>
      <c r="K89" s="80"/>
      <c r="L89" s="80"/>
      <c r="M89" s="80"/>
      <c r="N89" s="80"/>
      <c r="O89" s="80"/>
      <c r="P89" s="80"/>
    </row>
    <row r="90" spans="1:16" s="29" customFormat="1" outlineLevel="1" x14ac:dyDescent="0.15">
      <c r="A90" s="80"/>
      <c r="B90" s="80" t="s">
        <v>81</v>
      </c>
      <c r="C90" s="80"/>
      <c r="D90" s="149" t="s">
        <v>125</v>
      </c>
      <c r="E90" s="150">
        <f>IFERROR(AVERAGE(G90:P90),"na")</f>
        <v>2100</v>
      </c>
      <c r="F90" s="163" t="s">
        <v>157</v>
      </c>
      <c r="G90" s="164">
        <f t="shared" ref="G90:P90" si="7">G22</f>
        <v>2100</v>
      </c>
      <c r="H90" s="164">
        <f t="shared" si="7"/>
        <v>2100</v>
      </c>
      <c r="I90" s="164">
        <f t="shared" si="7"/>
        <v>2100</v>
      </c>
      <c r="J90" s="164">
        <f t="shared" si="7"/>
        <v>2100</v>
      </c>
      <c r="K90" s="164">
        <f t="shared" si="7"/>
        <v>2100</v>
      </c>
      <c r="L90" s="164">
        <f t="shared" si="7"/>
        <v>2100</v>
      </c>
      <c r="M90" s="164">
        <f t="shared" si="7"/>
        <v>2100</v>
      </c>
      <c r="N90" s="164">
        <f t="shared" si="7"/>
        <v>2100</v>
      </c>
      <c r="O90" s="164">
        <f t="shared" si="7"/>
        <v>2100</v>
      </c>
      <c r="P90" s="164">
        <f t="shared" si="7"/>
        <v>2100</v>
      </c>
    </row>
    <row r="91" spans="1:16" s="29" customFormat="1" outlineLevel="1" x14ac:dyDescent="0.15">
      <c r="A91" s="80"/>
      <c r="B91" s="80"/>
      <c r="C91" s="80"/>
      <c r="D91" s="149"/>
      <c r="E91" s="149"/>
      <c r="F91" s="149"/>
      <c r="G91" s="80"/>
      <c r="H91" s="80"/>
      <c r="I91" s="80"/>
      <c r="J91" s="80"/>
      <c r="K91" s="80"/>
      <c r="L91" s="80"/>
      <c r="M91" s="80"/>
      <c r="N91" s="80"/>
      <c r="O91" s="80"/>
      <c r="P91" s="80"/>
    </row>
    <row r="92" spans="1:16" s="33" customFormat="1" outlineLevel="1" x14ac:dyDescent="0.15">
      <c r="A92" s="28" t="s">
        <v>169</v>
      </c>
      <c r="B92" s="78"/>
      <c r="C92" s="78"/>
      <c r="D92" s="78"/>
      <c r="E92" s="79"/>
      <c r="F92" s="79"/>
      <c r="G92" s="78"/>
      <c r="H92" s="78"/>
      <c r="I92" s="78"/>
      <c r="J92" s="78"/>
      <c r="K92" s="78"/>
      <c r="L92" s="78"/>
      <c r="M92" s="78"/>
      <c r="N92" s="78"/>
      <c r="O92" s="78"/>
      <c r="P92" s="78"/>
    </row>
    <row r="93" spans="1:16" s="37" customFormat="1" outlineLevel="1" x14ac:dyDescent="0.15">
      <c r="B93" s="80" t="s">
        <v>81</v>
      </c>
      <c r="D93" s="79" t="s">
        <v>165</v>
      </c>
      <c r="E93" s="150">
        <f>IFERROR(AVERAGE(G93:P93),"na")</f>
        <v>345114</v>
      </c>
      <c r="F93" s="150">
        <f>SUM(G93:P93)</f>
        <v>3451140</v>
      </c>
      <c r="G93" s="164">
        <f t="shared" ref="G93:P93" si="8">G84</f>
        <v>194040</v>
      </c>
      <c r="H93" s="164">
        <f t="shared" si="8"/>
        <v>345510</v>
      </c>
      <c r="I93" s="164">
        <f t="shared" si="8"/>
        <v>444510</v>
      </c>
      <c r="J93" s="164">
        <f t="shared" si="8"/>
        <v>420750</v>
      </c>
      <c r="K93" s="164">
        <f t="shared" si="8"/>
        <v>366300</v>
      </c>
      <c r="L93" s="164">
        <f t="shared" si="8"/>
        <v>304920</v>
      </c>
      <c r="M93" s="164">
        <f t="shared" si="8"/>
        <v>426690</v>
      </c>
      <c r="N93" s="164">
        <f t="shared" si="8"/>
        <v>396990</v>
      </c>
      <c r="O93" s="164">
        <f t="shared" si="8"/>
        <v>295020</v>
      </c>
      <c r="P93" s="164">
        <f t="shared" si="8"/>
        <v>256410</v>
      </c>
    </row>
    <row r="94" spans="1:16" s="29" customFormat="1" outlineLevel="1" x14ac:dyDescent="0.15">
      <c r="A94" s="80"/>
      <c r="B94" s="80"/>
      <c r="C94" s="80"/>
      <c r="D94" s="149"/>
      <c r="E94" s="150"/>
      <c r="F94" s="163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 s="29" customFormat="1" outlineLevel="1" x14ac:dyDescent="0.15">
      <c r="A95" s="28" t="s">
        <v>170</v>
      </c>
      <c r="B95" s="80"/>
      <c r="C95" s="80"/>
      <c r="D95" s="149"/>
      <c r="E95" s="150"/>
      <c r="F95" s="163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 s="29" customFormat="1" outlineLevel="1" x14ac:dyDescent="0.15">
      <c r="A96" s="80"/>
      <c r="B96" s="80" t="s">
        <v>167</v>
      </c>
      <c r="C96" s="80"/>
      <c r="D96" s="149" t="s">
        <v>156</v>
      </c>
      <c r="E96" s="150">
        <f>IFERROR(AVERAGE(G96:P96),"na")</f>
        <v>9738831.9000000004</v>
      </c>
      <c r="F96" s="150">
        <f>SUM(G96:P96)</f>
        <v>97388319</v>
      </c>
      <c r="G96" s="164">
        <f t="shared" ref="G96:P96" si="9">SUM(G69:G70)</f>
        <v>51319</v>
      </c>
      <c r="H96" s="164">
        <f t="shared" si="9"/>
        <v>8118000</v>
      </c>
      <c r="I96" s="164">
        <f t="shared" si="9"/>
        <v>12352000</v>
      </c>
      <c r="J96" s="164">
        <f t="shared" si="9"/>
        <v>11894000</v>
      </c>
      <c r="K96" s="164">
        <f t="shared" si="9"/>
        <v>11421000</v>
      </c>
      <c r="L96" s="164">
        <f t="shared" si="9"/>
        <v>10674000</v>
      </c>
      <c r="M96" s="164">
        <f t="shared" si="9"/>
        <v>11418000</v>
      </c>
      <c r="N96" s="164">
        <f t="shared" si="9"/>
        <v>11163000</v>
      </c>
      <c r="O96" s="164">
        <f t="shared" si="9"/>
        <v>10525000</v>
      </c>
      <c r="P96" s="164">
        <f t="shared" si="9"/>
        <v>9772000</v>
      </c>
    </row>
    <row r="97" spans="1:16" s="37" customFormat="1" outlineLevel="1" x14ac:dyDescent="0.15">
      <c r="E97" s="38"/>
      <c r="F97" s="150"/>
    </row>
    <row r="98" spans="1:16" s="37" customFormat="1" outlineLevel="1" x14ac:dyDescent="0.15">
      <c r="E98" s="38"/>
      <c r="F98" s="38"/>
    </row>
    <row r="99" spans="1:16" s="33" customFormat="1" outlineLevel="1" x14ac:dyDescent="0.15">
      <c r="A99" s="70" t="s">
        <v>171</v>
      </c>
      <c r="B99" s="71"/>
      <c r="C99" s="71"/>
      <c r="D99" s="72"/>
      <c r="E99" s="72"/>
      <c r="F99" s="72"/>
      <c r="G99" s="78"/>
      <c r="H99" s="78"/>
      <c r="I99" s="78"/>
      <c r="J99" s="78"/>
      <c r="K99" s="78"/>
      <c r="L99" s="78"/>
      <c r="M99" s="78"/>
      <c r="N99" s="78"/>
      <c r="O99" s="78"/>
      <c r="P99" s="78"/>
    </row>
    <row r="100" spans="1:16" s="33" customFormat="1" outlineLevel="1" x14ac:dyDescent="0.15">
      <c r="A100" s="37"/>
      <c r="B100" s="78"/>
      <c r="C100" s="78"/>
      <c r="D100" s="79"/>
      <c r="E100" s="79"/>
      <c r="F100" s="79"/>
      <c r="G100" s="78"/>
      <c r="H100" s="78"/>
      <c r="I100" s="78"/>
      <c r="J100" s="78"/>
      <c r="K100" s="78"/>
      <c r="L100" s="78"/>
      <c r="M100" s="78"/>
      <c r="N100" s="78"/>
      <c r="O100" s="78"/>
      <c r="P100" s="78"/>
    </row>
    <row r="101" spans="1:16" s="33" customFormat="1" outlineLevel="1" x14ac:dyDescent="0.15">
      <c r="A101" s="78" t="s">
        <v>172</v>
      </c>
      <c r="B101" s="78"/>
      <c r="C101" s="78"/>
      <c r="D101" s="79"/>
      <c r="E101" s="79"/>
      <c r="F101" s="79"/>
      <c r="G101" s="78"/>
      <c r="H101" s="78"/>
      <c r="I101" s="78"/>
      <c r="J101" s="78"/>
      <c r="K101" s="78"/>
      <c r="L101" s="78"/>
      <c r="M101" s="78"/>
      <c r="N101" s="78"/>
      <c r="O101" s="78"/>
      <c r="P101" s="78"/>
    </row>
    <row r="102" spans="1:16" s="33" customFormat="1" outlineLevel="1" x14ac:dyDescent="0.15">
      <c r="A102" s="78"/>
      <c r="B102" s="78" t="s">
        <v>81</v>
      </c>
      <c r="C102" s="78"/>
      <c r="D102" s="79" t="s">
        <v>173</v>
      </c>
      <c r="E102" s="150">
        <f>IFERROR(AVERAGE(G102:P102),"na")</f>
        <v>724739400</v>
      </c>
      <c r="F102" s="150">
        <f>SUM(G102:P102)</f>
        <v>7247394000</v>
      </c>
      <c r="G102" s="78">
        <f t="shared" ref="G102:P102" si="10">G93*G90</f>
        <v>407484000</v>
      </c>
      <c r="H102" s="78">
        <f t="shared" si="10"/>
        <v>725571000</v>
      </c>
      <c r="I102" s="78">
        <f t="shared" si="10"/>
        <v>933471000</v>
      </c>
      <c r="J102" s="78">
        <f t="shared" si="10"/>
        <v>883575000</v>
      </c>
      <c r="K102" s="78">
        <f t="shared" si="10"/>
        <v>769230000</v>
      </c>
      <c r="L102" s="78">
        <f t="shared" si="10"/>
        <v>640332000</v>
      </c>
      <c r="M102" s="78">
        <f t="shared" si="10"/>
        <v>896049000</v>
      </c>
      <c r="N102" s="78">
        <f t="shared" si="10"/>
        <v>833679000</v>
      </c>
      <c r="O102" s="78">
        <f t="shared" si="10"/>
        <v>619542000</v>
      </c>
      <c r="P102" s="78">
        <f t="shared" si="10"/>
        <v>538461000</v>
      </c>
    </row>
    <row r="103" spans="1:16" s="33" customFormat="1" outlineLevel="1" x14ac:dyDescent="0.15">
      <c r="A103" s="42" t="s">
        <v>174</v>
      </c>
      <c r="B103" s="165"/>
      <c r="C103" s="165"/>
      <c r="D103" s="166"/>
      <c r="E103" s="65">
        <f>IFERROR(AVERAGE(G103:P103),"na")</f>
        <v>724739400</v>
      </c>
      <c r="F103" s="65">
        <f>SUM(G103:P103)</f>
        <v>7247394000</v>
      </c>
      <c r="G103" s="42">
        <f t="shared" ref="G103:P103" si="11">SUM(G102:G102)</f>
        <v>407484000</v>
      </c>
      <c r="H103" s="42">
        <f t="shared" si="11"/>
        <v>725571000</v>
      </c>
      <c r="I103" s="42">
        <f t="shared" si="11"/>
        <v>933471000</v>
      </c>
      <c r="J103" s="42">
        <f t="shared" si="11"/>
        <v>883575000</v>
      </c>
      <c r="K103" s="42">
        <f t="shared" si="11"/>
        <v>769230000</v>
      </c>
      <c r="L103" s="42">
        <f t="shared" si="11"/>
        <v>640332000</v>
      </c>
      <c r="M103" s="42">
        <f t="shared" si="11"/>
        <v>896049000</v>
      </c>
      <c r="N103" s="42">
        <f t="shared" si="11"/>
        <v>833679000</v>
      </c>
      <c r="O103" s="42">
        <f t="shared" si="11"/>
        <v>619542000</v>
      </c>
      <c r="P103" s="42">
        <f t="shared" si="11"/>
        <v>538461000</v>
      </c>
    </row>
    <row r="104" spans="1:16" s="33" customFormat="1" outlineLevel="1" x14ac:dyDescent="0.15">
      <c r="A104" s="173"/>
      <c r="B104" s="173"/>
      <c r="C104" s="173"/>
      <c r="D104" s="207"/>
      <c r="E104" s="207"/>
      <c r="F104" s="150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</row>
    <row r="105" spans="1:16" s="33" customFormat="1" outlineLevel="1" x14ac:dyDescent="0.15">
      <c r="A105" s="173" t="s">
        <v>271</v>
      </c>
      <c r="B105" s="173"/>
      <c r="C105" s="173"/>
      <c r="D105" s="131"/>
      <c r="E105" s="41"/>
      <c r="F105" s="132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</row>
    <row r="106" spans="1:16" s="33" customFormat="1" outlineLevel="1" x14ac:dyDescent="0.15">
      <c r="A106" s="130"/>
      <c r="B106" s="114" t="s">
        <v>269</v>
      </c>
      <c r="C106" s="173"/>
      <c r="D106" s="207" t="s">
        <v>125</v>
      </c>
      <c r="E106" s="150">
        <f t="shared" ref="E106:E107" si="12">IFERROR(AVERAGE(G106:P106),"na")</f>
        <v>1136</v>
      </c>
      <c r="F106" s="163"/>
      <c r="G106" s="208">
        <v>1136</v>
      </c>
      <c r="H106" s="208">
        <v>1136</v>
      </c>
      <c r="I106" s="208">
        <v>1136</v>
      </c>
      <c r="J106" s="208">
        <v>1136</v>
      </c>
      <c r="K106" s="208">
        <v>1136</v>
      </c>
      <c r="L106" s="208">
        <v>1136</v>
      </c>
      <c r="M106" s="208">
        <v>1136</v>
      </c>
      <c r="N106" s="208">
        <v>1136</v>
      </c>
      <c r="O106" s="208">
        <v>1136</v>
      </c>
      <c r="P106" s="208">
        <v>1136</v>
      </c>
    </row>
    <row r="107" spans="1:16" s="33" customFormat="1" outlineLevel="1" x14ac:dyDescent="0.15">
      <c r="A107" s="130"/>
      <c r="B107" s="114" t="s">
        <v>268</v>
      </c>
      <c r="C107" s="173"/>
      <c r="D107" s="207" t="s">
        <v>125</v>
      </c>
      <c r="E107" s="150">
        <f t="shared" si="12"/>
        <v>1064.4000000000001</v>
      </c>
      <c r="F107" s="163"/>
      <c r="G107" s="208">
        <v>0</v>
      </c>
      <c r="H107" s="208">
        <v>1172</v>
      </c>
      <c r="I107" s="208">
        <v>1172</v>
      </c>
      <c r="J107" s="208">
        <v>1172</v>
      </c>
      <c r="K107" s="208">
        <v>1172</v>
      </c>
      <c r="L107" s="208">
        <v>1172</v>
      </c>
      <c r="M107" s="208">
        <v>1196</v>
      </c>
      <c r="N107" s="208">
        <v>1196</v>
      </c>
      <c r="O107" s="208">
        <v>1196</v>
      </c>
      <c r="P107" s="208">
        <v>1196</v>
      </c>
    </row>
    <row r="108" spans="1:16" s="33" customFormat="1" outlineLevel="1" x14ac:dyDescent="0.15">
      <c r="A108" s="130"/>
      <c r="B108" s="173"/>
      <c r="C108" s="173"/>
      <c r="D108" s="207"/>
      <c r="E108" s="150"/>
      <c r="F108" s="207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</row>
    <row r="109" spans="1:16" s="33" customFormat="1" outlineLevel="1" x14ac:dyDescent="0.15">
      <c r="A109" s="173" t="s">
        <v>181</v>
      </c>
      <c r="B109" s="173"/>
      <c r="C109" s="173"/>
      <c r="D109" s="131"/>
      <c r="E109" s="41"/>
      <c r="F109" s="132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</row>
    <row r="110" spans="1:16" s="33" customFormat="1" outlineLevel="1" x14ac:dyDescent="0.15">
      <c r="A110" s="130"/>
      <c r="B110" s="114" t="s">
        <v>269</v>
      </c>
      <c r="C110" s="173"/>
      <c r="D110" s="207" t="s">
        <v>173</v>
      </c>
      <c r="E110" s="150">
        <f t="shared" ref="E110:E112" si="13">IFERROR(AVERAGE(G110:P110),"na")</f>
        <v>160935984</v>
      </c>
      <c r="F110" s="163">
        <f>SUM(G110:P110)</f>
        <v>1609359840</v>
      </c>
      <c r="G110" s="173">
        <f t="shared" ref="G110:P110" si="14">G106*G77*G81</f>
        <v>220429440</v>
      </c>
      <c r="H110" s="173">
        <f t="shared" si="14"/>
        <v>221554080</v>
      </c>
      <c r="I110" s="173">
        <f t="shared" si="14"/>
        <v>194562720</v>
      </c>
      <c r="J110" s="173">
        <f t="shared" si="14"/>
        <v>175443840</v>
      </c>
      <c r="K110" s="173">
        <f t="shared" si="14"/>
        <v>145078560</v>
      </c>
      <c r="L110" s="173">
        <f t="shared" si="14"/>
        <v>109090080</v>
      </c>
      <c r="M110" s="173">
        <f t="shared" si="14"/>
        <v>218180160</v>
      </c>
      <c r="N110" s="173">
        <f t="shared" si="14"/>
        <v>184440960</v>
      </c>
      <c r="O110" s="173">
        <f t="shared" si="14"/>
        <v>92220480</v>
      </c>
      <c r="P110" s="173">
        <f t="shared" si="14"/>
        <v>48359520</v>
      </c>
    </row>
    <row r="111" spans="1:16" s="33" customFormat="1" outlineLevel="1" x14ac:dyDescent="0.15">
      <c r="A111" s="130"/>
      <c r="B111" s="114" t="s">
        <v>268</v>
      </c>
      <c r="C111" s="173"/>
      <c r="D111" s="207" t="s">
        <v>173</v>
      </c>
      <c r="E111" s="203">
        <f t="shared" si="13"/>
        <v>240590196</v>
      </c>
      <c r="F111" s="163">
        <f>SUM(G111:P111)</f>
        <v>2405901960</v>
      </c>
      <c r="G111" s="201">
        <f t="shared" ref="G111:P111" si="15">G107*G78*G81</f>
        <v>0</v>
      </c>
      <c r="H111" s="201">
        <f t="shared" si="15"/>
        <v>176362560</v>
      </c>
      <c r="I111" s="201">
        <f t="shared" si="15"/>
        <v>320237280</v>
      </c>
      <c r="J111" s="201">
        <f t="shared" si="15"/>
        <v>312115320</v>
      </c>
      <c r="K111" s="201">
        <f t="shared" si="15"/>
        <v>279627480</v>
      </c>
      <c r="L111" s="201">
        <f t="shared" si="15"/>
        <v>244819080</v>
      </c>
      <c r="M111" s="201">
        <f t="shared" si="15"/>
        <v>280617480</v>
      </c>
      <c r="N111" s="201">
        <f t="shared" si="15"/>
        <v>280617480</v>
      </c>
      <c r="O111" s="201">
        <f t="shared" si="15"/>
        <v>255752640</v>
      </c>
      <c r="P111" s="201">
        <f t="shared" si="15"/>
        <v>255752640</v>
      </c>
    </row>
    <row r="112" spans="1:16" s="33" customFormat="1" outlineLevel="1" x14ac:dyDescent="0.15">
      <c r="A112" s="42" t="s">
        <v>64</v>
      </c>
      <c r="B112" s="165"/>
      <c r="C112" s="165"/>
      <c r="D112" s="166" t="s">
        <v>173</v>
      </c>
      <c r="E112" s="150">
        <f t="shared" si="13"/>
        <v>401526180</v>
      </c>
      <c r="F112" s="166">
        <f>SUM(G112:P112)</f>
        <v>4015261800</v>
      </c>
      <c r="G112" s="78">
        <f>SUM(G110:G111)</f>
        <v>220429440</v>
      </c>
      <c r="H112" s="78">
        <f t="shared" ref="H112:P112" si="16">SUM(H110:H111)</f>
        <v>397916640</v>
      </c>
      <c r="I112" s="78">
        <f t="shared" si="16"/>
        <v>514800000</v>
      </c>
      <c r="J112" s="78">
        <f t="shared" si="16"/>
        <v>487559160</v>
      </c>
      <c r="K112" s="78">
        <f t="shared" si="16"/>
        <v>424706040</v>
      </c>
      <c r="L112" s="78">
        <f t="shared" si="16"/>
        <v>353909160</v>
      </c>
      <c r="M112" s="78">
        <f t="shared" si="16"/>
        <v>498797640</v>
      </c>
      <c r="N112" s="78">
        <f t="shared" si="16"/>
        <v>465058440</v>
      </c>
      <c r="O112" s="78">
        <f t="shared" si="16"/>
        <v>347973120</v>
      </c>
      <c r="P112" s="78">
        <f t="shared" si="16"/>
        <v>304112160</v>
      </c>
    </row>
    <row r="113" spans="1:16" s="33" customFormat="1" outlineLevel="1" x14ac:dyDescent="0.15">
      <c r="A113" s="130"/>
      <c r="B113" s="173"/>
      <c r="C113" s="173"/>
      <c r="D113" s="207"/>
      <c r="E113" s="150"/>
      <c r="F113" s="207"/>
      <c r="G113" s="78"/>
      <c r="H113" s="78"/>
      <c r="I113" s="78"/>
      <c r="J113" s="78"/>
      <c r="K113" s="78"/>
      <c r="L113" s="78"/>
      <c r="M113" s="78"/>
      <c r="N113" s="78"/>
      <c r="O113" s="78"/>
      <c r="P113" s="78"/>
    </row>
    <row r="114" spans="1:16" s="33" customFormat="1" ht="16" customHeight="1" outlineLevel="1" x14ac:dyDescent="0.15">
      <c r="A114" s="37" t="s">
        <v>281</v>
      </c>
      <c r="B114" s="78"/>
      <c r="C114" s="78"/>
      <c r="D114" s="38" t="s">
        <v>173</v>
      </c>
      <c r="E114" s="41">
        <f>IFERROR(AVERAGE(G114:P114),"na")</f>
        <v>323213220</v>
      </c>
      <c r="F114" s="41">
        <f t="shared" ref="F114:P114" si="17">F103-F112</f>
        <v>3232132200</v>
      </c>
      <c r="G114" s="41">
        <f>G103-G112</f>
        <v>187054560</v>
      </c>
      <c r="H114" s="41">
        <f t="shared" si="17"/>
        <v>327654360</v>
      </c>
      <c r="I114" s="41">
        <f t="shared" si="17"/>
        <v>418671000</v>
      </c>
      <c r="J114" s="41">
        <f t="shared" si="17"/>
        <v>396015840</v>
      </c>
      <c r="K114" s="41">
        <f t="shared" si="17"/>
        <v>344523960</v>
      </c>
      <c r="L114" s="41">
        <f t="shared" si="17"/>
        <v>286422840</v>
      </c>
      <c r="M114" s="41">
        <f t="shared" si="17"/>
        <v>397251360</v>
      </c>
      <c r="N114" s="41">
        <f t="shared" si="17"/>
        <v>368620560</v>
      </c>
      <c r="O114" s="41">
        <f t="shared" si="17"/>
        <v>271568880</v>
      </c>
      <c r="P114" s="41">
        <f t="shared" si="17"/>
        <v>234348840</v>
      </c>
    </row>
    <row r="115" spans="1:16" s="33" customFormat="1" x14ac:dyDescent="0.15">
      <c r="A115" s="78"/>
      <c r="B115" s="78"/>
      <c r="C115" s="78"/>
      <c r="D115" s="79"/>
      <c r="E115" s="79"/>
      <c r="F115" s="79"/>
      <c r="G115" s="78"/>
      <c r="H115" s="78"/>
      <c r="I115" s="78"/>
      <c r="J115" s="78"/>
      <c r="K115" s="78"/>
      <c r="L115" s="78"/>
      <c r="M115" s="78"/>
      <c r="N115" s="78"/>
      <c r="O115" s="78"/>
      <c r="P115" s="78"/>
    </row>
    <row r="116" spans="1:16" s="50" customFormat="1" ht="18.75" customHeight="1" x14ac:dyDescent="0.2">
      <c r="A116" s="107" t="s">
        <v>198</v>
      </c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</row>
    <row r="117" spans="1:16" s="33" customFormat="1" outlineLevel="1" x14ac:dyDescent="0.15">
      <c r="A117" s="78"/>
      <c r="B117" s="78"/>
      <c r="C117" s="78"/>
      <c r="D117" s="79"/>
      <c r="E117" s="79"/>
      <c r="F117" s="79"/>
      <c r="G117" s="78"/>
      <c r="H117" s="78"/>
      <c r="I117" s="78"/>
      <c r="J117" s="78"/>
      <c r="K117" s="78"/>
      <c r="L117" s="78"/>
      <c r="M117" s="78"/>
      <c r="N117" s="78"/>
      <c r="O117" s="78"/>
      <c r="P117" s="78"/>
    </row>
    <row r="118" spans="1:16" s="33" customFormat="1" outlineLevel="1" x14ac:dyDescent="0.15">
      <c r="A118" s="37" t="s">
        <v>199</v>
      </c>
      <c r="B118" s="78"/>
      <c r="C118" s="78"/>
      <c r="D118" s="79"/>
      <c r="E118" s="79"/>
      <c r="F118" s="79"/>
      <c r="G118" s="78"/>
      <c r="H118" s="78"/>
      <c r="I118" s="78"/>
      <c r="J118" s="78"/>
      <c r="K118" s="78"/>
      <c r="L118" s="78"/>
      <c r="M118" s="78"/>
      <c r="N118" s="78"/>
      <c r="O118" s="78"/>
      <c r="P118" s="78"/>
    </row>
    <row r="119" spans="1:16" s="33" customFormat="1" outlineLevel="1" x14ac:dyDescent="0.15">
      <c r="A119" s="78" t="s">
        <v>281</v>
      </c>
      <c r="B119" s="78"/>
      <c r="C119" s="78"/>
      <c r="D119" s="79" t="s">
        <v>173</v>
      </c>
      <c r="E119" s="150">
        <f>IFERROR(AVERAGE(G119:P119),"na")</f>
        <v>323213220</v>
      </c>
      <c r="F119" s="150">
        <f>SUM(G119:P119)</f>
        <v>3232132200</v>
      </c>
      <c r="G119" s="78">
        <f>G114</f>
        <v>187054560</v>
      </c>
      <c r="H119" s="78">
        <f t="shared" ref="H119:P119" si="18">H114</f>
        <v>327654360</v>
      </c>
      <c r="I119" s="78">
        <f t="shared" si="18"/>
        <v>418671000</v>
      </c>
      <c r="J119" s="78">
        <f t="shared" si="18"/>
        <v>396015840</v>
      </c>
      <c r="K119" s="78">
        <f t="shared" si="18"/>
        <v>344523960</v>
      </c>
      <c r="L119" s="78">
        <f t="shared" si="18"/>
        <v>286422840</v>
      </c>
      <c r="M119" s="78">
        <f t="shared" si="18"/>
        <v>397251360</v>
      </c>
      <c r="N119" s="78">
        <f t="shared" si="18"/>
        <v>368620560</v>
      </c>
      <c r="O119" s="78">
        <f t="shared" si="18"/>
        <v>271568880</v>
      </c>
      <c r="P119" s="78">
        <f t="shared" si="18"/>
        <v>234348840</v>
      </c>
    </row>
    <row r="120" spans="1:16" s="33" customFormat="1" outlineLevel="1" x14ac:dyDescent="0.15">
      <c r="A120" s="78" t="s">
        <v>200</v>
      </c>
      <c r="B120" s="78"/>
      <c r="C120" s="78"/>
      <c r="D120" s="79"/>
      <c r="E120" s="79"/>
      <c r="F120" s="79"/>
      <c r="G120" s="78"/>
      <c r="H120" s="78"/>
      <c r="I120" s="78"/>
      <c r="J120" s="78"/>
      <c r="K120" s="78"/>
      <c r="L120" s="78"/>
      <c r="M120" s="78"/>
      <c r="N120" s="78"/>
      <c r="O120" s="78"/>
      <c r="P120" s="78"/>
    </row>
    <row r="121" spans="1:16" s="33" customFormat="1" outlineLevel="1" x14ac:dyDescent="0.15">
      <c r="A121" s="78" t="s">
        <v>202</v>
      </c>
      <c r="B121" s="78" t="s">
        <v>141</v>
      </c>
      <c r="C121" s="78"/>
      <c r="D121" s="79" t="s">
        <v>173</v>
      </c>
      <c r="E121" s="150">
        <f>IFERROR(AVERAGE(G121:P121),"na")</f>
        <v>64642644</v>
      </c>
      <c r="F121" s="150">
        <f>SUM(G121:P121)</f>
        <v>646426440</v>
      </c>
      <c r="G121" s="78">
        <f>G119*$F$49</f>
        <v>37410912</v>
      </c>
      <c r="H121" s="78">
        <f t="shared" ref="H121:P121" si="19">H119*$F$49</f>
        <v>65530872</v>
      </c>
      <c r="I121" s="78">
        <f t="shared" si="19"/>
        <v>83734200</v>
      </c>
      <c r="J121" s="78">
        <f t="shared" si="19"/>
        <v>79203168</v>
      </c>
      <c r="K121" s="78">
        <f t="shared" si="19"/>
        <v>68904792</v>
      </c>
      <c r="L121" s="78">
        <f t="shared" si="19"/>
        <v>57284568</v>
      </c>
      <c r="M121" s="78">
        <f t="shared" si="19"/>
        <v>79450272</v>
      </c>
      <c r="N121" s="78">
        <f t="shared" si="19"/>
        <v>73724112</v>
      </c>
      <c r="O121" s="78">
        <f t="shared" si="19"/>
        <v>54313776</v>
      </c>
      <c r="P121" s="78">
        <f t="shared" si="19"/>
        <v>46869768</v>
      </c>
    </row>
    <row r="122" spans="1:16" s="33" customFormat="1" outlineLevel="1" x14ac:dyDescent="0.15">
      <c r="A122" s="165"/>
      <c r="B122" s="165" t="s">
        <v>205</v>
      </c>
      <c r="C122" s="165"/>
      <c r="D122" s="166" t="s">
        <v>173</v>
      </c>
      <c r="E122" s="155">
        <f>IFERROR(AVERAGE(G122:P122),"na")</f>
        <v>64642644</v>
      </c>
      <c r="F122" s="155">
        <f>SUM(G122:P122)</f>
        <v>646426440</v>
      </c>
      <c r="G122" s="165">
        <f t="shared" ref="G122:P122" si="20">SUM(G121:G121)</f>
        <v>37410912</v>
      </c>
      <c r="H122" s="165">
        <f t="shared" si="20"/>
        <v>65530872</v>
      </c>
      <c r="I122" s="165">
        <f t="shared" si="20"/>
        <v>83734200</v>
      </c>
      <c r="J122" s="165">
        <f t="shared" si="20"/>
        <v>79203168</v>
      </c>
      <c r="K122" s="165">
        <f t="shared" si="20"/>
        <v>68904792</v>
      </c>
      <c r="L122" s="165">
        <f t="shared" si="20"/>
        <v>57284568</v>
      </c>
      <c r="M122" s="165">
        <f t="shared" si="20"/>
        <v>79450272</v>
      </c>
      <c r="N122" s="165">
        <f t="shared" si="20"/>
        <v>73724112</v>
      </c>
      <c r="O122" s="165">
        <f t="shared" si="20"/>
        <v>54313776</v>
      </c>
      <c r="P122" s="165">
        <f t="shared" si="20"/>
        <v>46869768</v>
      </c>
    </row>
    <row r="123" spans="1:16" s="33" customFormat="1" outlineLevel="1" x14ac:dyDescent="0.15">
      <c r="A123" s="78"/>
      <c r="B123" s="78"/>
      <c r="C123" s="78"/>
      <c r="D123" s="79"/>
      <c r="E123" s="79"/>
      <c r="F123" s="79"/>
      <c r="G123" s="78"/>
      <c r="H123" s="78"/>
      <c r="I123" s="78"/>
      <c r="J123" s="78"/>
      <c r="K123" s="78"/>
      <c r="L123" s="78"/>
      <c r="M123" s="78"/>
      <c r="N123" s="78"/>
      <c r="O123" s="78"/>
      <c r="P123" s="78"/>
    </row>
    <row r="124" spans="1:16" s="33" customFormat="1" outlineLevel="1" x14ac:dyDescent="0.15">
      <c r="A124" s="37" t="s">
        <v>199</v>
      </c>
      <c r="B124" s="78"/>
      <c r="C124" s="78"/>
      <c r="D124" s="79"/>
      <c r="E124" s="150">
        <f>IFERROR(AVERAGE(G124:P124),"na")</f>
        <v>387855864</v>
      </c>
      <c r="F124" s="150">
        <f>SUM(G124:P124)</f>
        <v>3878558640</v>
      </c>
      <c r="G124" s="37">
        <f t="shared" ref="G124:P124" si="21">G119+G122</f>
        <v>224465472</v>
      </c>
      <c r="H124" s="37">
        <f t="shared" si="21"/>
        <v>393185232</v>
      </c>
      <c r="I124" s="37">
        <f t="shared" si="21"/>
        <v>502405200</v>
      </c>
      <c r="J124" s="37">
        <f t="shared" si="21"/>
        <v>475219008</v>
      </c>
      <c r="K124" s="37">
        <f t="shared" si="21"/>
        <v>413428752</v>
      </c>
      <c r="L124" s="37">
        <f t="shared" si="21"/>
        <v>343707408</v>
      </c>
      <c r="M124" s="37">
        <f t="shared" si="21"/>
        <v>476701632</v>
      </c>
      <c r="N124" s="37">
        <f t="shared" si="21"/>
        <v>442344672</v>
      </c>
      <c r="O124" s="37">
        <f t="shared" si="21"/>
        <v>325882656</v>
      </c>
      <c r="P124" s="37">
        <f t="shared" si="21"/>
        <v>281218608</v>
      </c>
    </row>
    <row r="125" spans="1:16" s="33" customFormat="1" outlineLevel="1" x14ac:dyDescent="0.15">
      <c r="A125" s="78"/>
      <c r="B125" s="78"/>
      <c r="C125" s="78"/>
      <c r="D125" s="79"/>
      <c r="E125" s="79"/>
      <c r="F125" s="79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spans="1:16" s="33" customFormat="1" outlineLevel="1" x14ac:dyDescent="0.15">
      <c r="A126" s="37" t="s">
        <v>206</v>
      </c>
      <c r="B126" s="78"/>
      <c r="C126" s="78"/>
      <c r="D126" s="94">
        <f>F59</f>
        <v>0.12685948</v>
      </c>
      <c r="E126" s="163" t="s">
        <v>157</v>
      </c>
      <c r="F126" s="163" t="s">
        <v>157</v>
      </c>
      <c r="G126" s="43"/>
      <c r="H126" s="43"/>
      <c r="I126" s="43"/>
      <c r="J126" s="43"/>
      <c r="K126" s="43"/>
      <c r="L126" s="43"/>
      <c r="M126" s="43"/>
      <c r="N126" s="43"/>
      <c r="O126" s="43"/>
      <c r="P126" s="43"/>
    </row>
    <row r="127" spans="1:16" s="33" customFormat="1" outlineLevel="1" x14ac:dyDescent="0.15">
      <c r="A127" s="78"/>
      <c r="B127" s="78"/>
      <c r="C127" s="78"/>
      <c r="D127" s="79"/>
      <c r="E127" s="79"/>
      <c r="F127" s="79"/>
      <c r="G127" s="78"/>
      <c r="H127" s="78"/>
      <c r="I127" s="78"/>
      <c r="J127" s="78"/>
      <c r="K127" s="78"/>
      <c r="L127" s="78"/>
      <c r="M127" s="78"/>
      <c r="N127" s="78"/>
      <c r="O127" s="78"/>
      <c r="P127" s="78"/>
    </row>
    <row r="128" spans="1:16" s="33" customFormat="1" outlineLevel="1" x14ac:dyDescent="0.15">
      <c r="A128" s="37" t="s">
        <v>207</v>
      </c>
      <c r="B128" s="37"/>
      <c r="C128" s="37"/>
      <c r="D128" s="79" t="s">
        <v>173</v>
      </c>
      <c r="E128" s="3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</row>
    <row r="129" spans="1:16" s="33" customFormat="1" outlineLevel="1" x14ac:dyDescent="0.15">
      <c r="A129" s="113" t="s">
        <v>208</v>
      </c>
      <c r="B129" s="174"/>
      <c r="C129" s="175"/>
      <c r="D129" s="79"/>
      <c r="E129" s="108">
        <f>XNPV(D126,G129:P129,G1:P1)</f>
        <v>2392167282.5205288</v>
      </c>
      <c r="F129" s="37">
        <v>0</v>
      </c>
      <c r="G129" s="37">
        <f>G124</f>
        <v>224465472</v>
      </c>
      <c r="H129" s="37">
        <f t="shared" ref="H129:P129" si="22">H124</f>
        <v>393185232</v>
      </c>
      <c r="I129" s="37">
        <f t="shared" si="22"/>
        <v>502405200</v>
      </c>
      <c r="J129" s="37">
        <f t="shared" si="22"/>
        <v>475219008</v>
      </c>
      <c r="K129" s="37">
        <f t="shared" si="22"/>
        <v>413428752</v>
      </c>
      <c r="L129" s="37">
        <f t="shared" si="22"/>
        <v>343707408</v>
      </c>
      <c r="M129" s="37">
        <f t="shared" si="22"/>
        <v>476701632</v>
      </c>
      <c r="N129" s="37">
        <f t="shared" si="22"/>
        <v>442344672</v>
      </c>
      <c r="O129" s="37">
        <f t="shared" si="22"/>
        <v>325882656</v>
      </c>
      <c r="P129" s="37">
        <f t="shared" si="22"/>
        <v>281218608</v>
      </c>
    </row>
    <row r="130" spans="1:16" s="33" customFormat="1" outlineLevel="1" x14ac:dyDescent="0.15">
      <c r="A130" s="78" t="s">
        <v>209</v>
      </c>
      <c r="B130" s="78"/>
      <c r="C130" s="79"/>
      <c r="D130" s="79"/>
      <c r="E130" s="45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</row>
    <row r="131" spans="1:16" s="33" customFormat="1" outlineLevel="1" x14ac:dyDescent="0.15">
      <c r="A131" s="78"/>
      <c r="B131" s="78"/>
      <c r="C131" s="79"/>
      <c r="D131" s="79"/>
      <c r="E131" s="3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spans="1:16" s="33" customFormat="1" outlineLevel="1" x14ac:dyDescent="0.15">
      <c r="A132" s="78" t="s">
        <v>210</v>
      </c>
      <c r="B132" s="78"/>
      <c r="C132" s="176" t="s">
        <v>211</v>
      </c>
      <c r="D132" s="79"/>
      <c r="E132" s="37"/>
      <c r="F132" s="37"/>
      <c r="G132" s="37"/>
      <c r="H132" s="78"/>
      <c r="I132" s="78"/>
      <c r="J132" s="78"/>
      <c r="K132" s="78"/>
      <c r="L132" s="78"/>
      <c r="M132" s="78"/>
      <c r="N132" s="78"/>
      <c r="O132" s="78"/>
      <c r="P132" s="78"/>
    </row>
    <row r="133" spans="1:16" s="33" customFormat="1" outlineLevel="1" x14ac:dyDescent="0.15">
      <c r="A133" s="78"/>
      <c r="B133" s="78"/>
      <c r="C133" s="176" t="s">
        <v>212</v>
      </c>
      <c r="D133" s="79"/>
      <c r="E133" s="44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</row>
    <row r="134" spans="1:16" s="33" customFormat="1" outlineLevel="1" x14ac:dyDescent="0.15">
      <c r="A134" s="165" t="s">
        <v>213</v>
      </c>
      <c r="B134" s="165"/>
      <c r="C134" s="177" t="s">
        <v>214</v>
      </c>
      <c r="D134" s="166"/>
      <c r="E134" s="11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 s="33" customFormat="1" outlineLevel="1" x14ac:dyDescent="0.15">
      <c r="A135" s="78"/>
      <c r="B135" s="78"/>
      <c r="C135" s="78"/>
      <c r="D135" s="79"/>
      <c r="E135" s="79"/>
      <c r="F135" s="38"/>
      <c r="G135" s="78"/>
      <c r="H135" s="78"/>
      <c r="I135" s="78"/>
      <c r="J135" s="78"/>
      <c r="K135" s="78"/>
      <c r="L135" s="78"/>
      <c r="M135" s="78"/>
      <c r="N135" s="78"/>
      <c r="O135" s="78"/>
      <c r="P135" s="78"/>
    </row>
    <row r="136" spans="1:16" s="33" customFormat="1" outlineLevel="1" x14ac:dyDescent="0.15">
      <c r="A136" s="37" t="s">
        <v>215</v>
      </c>
      <c r="B136" s="78"/>
      <c r="C136" s="78"/>
      <c r="D136" s="79"/>
      <c r="E136" s="79"/>
      <c r="F136" s="79"/>
      <c r="G136" s="78"/>
      <c r="H136" s="78"/>
      <c r="I136" s="78"/>
      <c r="J136" s="78"/>
      <c r="K136" s="78"/>
      <c r="L136" s="78"/>
      <c r="M136" s="78"/>
      <c r="N136" s="78"/>
      <c r="O136" s="78"/>
      <c r="P136" s="78"/>
    </row>
    <row r="137" spans="1:16" s="33" customFormat="1" outlineLevel="1" x14ac:dyDescent="0.15">
      <c r="A137" s="78"/>
      <c r="B137" s="78" t="s">
        <v>211</v>
      </c>
      <c r="C137" s="78"/>
      <c r="D137" s="79"/>
      <c r="E137" s="79"/>
      <c r="F137" s="79"/>
      <c r="G137" s="78"/>
      <c r="H137" s="78"/>
      <c r="I137" s="78"/>
      <c r="J137" s="78"/>
      <c r="K137" s="78"/>
      <c r="L137" s="78"/>
      <c r="M137" s="78"/>
      <c r="N137" s="78"/>
      <c r="O137" s="78"/>
      <c r="P137" s="78"/>
    </row>
    <row r="138" spans="1:16" s="33" customFormat="1" outlineLevel="1" x14ac:dyDescent="0.15">
      <c r="A138" s="78"/>
      <c r="B138" s="78" t="s">
        <v>216</v>
      </c>
      <c r="C138" s="78"/>
      <c r="D138" s="79"/>
      <c r="E138" s="79"/>
      <c r="F138" s="79"/>
      <c r="G138" s="78"/>
      <c r="H138" s="78"/>
      <c r="I138" s="78"/>
      <c r="J138" s="78"/>
      <c r="K138" s="78"/>
      <c r="L138" s="78"/>
      <c r="M138" s="78"/>
      <c r="N138" s="78"/>
      <c r="O138" s="78"/>
      <c r="P138" s="78"/>
    </row>
    <row r="139" spans="1:16" s="33" customFormat="1" outlineLevel="1" x14ac:dyDescent="0.15">
      <c r="A139" s="165"/>
      <c r="B139" s="165" t="s">
        <v>64</v>
      </c>
      <c r="C139" s="165"/>
      <c r="D139" s="166"/>
      <c r="E139" s="166"/>
      <c r="F139" s="166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</row>
    <row r="140" spans="1:16" s="33" customFormat="1" outlineLevel="1" x14ac:dyDescent="0.15">
      <c r="A140" s="78"/>
      <c r="B140" s="78"/>
      <c r="C140" s="78"/>
      <c r="D140" s="79"/>
      <c r="E140" s="79"/>
      <c r="F140" s="79"/>
      <c r="G140" s="78"/>
      <c r="H140" s="78"/>
      <c r="I140" s="78"/>
      <c r="J140" s="78"/>
      <c r="K140" s="78"/>
      <c r="L140" s="78"/>
      <c r="M140" s="78"/>
      <c r="N140" s="78"/>
      <c r="O140" s="78"/>
      <c r="P140" s="78"/>
    </row>
    <row r="141" spans="1:16" s="33" customFormat="1" outlineLevel="1" x14ac:dyDescent="0.15">
      <c r="A141" s="78"/>
      <c r="B141" s="78" t="s">
        <v>217</v>
      </c>
      <c r="C141" s="78"/>
      <c r="D141" s="79"/>
      <c r="E141" s="79"/>
      <c r="F141" s="79"/>
      <c r="G141" s="78"/>
      <c r="H141" s="78"/>
      <c r="I141" s="78"/>
      <c r="J141" s="78"/>
      <c r="K141" s="78"/>
      <c r="L141" s="78"/>
      <c r="M141" s="78"/>
      <c r="N141" s="78"/>
      <c r="O141" s="78"/>
      <c r="P141" s="78"/>
    </row>
    <row r="142" spans="1:16" s="33" customFormat="1" outlineLevel="1" x14ac:dyDescent="0.15">
      <c r="A142" s="78"/>
      <c r="B142" s="78" t="s">
        <v>218</v>
      </c>
      <c r="C142" s="78"/>
      <c r="D142" s="79"/>
      <c r="E142" s="111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</row>
    <row r="143" spans="1:16" s="33" customFormat="1" outlineLevel="1" x14ac:dyDescent="0.15">
      <c r="A143" s="78"/>
      <c r="B143" s="78"/>
      <c r="C143" s="78"/>
      <c r="D143" s="79"/>
      <c r="E143" s="79"/>
      <c r="F143" s="79"/>
      <c r="G143" s="78"/>
      <c r="H143" s="78"/>
      <c r="I143" s="178"/>
      <c r="J143" s="178"/>
      <c r="K143" s="78"/>
      <c r="L143" s="78"/>
      <c r="M143" s="78"/>
      <c r="N143" s="78"/>
      <c r="O143" s="78"/>
      <c r="P143" s="78"/>
    </row>
    <row r="144" spans="1:16" s="33" customFormat="1" outlineLevel="1" x14ac:dyDescent="0.15">
      <c r="A144" s="37" t="s">
        <v>12</v>
      </c>
      <c r="B144" s="78"/>
      <c r="C144" s="78"/>
      <c r="D144" s="79"/>
      <c r="E144" s="79"/>
      <c r="F144" s="79"/>
      <c r="G144" s="78"/>
      <c r="H144" s="78"/>
      <c r="I144" s="178"/>
      <c r="J144" s="178"/>
      <c r="K144" s="78"/>
      <c r="L144" s="78"/>
      <c r="M144" s="78"/>
      <c r="N144" s="78"/>
      <c r="O144" s="78"/>
      <c r="P144" s="78"/>
    </row>
    <row r="145" spans="1:16" s="33" customFormat="1" outlineLevel="1" x14ac:dyDescent="0.15">
      <c r="A145" s="78" t="s">
        <v>219</v>
      </c>
      <c r="B145" s="78"/>
      <c r="C145" s="78"/>
      <c r="D145" s="79"/>
      <c r="E145" s="79">
        <f>E129</f>
        <v>2392167282.5205288</v>
      </c>
      <c r="F145" s="79"/>
      <c r="G145" s="78"/>
      <c r="H145" s="78"/>
      <c r="I145" s="178"/>
      <c r="J145" s="178"/>
      <c r="K145" s="78"/>
      <c r="L145" s="78"/>
      <c r="M145" s="78"/>
      <c r="N145" s="78"/>
      <c r="O145" s="78"/>
      <c r="P145" s="78"/>
    </row>
    <row r="146" spans="1:16" s="33" customFormat="1" outlineLevel="1" x14ac:dyDescent="0.15">
      <c r="A146" s="78" t="s">
        <v>220</v>
      </c>
      <c r="B146" s="78"/>
      <c r="C146" s="78"/>
      <c r="D146" s="79"/>
      <c r="E146" s="136">
        <v>34800000</v>
      </c>
      <c r="F146" s="79"/>
      <c r="G146" s="78"/>
      <c r="H146" s="78"/>
      <c r="I146" s="178"/>
      <c r="J146" s="178"/>
      <c r="K146" s="78"/>
      <c r="L146" s="78"/>
      <c r="M146" s="78"/>
      <c r="N146" s="78"/>
      <c r="O146" s="78"/>
      <c r="P146" s="78"/>
    </row>
    <row r="147" spans="1:16" s="33" customFormat="1" outlineLevel="1" x14ac:dyDescent="0.15">
      <c r="A147" s="78" t="s">
        <v>221</v>
      </c>
      <c r="B147" s="78"/>
      <c r="C147" s="78"/>
      <c r="D147" s="79"/>
      <c r="E147" s="136">
        <v>283700000</v>
      </c>
      <c r="F147" s="79"/>
      <c r="G147" s="78"/>
      <c r="H147" s="78"/>
      <c r="I147" s="178"/>
      <c r="J147" s="178"/>
      <c r="K147" s="78"/>
      <c r="L147" s="78"/>
      <c r="M147" s="78"/>
      <c r="N147" s="78"/>
      <c r="O147" s="78"/>
      <c r="P147" s="78"/>
    </row>
    <row r="148" spans="1:16" s="33" customFormat="1" outlineLevel="1" x14ac:dyDescent="0.15">
      <c r="A148" s="78" t="s">
        <v>222</v>
      </c>
      <c r="B148" s="78"/>
      <c r="C148" s="78"/>
      <c r="D148" s="79"/>
      <c r="E148" s="136">
        <v>252400000</v>
      </c>
      <c r="F148" s="79"/>
      <c r="G148" s="78"/>
      <c r="H148" s="78"/>
      <c r="I148" s="178"/>
      <c r="J148" s="178"/>
      <c r="K148" s="78"/>
      <c r="L148" s="78"/>
      <c r="M148" s="78"/>
      <c r="N148" s="78"/>
      <c r="O148" s="78"/>
      <c r="P148" s="78"/>
    </row>
    <row r="149" spans="1:16" s="33" customFormat="1" outlineLevel="1" x14ac:dyDescent="0.15">
      <c r="A149" s="37" t="s">
        <v>223</v>
      </c>
      <c r="B149" s="78"/>
      <c r="C149" s="78"/>
      <c r="D149" s="79"/>
      <c r="E149" s="109">
        <f>SUM(E145:E147)-E148</f>
        <v>2458267282.5205288</v>
      </c>
      <c r="F149" s="79"/>
      <c r="G149" s="78"/>
      <c r="H149" s="78"/>
      <c r="I149" s="178"/>
      <c r="J149" s="178"/>
      <c r="K149" s="78"/>
      <c r="L149" s="78"/>
      <c r="M149" s="78"/>
      <c r="N149" s="78"/>
      <c r="O149" s="78"/>
      <c r="P149" s="78"/>
    </row>
    <row r="150" spans="1:16" s="33" customFormat="1" outlineLevel="1" x14ac:dyDescent="0.15">
      <c r="A150" s="37"/>
      <c r="B150" s="78"/>
      <c r="C150" s="78"/>
      <c r="D150" s="79"/>
      <c r="E150" s="79"/>
      <c r="F150" s="79"/>
      <c r="G150" s="78"/>
      <c r="H150" s="78"/>
      <c r="I150" s="178"/>
      <c r="J150" s="178"/>
      <c r="K150" s="78"/>
      <c r="L150" s="78"/>
      <c r="M150" s="78"/>
      <c r="N150" s="78"/>
      <c r="O150" s="78"/>
      <c r="P150" s="78"/>
    </row>
    <row r="151" spans="1:16" s="33" customFormat="1" outlineLevel="1" x14ac:dyDescent="0.15">
      <c r="A151" s="78" t="s">
        <v>224</v>
      </c>
      <c r="B151" s="78"/>
      <c r="C151" s="78"/>
      <c r="D151" s="79"/>
      <c r="E151" s="79">
        <v>1139700000</v>
      </c>
      <c r="F151" s="79"/>
      <c r="G151" s="78"/>
      <c r="H151" s="78"/>
      <c r="I151" s="178"/>
      <c r="J151" s="178"/>
      <c r="K151" s="78"/>
      <c r="L151" s="78"/>
      <c r="M151" s="78"/>
      <c r="N151" s="78"/>
      <c r="O151" s="78"/>
      <c r="P151" s="78"/>
    </row>
    <row r="152" spans="1:16" s="33" customFormat="1" outlineLevel="1" x14ac:dyDescent="0.15">
      <c r="A152" s="78" t="s">
        <v>225</v>
      </c>
      <c r="B152" s="78"/>
      <c r="C152" s="78"/>
      <c r="D152" s="79"/>
      <c r="E152" s="179">
        <f>E149/E151</f>
        <v>2.1569424256563385</v>
      </c>
      <c r="F152" s="79"/>
      <c r="G152" s="78"/>
      <c r="H152" s="78"/>
      <c r="I152" s="178"/>
      <c r="J152" s="178"/>
      <c r="K152" s="78"/>
      <c r="L152" s="78"/>
      <c r="M152" s="78"/>
      <c r="N152" s="78"/>
      <c r="O152" s="78"/>
      <c r="P152" s="78"/>
    </row>
    <row r="153" spans="1:16" s="33" customFormat="1" outlineLevel="1" x14ac:dyDescent="0.15">
      <c r="A153" s="37"/>
      <c r="B153" s="78"/>
      <c r="C153" s="78"/>
      <c r="D153" s="79"/>
      <c r="E153" s="79"/>
      <c r="F153" s="79"/>
      <c r="G153" s="78"/>
      <c r="H153" s="78"/>
      <c r="I153" s="178"/>
      <c r="J153" s="178"/>
      <c r="K153" s="78"/>
      <c r="L153" s="78"/>
      <c r="M153" s="78"/>
      <c r="N153" s="78"/>
      <c r="O153" s="78"/>
      <c r="P153" s="78"/>
    </row>
    <row r="154" spans="1:16" s="33" customFormat="1" outlineLevel="1" x14ac:dyDescent="0.15">
      <c r="A154" s="37" t="s">
        <v>15</v>
      </c>
      <c r="B154" s="78"/>
      <c r="C154" s="78"/>
      <c r="D154" s="79"/>
      <c r="E154" s="179">
        <f>$F$61</f>
        <v>1.21</v>
      </c>
      <c r="F154" s="79"/>
      <c r="G154" s="78"/>
      <c r="H154" s="78"/>
      <c r="I154" s="178"/>
      <c r="J154" s="178"/>
      <c r="K154" s="78"/>
      <c r="L154" s="78"/>
      <c r="M154" s="78"/>
      <c r="N154" s="78"/>
      <c r="O154" s="78"/>
      <c r="P154" s="78"/>
    </row>
    <row r="155" spans="1:16" s="33" customFormat="1" outlineLevel="1" x14ac:dyDescent="0.15">
      <c r="A155" s="37" t="s">
        <v>56</v>
      </c>
      <c r="B155" s="78"/>
      <c r="C155" s="78"/>
      <c r="D155" s="79"/>
      <c r="E155" s="110">
        <f>E154/E152</f>
        <v>0.56097927585239449</v>
      </c>
      <c r="F155" s="79"/>
      <c r="G155" s="78"/>
      <c r="H155" s="78"/>
      <c r="I155" s="178"/>
      <c r="J155" s="178"/>
      <c r="K155" s="78"/>
      <c r="L155" s="78"/>
      <c r="M155" s="78"/>
      <c r="N155" s="78"/>
      <c r="O155" s="78"/>
      <c r="P155" s="78"/>
    </row>
    <row r="156" spans="1:16" s="33" customFormat="1" x14ac:dyDescent="0.15">
      <c r="A156" s="78"/>
      <c r="B156" s="78"/>
      <c r="C156" s="78"/>
      <c r="D156" s="79"/>
      <c r="E156" s="79"/>
      <c r="F156" s="79"/>
      <c r="G156" s="78"/>
      <c r="H156" s="78"/>
      <c r="I156" s="78"/>
      <c r="J156" s="78"/>
      <c r="K156" s="78"/>
      <c r="L156" s="78"/>
      <c r="M156" s="78"/>
      <c r="N156" s="78"/>
      <c r="O156" s="78"/>
      <c r="P156" s="78"/>
    </row>
    <row r="157" spans="1:16" s="50" customFormat="1" ht="18.75" customHeight="1" x14ac:dyDescent="0.2">
      <c r="A157" s="107" t="s">
        <v>226</v>
      </c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</row>
    <row r="158" spans="1:16" ht="16.5" hidden="1" customHeight="1" outlineLevel="1" x14ac:dyDescent="0.15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</row>
    <row r="159" spans="1:16" hidden="1" outlineLevel="1" x14ac:dyDescent="0.15">
      <c r="A159" s="77"/>
      <c r="B159" s="77"/>
      <c r="C159" s="77"/>
      <c r="D159" s="77"/>
      <c r="E159" s="77"/>
      <c r="F159" s="77"/>
      <c r="G159" s="77" t="s">
        <v>227</v>
      </c>
      <c r="H159" s="180"/>
      <c r="I159" s="146"/>
      <c r="J159" s="77"/>
      <c r="K159" s="77"/>
      <c r="L159" s="77"/>
      <c r="M159" s="77"/>
      <c r="N159" s="77"/>
      <c r="O159" s="77"/>
      <c r="P159" s="77"/>
    </row>
    <row r="160" spans="1:16" hidden="1" outlineLevel="1" x14ac:dyDescent="0.15">
      <c r="A160" s="77"/>
      <c r="B160" s="77"/>
      <c r="C160" s="77"/>
      <c r="D160" s="77"/>
      <c r="E160" s="77"/>
      <c r="F160" s="77"/>
      <c r="G160" s="77" t="s">
        <v>210</v>
      </c>
      <c r="H160" s="148"/>
      <c r="I160" s="146"/>
      <c r="J160" s="77"/>
      <c r="K160" s="77"/>
      <c r="L160" s="77"/>
      <c r="M160" s="77"/>
      <c r="N160" s="77"/>
      <c r="O160" s="77"/>
      <c r="P160" s="77"/>
    </row>
    <row r="161" spans="1:16" hidden="1" outlineLevel="1" x14ac:dyDescent="0.15">
      <c r="A161" s="77"/>
      <c r="B161" s="77"/>
      <c r="C161" s="77"/>
      <c r="D161" s="77"/>
      <c r="E161" s="77"/>
      <c r="F161" s="77"/>
      <c r="G161" s="77" t="s">
        <v>228</v>
      </c>
      <c r="H161" s="60"/>
      <c r="I161" s="13"/>
      <c r="J161" s="77"/>
      <c r="K161" s="77"/>
      <c r="L161" s="77"/>
      <c r="M161" s="77"/>
      <c r="N161" s="77"/>
      <c r="O161" s="77"/>
      <c r="P161" s="77"/>
    </row>
    <row r="162" spans="1:16" hidden="1" outlineLevel="1" x14ac:dyDescent="0.15">
      <c r="A162" s="77"/>
      <c r="B162" s="77"/>
      <c r="C162" s="77"/>
      <c r="D162" s="77"/>
      <c r="E162" s="77"/>
      <c r="F162" s="77"/>
      <c r="G162" s="77" t="s">
        <v>229</v>
      </c>
      <c r="H162" s="181"/>
      <c r="I162" s="142"/>
      <c r="J162" s="77"/>
      <c r="K162" s="77"/>
      <c r="L162" s="77"/>
      <c r="M162" s="77"/>
      <c r="N162" s="77"/>
      <c r="O162" s="77"/>
      <c r="P162" s="77"/>
    </row>
    <row r="163" spans="1:16" hidden="1" outlineLevel="1" x14ac:dyDescent="0.15">
      <c r="A163" s="77"/>
      <c r="B163" s="77"/>
      <c r="C163" s="77"/>
      <c r="D163" s="77"/>
      <c r="E163" s="77"/>
      <c r="F163" s="77"/>
      <c r="G163" s="77"/>
      <c r="H163" s="142"/>
      <c r="I163" s="77"/>
      <c r="J163" s="77"/>
      <c r="K163" s="77"/>
      <c r="L163" s="77"/>
      <c r="M163" s="77"/>
      <c r="N163" s="77"/>
      <c r="O163" s="77"/>
      <c r="P163" s="77"/>
    </row>
    <row r="164" spans="1:16" ht="15.75" hidden="1" customHeight="1" outlineLevel="1" x14ac:dyDescent="0.15">
      <c r="A164" s="77"/>
      <c r="B164" s="77"/>
      <c r="C164" s="77"/>
      <c r="D164" s="77"/>
      <c r="E164" s="77"/>
      <c r="F164" s="77"/>
      <c r="G164" s="51" t="s">
        <v>229</v>
      </c>
      <c r="H164" s="52"/>
      <c r="I164" s="52"/>
      <c r="J164" s="52"/>
      <c r="K164" s="52"/>
      <c r="L164" s="52"/>
      <c r="M164" s="77"/>
      <c r="N164" s="77"/>
      <c r="O164" s="77"/>
      <c r="P164" s="77"/>
    </row>
    <row r="165" spans="1:16" hidden="1" outlineLevel="1" x14ac:dyDescent="0.15">
      <c r="A165" s="77"/>
      <c r="B165" s="77"/>
      <c r="C165" s="77"/>
      <c r="D165" s="77"/>
      <c r="E165" s="77"/>
      <c r="F165" s="77"/>
      <c r="G165" s="46"/>
      <c r="H165" s="182" t="s">
        <v>230</v>
      </c>
      <c r="I165" s="182"/>
      <c r="J165" s="182"/>
      <c r="K165" s="182"/>
      <c r="L165" s="182"/>
      <c r="M165" s="77"/>
      <c r="N165" s="77"/>
      <c r="O165" s="77"/>
      <c r="P165" s="77"/>
    </row>
    <row r="166" spans="1:16" hidden="1" outlineLevel="1" x14ac:dyDescent="0.15">
      <c r="G166" s="47">
        <f>E134</f>
        <v>0</v>
      </c>
      <c r="H166" s="62">
        <v>1000</v>
      </c>
      <c r="I166" s="183">
        <f>+H166+200</f>
        <v>1200</v>
      </c>
      <c r="J166" s="183">
        <f t="shared" ref="J166:L166" si="23">+I166+200</f>
        <v>1400</v>
      </c>
      <c r="K166" s="183">
        <f t="shared" si="23"/>
        <v>1600</v>
      </c>
      <c r="L166" s="183">
        <f t="shared" si="23"/>
        <v>1800</v>
      </c>
    </row>
    <row r="167" spans="1:16" hidden="1" outlineLevel="1" x14ac:dyDescent="0.15">
      <c r="G167" s="61">
        <v>12</v>
      </c>
      <c r="H167" s="184"/>
      <c r="I167" s="184"/>
      <c r="J167" s="184"/>
      <c r="K167" s="184"/>
      <c r="L167" s="184"/>
    </row>
    <row r="168" spans="1:16" hidden="1" outlineLevel="1" x14ac:dyDescent="0.15">
      <c r="G168" s="185">
        <f>+G167-1</f>
        <v>11</v>
      </c>
      <c r="H168" s="142"/>
      <c r="I168" s="142"/>
      <c r="J168" s="142"/>
      <c r="K168" s="142"/>
      <c r="L168" s="142"/>
    </row>
    <row r="169" spans="1:16" hidden="1" outlineLevel="1" x14ac:dyDescent="0.15">
      <c r="G169" s="185">
        <f t="shared" ref="G169:G175" si="24">+G168-1</f>
        <v>10</v>
      </c>
      <c r="H169" s="142"/>
      <c r="I169" s="142"/>
      <c r="J169" s="142"/>
      <c r="K169" s="142"/>
      <c r="L169" s="142"/>
    </row>
    <row r="170" spans="1:16" hidden="1" outlineLevel="1" x14ac:dyDescent="0.15">
      <c r="G170" s="185">
        <f t="shared" si="24"/>
        <v>9</v>
      </c>
      <c r="H170" s="142"/>
      <c r="I170" s="186"/>
      <c r="J170" s="186"/>
      <c r="K170" s="186"/>
      <c r="L170" s="142"/>
    </row>
    <row r="171" spans="1:16" hidden="1" outlineLevel="1" x14ac:dyDescent="0.15">
      <c r="G171" s="185">
        <f t="shared" si="24"/>
        <v>8</v>
      </c>
      <c r="H171" s="142"/>
      <c r="I171" s="186"/>
      <c r="J171" s="186"/>
      <c r="K171" s="186"/>
      <c r="L171" s="142"/>
    </row>
    <row r="172" spans="1:16" hidden="1" outlineLevel="1" x14ac:dyDescent="0.15">
      <c r="G172" s="185">
        <f t="shared" si="24"/>
        <v>7</v>
      </c>
      <c r="H172" s="142"/>
      <c r="I172" s="186"/>
      <c r="J172" s="186"/>
      <c r="K172" s="186"/>
      <c r="L172" s="142"/>
    </row>
    <row r="173" spans="1:16" hidden="1" outlineLevel="1" x14ac:dyDescent="0.15">
      <c r="G173" s="185">
        <f t="shared" si="24"/>
        <v>6</v>
      </c>
      <c r="H173" s="142"/>
      <c r="I173" s="142"/>
      <c r="J173" s="142"/>
      <c r="K173" s="142"/>
      <c r="L173" s="142"/>
    </row>
    <row r="174" spans="1:16" hidden="1" outlineLevel="1" x14ac:dyDescent="0.15">
      <c r="G174" s="185">
        <f t="shared" si="24"/>
        <v>5</v>
      </c>
      <c r="H174" s="142"/>
      <c r="I174" s="142"/>
      <c r="J174" s="142"/>
      <c r="K174" s="142"/>
      <c r="L174" s="142"/>
    </row>
    <row r="175" spans="1:16" hidden="1" outlineLevel="1" x14ac:dyDescent="0.15">
      <c r="G175" s="185">
        <f t="shared" si="24"/>
        <v>4</v>
      </c>
      <c r="H175" s="142"/>
      <c r="I175" s="142"/>
      <c r="J175" s="142"/>
      <c r="K175" s="142"/>
      <c r="L175" s="142"/>
    </row>
    <row r="176" spans="1:16" hidden="1" outlineLevel="1" x14ac:dyDescent="0.15">
      <c r="G176" s="77"/>
      <c r="H176" s="77"/>
      <c r="I176" s="77"/>
      <c r="J176" s="77"/>
      <c r="K176" s="77"/>
      <c r="L176" s="77"/>
    </row>
    <row r="177" spans="1:16" hidden="1" outlineLevel="1" x14ac:dyDescent="0.15">
      <c r="G177" s="77"/>
      <c r="H177" s="77"/>
      <c r="I177" s="77"/>
      <c r="J177" s="77"/>
      <c r="K177" s="77"/>
      <c r="L177" s="77"/>
    </row>
    <row r="178" spans="1:16" ht="15.75" hidden="1" customHeight="1" outlineLevel="1" x14ac:dyDescent="0.15">
      <c r="G178" s="51" t="s">
        <v>231</v>
      </c>
      <c r="H178" s="52"/>
      <c r="I178" s="52"/>
      <c r="J178" s="52"/>
      <c r="K178" s="52"/>
      <c r="L178" s="52"/>
    </row>
    <row r="179" spans="1:16" hidden="1" outlineLevel="1" x14ac:dyDescent="0.15">
      <c r="G179" s="77"/>
      <c r="H179" s="182" t="s">
        <v>230</v>
      </c>
      <c r="I179" s="182"/>
      <c r="J179" s="182"/>
      <c r="K179" s="182"/>
      <c r="L179" s="182"/>
    </row>
    <row r="180" spans="1:16" hidden="1" outlineLevel="1" x14ac:dyDescent="0.15">
      <c r="G180" s="54">
        <f>E132/1000000</f>
        <v>0</v>
      </c>
      <c r="H180" s="62">
        <v>1000</v>
      </c>
      <c r="I180" s="183">
        <f>+H180+200</f>
        <v>1200</v>
      </c>
      <c r="J180" s="183">
        <f t="shared" ref="J180:L180" si="25">+I180+200</f>
        <v>1400</v>
      </c>
      <c r="K180" s="183">
        <f t="shared" si="25"/>
        <v>1600</v>
      </c>
      <c r="L180" s="183">
        <f t="shared" si="25"/>
        <v>1800</v>
      </c>
    </row>
    <row r="181" spans="1:16" hidden="1" outlineLevel="1" x14ac:dyDescent="0.15">
      <c r="G181" s="63">
        <v>0.09</v>
      </c>
      <c r="H181" s="187"/>
      <c r="I181" s="144"/>
      <c r="J181" s="144"/>
      <c r="K181" s="144"/>
      <c r="L181" s="144"/>
    </row>
    <row r="182" spans="1:16" hidden="1" outlineLevel="1" x14ac:dyDescent="0.15">
      <c r="A182" s="77"/>
      <c r="B182" s="77"/>
      <c r="C182" s="77"/>
      <c r="D182" s="77"/>
      <c r="E182" s="77"/>
      <c r="F182" s="77"/>
      <c r="G182" s="188">
        <f>G181-0.01</f>
        <v>0.08</v>
      </c>
      <c r="H182" s="146"/>
      <c r="I182" s="146"/>
      <c r="J182" s="146"/>
      <c r="K182" s="146"/>
      <c r="L182" s="146"/>
      <c r="M182" s="77"/>
      <c r="N182" s="77"/>
      <c r="O182" s="77"/>
      <c r="P182" s="77"/>
    </row>
    <row r="183" spans="1:16" hidden="1" outlineLevel="1" x14ac:dyDescent="0.15">
      <c r="A183" s="77"/>
      <c r="B183" s="77"/>
      <c r="C183" s="77"/>
      <c r="D183" s="77"/>
      <c r="E183" s="77"/>
      <c r="F183" s="77"/>
      <c r="G183" s="188">
        <f t="shared" ref="G183:G189" si="26">G182-0.01</f>
        <v>7.0000000000000007E-2</v>
      </c>
      <c r="H183" s="146"/>
      <c r="I183" s="146"/>
      <c r="J183" s="146"/>
      <c r="K183" s="146"/>
      <c r="L183" s="146"/>
      <c r="M183" s="77"/>
      <c r="N183" s="77"/>
      <c r="O183" s="77"/>
      <c r="P183" s="77"/>
    </row>
    <row r="184" spans="1:16" hidden="1" outlineLevel="1" x14ac:dyDescent="0.15">
      <c r="A184" s="77"/>
      <c r="B184" s="77"/>
      <c r="C184" s="77"/>
      <c r="D184" s="77"/>
      <c r="E184" s="77"/>
      <c r="F184" s="77"/>
      <c r="G184" s="188">
        <f t="shared" si="26"/>
        <v>6.0000000000000005E-2</v>
      </c>
      <c r="H184" s="146"/>
      <c r="I184" s="189"/>
      <c r="J184" s="189"/>
      <c r="K184" s="189"/>
      <c r="L184" s="146"/>
      <c r="M184" s="77"/>
      <c r="N184" s="77"/>
      <c r="O184" s="77"/>
      <c r="P184" s="77"/>
    </row>
    <row r="185" spans="1:16" hidden="1" outlineLevel="1" x14ac:dyDescent="0.15">
      <c r="A185" s="77"/>
      <c r="B185" s="77"/>
      <c r="C185" s="77"/>
      <c r="D185" s="77"/>
      <c r="E185" s="77"/>
      <c r="F185" s="77"/>
      <c r="G185" s="188">
        <f t="shared" si="26"/>
        <v>0.05</v>
      </c>
      <c r="H185" s="146"/>
      <c r="I185" s="189"/>
      <c r="J185" s="189"/>
      <c r="K185" s="189"/>
      <c r="L185" s="146"/>
      <c r="M185" s="77"/>
      <c r="N185" s="77"/>
      <c r="O185" s="77"/>
      <c r="P185" s="77"/>
    </row>
    <row r="186" spans="1:16" hidden="1" outlineLevel="1" x14ac:dyDescent="0.15">
      <c r="A186" s="77"/>
      <c r="B186" s="77"/>
      <c r="C186" s="77"/>
      <c r="D186" s="77"/>
      <c r="E186" s="77"/>
      <c r="F186" s="77"/>
      <c r="G186" s="188">
        <f t="shared" si="26"/>
        <v>0.04</v>
      </c>
      <c r="H186" s="146"/>
      <c r="I186" s="189"/>
      <c r="J186" s="189"/>
      <c r="K186" s="189"/>
      <c r="L186" s="146"/>
      <c r="M186" s="77"/>
      <c r="N186" s="77"/>
      <c r="O186" s="77"/>
      <c r="P186" s="77"/>
    </row>
    <row r="187" spans="1:16" hidden="1" outlineLevel="1" x14ac:dyDescent="0.15">
      <c r="A187" s="77"/>
      <c r="B187" s="77"/>
      <c r="C187" s="77"/>
      <c r="D187" s="77"/>
      <c r="E187" s="77"/>
      <c r="F187" s="77"/>
      <c r="G187" s="188">
        <f t="shared" si="26"/>
        <v>0.03</v>
      </c>
      <c r="H187" s="146"/>
      <c r="I187" s="146"/>
      <c r="J187" s="146"/>
      <c r="K187" s="146"/>
      <c r="L187" s="146"/>
      <c r="M187" s="77"/>
      <c r="N187" s="77"/>
      <c r="O187" s="77"/>
      <c r="P187" s="77"/>
    </row>
    <row r="188" spans="1:16" hidden="1" outlineLevel="1" x14ac:dyDescent="0.15">
      <c r="A188" s="77"/>
      <c r="B188" s="77"/>
      <c r="C188" s="77"/>
      <c r="D188" s="77"/>
      <c r="E188" s="77"/>
      <c r="F188" s="77"/>
      <c r="G188" s="188">
        <f t="shared" si="26"/>
        <v>1.9999999999999997E-2</v>
      </c>
      <c r="H188" s="146"/>
      <c r="I188" s="146"/>
      <c r="J188" s="146"/>
      <c r="K188" s="146"/>
      <c r="L188" s="146"/>
      <c r="M188" s="77"/>
      <c r="N188" s="77"/>
      <c r="O188" s="77"/>
      <c r="P188" s="77"/>
    </row>
    <row r="189" spans="1:16" hidden="1" outlineLevel="1" x14ac:dyDescent="0.15">
      <c r="A189" s="77"/>
      <c r="B189" s="77"/>
      <c r="C189" s="77"/>
      <c r="D189" s="77"/>
      <c r="E189" s="77"/>
      <c r="F189" s="77"/>
      <c r="G189" s="188">
        <f t="shared" si="26"/>
        <v>9.9999999999999967E-3</v>
      </c>
      <c r="H189" s="146"/>
      <c r="I189" s="146"/>
      <c r="J189" s="146"/>
      <c r="K189" s="146"/>
      <c r="L189" s="146"/>
      <c r="M189" s="77"/>
      <c r="N189" s="77"/>
      <c r="O189" s="77"/>
      <c r="P189" s="77"/>
    </row>
    <row r="190" spans="1:16" hidden="1" outlineLevel="1" x14ac:dyDescent="0.15">
      <c r="A190" s="77"/>
      <c r="B190" s="77"/>
      <c r="C190" s="77"/>
      <c r="D190" s="77"/>
      <c r="E190" s="77"/>
      <c r="F190" s="77"/>
      <c r="G190" s="142"/>
      <c r="H190" s="146"/>
      <c r="I190" s="146"/>
      <c r="J190" s="146"/>
      <c r="K190" s="146"/>
      <c r="L190" s="146"/>
      <c r="M190" s="77"/>
      <c r="N190" s="77"/>
      <c r="O190" s="77"/>
      <c r="P190" s="77"/>
    </row>
    <row r="191" spans="1:16" collapsed="1" x14ac:dyDescent="0.15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</row>
    <row r="192" spans="1:16" s="50" customFormat="1" ht="18.75" customHeight="1" x14ac:dyDescent="0.2">
      <c r="A192" s="107" t="s">
        <v>232</v>
      </c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</row>
    <row r="193" spans="1:16" s="29" customFormat="1" ht="24" hidden="1" customHeight="1" outlineLevel="2" x14ac:dyDescent="0.2">
      <c r="A193" s="80"/>
      <c r="B193" s="80"/>
      <c r="C193" s="80"/>
      <c r="D193" s="80"/>
      <c r="E193" s="80"/>
      <c r="F193" s="80"/>
      <c r="G193" s="56">
        <f t="shared" ref="G193:P193" si="27">G2</f>
        <v>2024</v>
      </c>
      <c r="H193" s="56">
        <f t="shared" si="27"/>
        <v>2025</v>
      </c>
      <c r="I193" s="56">
        <f t="shared" si="27"/>
        <v>2026</v>
      </c>
      <c r="J193" s="56">
        <f t="shared" si="27"/>
        <v>2027</v>
      </c>
      <c r="K193" s="56">
        <f t="shared" si="27"/>
        <v>2028</v>
      </c>
      <c r="L193" s="56">
        <f t="shared" si="27"/>
        <v>2029</v>
      </c>
      <c r="M193" s="56">
        <f t="shared" si="27"/>
        <v>2030</v>
      </c>
      <c r="N193" s="56">
        <f t="shared" si="27"/>
        <v>2031</v>
      </c>
      <c r="O193" s="56">
        <f t="shared" si="27"/>
        <v>2032</v>
      </c>
      <c r="P193" s="56">
        <f t="shared" si="27"/>
        <v>2033</v>
      </c>
    </row>
    <row r="194" spans="1:16" s="29" customFormat="1" hidden="1" outlineLevel="2" x14ac:dyDescent="0.15">
      <c r="A194" s="153" t="s">
        <v>233</v>
      </c>
      <c r="B194" s="153"/>
      <c r="C194" s="153"/>
      <c r="D194" s="153"/>
      <c r="E194" s="153"/>
      <c r="F194" s="153"/>
      <c r="G194" s="57"/>
      <c r="H194" s="57"/>
      <c r="I194" s="57"/>
      <c r="J194" s="57"/>
      <c r="K194" s="57"/>
      <c r="L194" s="57"/>
      <c r="M194" s="57"/>
      <c r="N194" s="57"/>
      <c r="O194" s="57"/>
      <c r="P194" s="57"/>
    </row>
    <row r="195" spans="1:16" s="29" customFormat="1" hidden="1" outlineLevel="2" x14ac:dyDescent="0.15">
      <c r="A195" s="80" t="s">
        <v>203</v>
      </c>
      <c r="B195" s="80"/>
      <c r="C195" s="80"/>
      <c r="D195" s="80"/>
      <c r="E195" s="80"/>
      <c r="F195" s="8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 s="29" customFormat="1" hidden="1" outlineLevel="2" x14ac:dyDescent="0.15">
      <c r="A196" s="153" t="s">
        <v>199</v>
      </c>
      <c r="B196" s="153"/>
      <c r="C196" s="153"/>
      <c r="D196" s="153"/>
      <c r="E196" s="153"/>
      <c r="F196" s="153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spans="1:16" s="29" customFormat="1" hidden="1" outlineLevel="2" x14ac:dyDescent="0.15">
      <c r="A197" s="80"/>
      <c r="B197" s="80"/>
      <c r="C197" s="80"/>
      <c r="D197" s="80"/>
      <c r="E197" s="80"/>
      <c r="F197" s="80"/>
      <c r="G197" s="55"/>
      <c r="H197" s="39"/>
      <c r="I197" s="39"/>
      <c r="J197" s="39"/>
      <c r="K197" s="39"/>
      <c r="L197" s="39"/>
      <c r="M197" s="39"/>
      <c r="N197" s="39"/>
      <c r="O197" s="39"/>
      <c r="P197" s="39"/>
    </row>
    <row r="198" spans="1:16" s="29" customFormat="1" hidden="1" outlineLevel="2" x14ac:dyDescent="0.15">
      <c r="A198" s="80" t="s">
        <v>215</v>
      </c>
      <c r="B198" s="80"/>
      <c r="C198" s="80"/>
      <c r="D198" s="80"/>
      <c r="E198" s="80"/>
      <c r="F198" s="80"/>
      <c r="G198" s="55"/>
      <c r="H198" s="55"/>
      <c r="I198" s="55"/>
      <c r="J198" s="55"/>
      <c r="K198" s="55"/>
      <c r="L198" s="55"/>
      <c r="M198" s="55"/>
      <c r="N198" s="55"/>
      <c r="O198" s="55"/>
      <c r="P198" s="55"/>
    </row>
    <row r="199" spans="1:16" s="29" customFormat="1" hidden="1" outlineLevel="2" x14ac:dyDescent="0.15">
      <c r="A199" s="80" t="s">
        <v>234</v>
      </c>
      <c r="B199" s="80"/>
      <c r="C199" s="80"/>
      <c r="D199" s="80"/>
      <c r="E199" s="80"/>
      <c r="F199" s="8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1:16" s="29" customFormat="1" hidden="1" outlineLevel="2" x14ac:dyDescent="0.15">
      <c r="A200" s="153" t="s">
        <v>199</v>
      </c>
      <c r="B200" s="153"/>
      <c r="C200" s="153"/>
      <c r="D200" s="153"/>
      <c r="E200" s="153"/>
      <c r="F200" s="153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spans="1:16" s="29" customFormat="1" hidden="1" outlineLevel="2" x14ac:dyDescent="0.15">
      <c r="A201" s="80"/>
      <c r="B201" s="80"/>
      <c r="C201" s="80"/>
      <c r="D201" s="80"/>
      <c r="E201" s="80"/>
      <c r="F201" s="80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 spans="1:16" s="29" customFormat="1" hidden="1" outlineLevel="2" x14ac:dyDescent="0.15">
      <c r="A202" s="80" t="s">
        <v>235</v>
      </c>
      <c r="B202" s="80"/>
      <c r="C202" s="80"/>
      <c r="D202" s="80"/>
      <c r="E202" s="80"/>
      <c r="F202" s="8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1:16" s="29" customFormat="1" hidden="1" outlineLevel="2" x14ac:dyDescent="0.15">
      <c r="A203" s="80" t="s">
        <v>236</v>
      </c>
      <c r="B203" s="80"/>
      <c r="C203" s="80"/>
      <c r="D203" s="80"/>
      <c r="E203" s="80"/>
      <c r="F203" s="8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1:16" s="29" customFormat="1" hidden="1" outlineLevel="2" x14ac:dyDescent="0.15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</row>
    <row r="205" spans="1:16" s="29" customFormat="1" hidden="1" outlineLevel="2" x14ac:dyDescent="0.1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</row>
    <row r="206" spans="1:16" s="29" customFormat="1" hidden="1" outlineLevel="2" x14ac:dyDescent="0.15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</row>
    <row r="207" spans="1:16" s="29" customFormat="1" hidden="1" outlineLevel="2" x14ac:dyDescent="0.15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</row>
    <row r="208" spans="1:16" s="29" customFormat="1" hidden="1" outlineLevel="2" x14ac:dyDescent="0.15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</row>
    <row r="209" spans="1:16" s="29" customFormat="1" hidden="1" outlineLevel="2" x14ac:dyDescent="0.15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</row>
    <row r="210" spans="1:16" s="29" customFormat="1" hidden="1" outlineLevel="2" x14ac:dyDescent="0.15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</row>
    <row r="211" spans="1:16" s="29" customFormat="1" hidden="1" outlineLevel="2" x14ac:dyDescent="0.15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</row>
    <row r="212" spans="1:16" s="29" customFormat="1" hidden="1" outlineLevel="2" x14ac:dyDescent="0.1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</row>
    <row r="213" spans="1:16" s="29" customFormat="1" hidden="1" outlineLevel="2" x14ac:dyDescent="0.15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</row>
    <row r="214" spans="1:16" s="29" customFormat="1" hidden="1" outlineLevel="2" x14ac:dyDescent="0.15"/>
    <row r="215" spans="1:16" s="29" customFormat="1" hidden="1" outlineLevel="2" x14ac:dyDescent="0.15"/>
    <row r="216" spans="1:16" s="29" customFormat="1" hidden="1" outlineLevel="2" x14ac:dyDescent="0.15"/>
    <row r="217" spans="1:16" s="29" customFormat="1" hidden="1" outlineLevel="2" x14ac:dyDescent="0.15"/>
    <row r="218" spans="1:16" s="29" customFormat="1" hidden="1" outlineLevel="2" x14ac:dyDescent="0.15"/>
    <row r="219" spans="1:16" s="29" customFormat="1" hidden="1" outlineLevel="2" x14ac:dyDescent="0.15"/>
    <row r="220" spans="1:16" s="29" customFormat="1" hidden="1" outlineLevel="2" x14ac:dyDescent="0.15"/>
    <row r="221" spans="1:16" s="29" customFormat="1" hidden="1" outlineLevel="2" x14ac:dyDescent="0.15"/>
    <row r="222" spans="1:16" s="29" customFormat="1" hidden="1" outlineLevel="2" x14ac:dyDescent="0.15"/>
    <row r="223" spans="1:16" s="29" customFormat="1" hidden="1" outlineLevel="2" x14ac:dyDescent="0.15"/>
    <row r="224" spans="1:16" s="29" customFormat="1" hidden="1" outlineLevel="2" x14ac:dyDescent="0.15"/>
    <row r="225" s="29" customFormat="1" hidden="1" outlineLevel="2" x14ac:dyDescent="0.15"/>
    <row r="226" s="29" customFormat="1" hidden="1" outlineLevel="2" x14ac:dyDescent="0.15"/>
    <row r="227" hidden="1" outlineLevel="2" x14ac:dyDescent="0.15"/>
    <row r="228" collapsed="1" x14ac:dyDescent="0.15"/>
  </sheetData>
  <conditionalFormatting sqref="A2 C2">
    <cfRule type="containsText" dxfId="27" priority="3" operator="containsText" text="OK">
      <formula>NOT(ISERROR(SEARCH("OK",A2)))</formula>
    </cfRule>
    <cfRule type="containsText" dxfId="26" priority="4" operator="containsText" text="ERROR">
      <formula>NOT(ISERROR(SEARCH("ERROR",A2)))</formula>
    </cfRule>
  </conditionalFormatting>
  <conditionalFormatting sqref="E3:P3">
    <cfRule type="containsText" dxfId="25" priority="1" operator="containsText" text="OK">
      <formula>NOT(ISERROR(SEARCH("OK",#REF!)))</formula>
    </cfRule>
    <cfRule type="containsText" dxfId="24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7FB4A90D-47B7-8140-9684-2E12BCC18A0D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6596-1CD7-CB44-B0BC-1087DB2A7A04}">
  <dimension ref="A1:P251"/>
  <sheetViews>
    <sheetView showGridLines="0" zoomScaleNormal="100" workbookViewId="0">
      <pane ySplit="3" topLeftCell="A131" activePane="bottomLeft" state="frozen"/>
      <selection activeCell="B314" sqref="B314"/>
      <selection pane="bottomLeft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7" width="13.83203125" style="5" customWidth="1"/>
    <col min="8" max="8" width="15.83203125" style="5" bestFit="1" customWidth="1"/>
    <col min="9" max="15" width="13.83203125" style="5" customWidth="1"/>
    <col min="16" max="16384" width="11.1640625" style="5"/>
  </cols>
  <sheetData>
    <row r="1" spans="1:15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O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</row>
    <row r="2" spans="1:15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O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</row>
    <row r="3" spans="1:15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</row>
    <row r="5" spans="1:15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</row>
    <row r="6" spans="1:15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spans="1:15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</row>
    <row r="8" spans="1:15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</row>
    <row r="9" spans="1:15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</row>
    <row r="10" spans="1:15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</row>
    <row r="11" spans="1:15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</row>
    <row r="12" spans="1:15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</row>
    <row r="13" spans="1:15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</row>
    <row r="14" spans="1:15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O14" si="2">+G14+1</f>
        <v>2025</v>
      </c>
      <c r="I14" s="121">
        <f t="shared" si="2"/>
        <v>2026</v>
      </c>
      <c r="J14" s="121">
        <f t="shared" si="2"/>
        <v>2027</v>
      </c>
      <c r="K14" s="121">
        <f t="shared" si="2"/>
        <v>2028</v>
      </c>
      <c r="L14" s="121">
        <f t="shared" si="2"/>
        <v>2029</v>
      </c>
      <c r="M14" s="121">
        <f t="shared" si="2"/>
        <v>2030</v>
      </c>
      <c r="N14" s="121">
        <f t="shared" si="2"/>
        <v>2031</v>
      </c>
      <c r="O14" s="121">
        <f t="shared" si="2"/>
        <v>2032</v>
      </c>
    </row>
    <row r="15" spans="1:15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</row>
    <row r="17" spans="1:16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</row>
    <row r="18" spans="1:16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</row>
    <row r="19" spans="1:16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</row>
    <row r="20" spans="1:16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</row>
    <row r="21" spans="1:16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</row>
    <row r="22" spans="1:16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O22" si="3">CHOOSE($F$22,G16,G18,G20)</f>
        <v>2100</v>
      </c>
      <c r="H22" s="14">
        <f t="shared" si="3"/>
        <v>2100</v>
      </c>
      <c r="I22" s="14">
        <f t="shared" si="3"/>
        <v>2100</v>
      </c>
      <c r="J22" s="14">
        <f t="shared" si="3"/>
        <v>2100</v>
      </c>
      <c r="K22" s="14">
        <f t="shared" si="3"/>
        <v>2100</v>
      </c>
      <c r="L22" s="14">
        <f t="shared" si="3"/>
        <v>2100</v>
      </c>
      <c r="M22" s="14">
        <f t="shared" si="3"/>
        <v>2100</v>
      </c>
      <c r="N22" s="14">
        <f t="shared" si="3"/>
        <v>2100</v>
      </c>
      <c r="O22" s="14">
        <f t="shared" si="3"/>
        <v>2100</v>
      </c>
    </row>
    <row r="23" spans="1:16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</row>
    <row r="24" spans="1:16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</row>
    <row r="25" spans="1:16" ht="17" customHeight="1" outlineLevel="1" x14ac:dyDescent="0.15">
      <c r="A25" s="77" t="s">
        <v>277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O25" si="4">+G25+1</f>
        <v>2025</v>
      </c>
      <c r="I25" s="121">
        <f t="shared" si="4"/>
        <v>2026</v>
      </c>
      <c r="J25" s="121">
        <f t="shared" si="4"/>
        <v>2027</v>
      </c>
      <c r="K25" s="121">
        <f t="shared" si="4"/>
        <v>2028</v>
      </c>
      <c r="L25" s="121">
        <f t="shared" si="4"/>
        <v>2029</v>
      </c>
      <c r="M25" s="121">
        <f t="shared" si="4"/>
        <v>2030</v>
      </c>
      <c r="N25" s="121">
        <f t="shared" si="4"/>
        <v>2031</v>
      </c>
      <c r="O25" s="121">
        <f t="shared" si="4"/>
        <v>2032</v>
      </c>
    </row>
    <row r="26" spans="1:16" ht="16.5" customHeight="1" outlineLevel="1" x14ac:dyDescent="0.15">
      <c r="A26" s="77"/>
      <c r="B26" s="77"/>
      <c r="C26" s="77"/>
      <c r="D26" s="77" t="s">
        <v>87</v>
      </c>
      <c r="E26" s="77" t="s">
        <v>88</v>
      </c>
      <c r="F26" s="148">
        <f>SUM(G26:O26)</f>
        <v>5740000</v>
      </c>
      <c r="G26" s="13">
        <v>540000</v>
      </c>
      <c r="H26" s="13">
        <v>540000</v>
      </c>
      <c r="I26" s="13">
        <v>540000</v>
      </c>
      <c r="J26" s="13">
        <v>550000</v>
      </c>
      <c r="K26" s="13">
        <v>840000</v>
      </c>
      <c r="L26" s="13">
        <v>980000</v>
      </c>
      <c r="M26" s="13">
        <v>830000</v>
      </c>
      <c r="N26" s="13">
        <v>700000</v>
      </c>
      <c r="O26" s="13">
        <v>220000</v>
      </c>
    </row>
    <row r="27" spans="1:16" ht="16.5" customHeight="1" outlineLevel="1" x14ac:dyDescent="0.15">
      <c r="A27" s="77"/>
      <c r="B27" s="77"/>
      <c r="C27" s="77"/>
      <c r="D27" s="77" t="s">
        <v>90</v>
      </c>
      <c r="E27" s="77" t="s">
        <v>91</v>
      </c>
      <c r="F27" s="147"/>
      <c r="G27" s="209">
        <v>5.0999999999999996</v>
      </c>
      <c r="H27" s="209">
        <v>5.0999999999999996</v>
      </c>
      <c r="I27" s="209">
        <v>5.0999999999999996</v>
      </c>
      <c r="J27" s="209">
        <v>5.0999999999999996</v>
      </c>
      <c r="K27" s="209">
        <v>4.8</v>
      </c>
      <c r="L27" s="209">
        <v>4.8</v>
      </c>
      <c r="M27" s="209">
        <v>4.8</v>
      </c>
      <c r="N27" s="209">
        <v>4.8</v>
      </c>
      <c r="O27" s="209">
        <v>4.8</v>
      </c>
    </row>
    <row r="28" spans="1:16" ht="16.5" customHeight="1" outlineLevel="1" x14ac:dyDescent="0.15">
      <c r="A28" s="77"/>
      <c r="B28" s="77"/>
      <c r="C28" s="77"/>
      <c r="D28" s="77" t="s">
        <v>92</v>
      </c>
      <c r="E28" s="77" t="s">
        <v>93</v>
      </c>
      <c r="F28" s="77"/>
      <c r="G28" s="118">
        <v>0.85</v>
      </c>
      <c r="H28" s="118">
        <v>0.85</v>
      </c>
      <c r="I28" s="118">
        <v>0.85</v>
      </c>
      <c r="J28" s="118">
        <v>0.85</v>
      </c>
      <c r="K28" s="118">
        <v>0.85</v>
      </c>
      <c r="L28" s="118">
        <v>0.85</v>
      </c>
      <c r="M28" s="118">
        <v>0.85</v>
      </c>
      <c r="N28" s="118">
        <v>0.85</v>
      </c>
      <c r="O28" s="118">
        <v>0.85</v>
      </c>
    </row>
    <row r="29" spans="1:16" ht="16.5" customHeight="1" outlineLevel="1" x14ac:dyDescent="0.15">
      <c r="A29" s="77"/>
      <c r="B29" s="77"/>
      <c r="C29" s="77"/>
      <c r="D29" s="77" t="s">
        <v>94</v>
      </c>
      <c r="E29" s="77"/>
      <c r="F29" s="77"/>
      <c r="G29" s="17">
        <f>G26/SUM(G26:$O$26)</f>
        <v>9.4076655052264813E-2</v>
      </c>
      <c r="H29" s="17">
        <f>H26/SUM(H26:$O$26)</f>
        <v>0.10384615384615385</v>
      </c>
      <c r="I29" s="17">
        <f>I26/SUM(I26:$O$26)</f>
        <v>0.11587982832618025</v>
      </c>
      <c r="J29" s="17">
        <f>J26/SUM(J26:$O$26)</f>
        <v>0.13349514563106796</v>
      </c>
      <c r="K29" s="17">
        <f>K26/SUM(K26:$O$26)</f>
        <v>0.23529411764705882</v>
      </c>
      <c r="L29" s="17">
        <f>L26/SUM(L26:$O$26)</f>
        <v>0.35897435897435898</v>
      </c>
      <c r="M29" s="17">
        <f>M26/SUM(M26:$O$26)</f>
        <v>0.47428571428571431</v>
      </c>
      <c r="N29" s="17">
        <f>N26/SUM(N26:$O$26)</f>
        <v>0.76086956521739135</v>
      </c>
      <c r="O29" s="17">
        <f>O26/SUM(O26:$O$26)</f>
        <v>1</v>
      </c>
    </row>
    <row r="30" spans="1:16" ht="16.5" customHeight="1" outlineLevel="1" x14ac:dyDescent="0.1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1:16" ht="16.5" customHeight="1" outlineLevel="1" x14ac:dyDescent="0.15">
      <c r="A31" s="77" t="s">
        <v>276</v>
      </c>
      <c r="B31" s="77"/>
      <c r="C31" s="77"/>
      <c r="D31" s="6" t="s">
        <v>95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  <row r="32" spans="1:16" ht="16.5" customHeight="1" outlineLevel="1" x14ac:dyDescent="0.15">
      <c r="A32" s="89"/>
      <c r="B32" s="77"/>
      <c r="C32" s="77"/>
      <c r="D32" s="121" t="s">
        <v>81</v>
      </c>
      <c r="E32" s="121"/>
      <c r="F32" s="97" t="s">
        <v>96</v>
      </c>
      <c r="G32" s="97" t="s">
        <v>97</v>
      </c>
      <c r="H32" s="97" t="s">
        <v>98</v>
      </c>
      <c r="I32" s="77"/>
      <c r="J32" s="77"/>
      <c r="K32" s="77"/>
      <c r="L32" s="77"/>
      <c r="M32" s="77"/>
      <c r="N32" s="77"/>
      <c r="O32" s="77"/>
      <c r="P32" s="77"/>
    </row>
    <row r="33" spans="1:16" ht="16.5" customHeight="1" outlineLevel="1" x14ac:dyDescent="0.15">
      <c r="A33" s="77"/>
      <c r="B33" s="77"/>
      <c r="C33" s="77"/>
      <c r="D33" s="77" t="s">
        <v>100</v>
      </c>
      <c r="E33" s="77"/>
      <c r="F33" s="82">
        <v>2772000</v>
      </c>
      <c r="G33" s="115">
        <v>5.0999999999999996</v>
      </c>
      <c r="H33" s="81">
        <f>F33*G33*$F$10</f>
        <v>454521.53439000738</v>
      </c>
      <c r="I33" s="77"/>
      <c r="J33" s="77"/>
      <c r="K33" s="77"/>
      <c r="L33" s="77"/>
      <c r="M33" s="77"/>
      <c r="N33" s="77"/>
      <c r="O33" s="77"/>
      <c r="P33" s="77"/>
    </row>
    <row r="34" spans="1:16" ht="16.5" customHeight="1" outlineLevel="1" x14ac:dyDescent="0.15">
      <c r="A34" s="143"/>
      <c r="B34" s="143"/>
      <c r="C34" s="143"/>
      <c r="D34" s="121" t="s">
        <v>101</v>
      </c>
      <c r="E34" s="121"/>
      <c r="F34" s="13">
        <v>2976000</v>
      </c>
      <c r="G34" s="115">
        <v>4.8</v>
      </c>
      <c r="H34" s="81">
        <f>F34*G34*$F$10</f>
        <v>459266.98458353698</v>
      </c>
      <c r="I34" s="77"/>
      <c r="J34" s="77"/>
      <c r="K34" s="77"/>
      <c r="L34" s="77"/>
      <c r="M34" s="77"/>
      <c r="N34" s="77"/>
      <c r="O34" s="77"/>
      <c r="P34" s="77"/>
    </row>
    <row r="35" spans="1:16" ht="16.5" customHeight="1" outlineLevel="1" x14ac:dyDescent="0.15">
      <c r="A35" s="77"/>
      <c r="B35" s="77"/>
      <c r="C35" s="77"/>
      <c r="D35" s="77" t="s">
        <v>102</v>
      </c>
      <c r="E35" s="77"/>
      <c r="F35" s="144">
        <f>SUM(F33:F34)</f>
        <v>5748000</v>
      </c>
      <c r="G35" s="19">
        <f>H35*$F$12/F35</f>
        <v>4.9446764091858029</v>
      </c>
      <c r="H35" s="12">
        <f>SUM(H33:H34)</f>
        <v>913788.51897354436</v>
      </c>
      <c r="I35" s="77"/>
      <c r="J35" s="77"/>
      <c r="K35" s="77"/>
      <c r="L35" s="77"/>
      <c r="M35" s="77"/>
      <c r="N35" s="77"/>
      <c r="O35" s="77"/>
      <c r="P35" s="77"/>
    </row>
    <row r="36" spans="1:16" ht="16.5" customHeight="1" outlineLevel="1" x14ac:dyDescent="0.15">
      <c r="A36" s="77"/>
      <c r="B36" s="77"/>
      <c r="C36" s="77"/>
      <c r="D36" s="77"/>
      <c r="E36" s="77"/>
      <c r="F36" s="123"/>
      <c r="G36" s="117"/>
      <c r="H36" s="81"/>
      <c r="I36" s="77"/>
      <c r="J36" s="77"/>
      <c r="K36" s="77"/>
      <c r="L36" s="77"/>
      <c r="M36" s="77"/>
      <c r="N36" s="77"/>
      <c r="O36" s="77"/>
      <c r="P36" s="77"/>
    </row>
    <row r="37" spans="1:16" ht="16.5" customHeight="1" outlineLevel="1" x14ac:dyDescent="0.15">
      <c r="A37" s="77" t="s">
        <v>273</v>
      </c>
      <c r="B37" s="77"/>
      <c r="C37" s="77"/>
      <c r="D37" s="6" t="s">
        <v>105</v>
      </c>
      <c r="E37" s="96" t="s">
        <v>274</v>
      </c>
      <c r="F37" s="96" t="s">
        <v>275</v>
      </c>
      <c r="H37" s="81"/>
      <c r="I37" s="77"/>
      <c r="J37" s="77"/>
      <c r="K37" s="77"/>
      <c r="L37" s="77"/>
      <c r="M37" s="77"/>
      <c r="N37" s="77"/>
      <c r="O37" s="77"/>
      <c r="P37" s="77"/>
    </row>
    <row r="38" spans="1:16" ht="16.5" customHeight="1" outlineLevel="1" x14ac:dyDescent="0.15">
      <c r="A38" s="77"/>
      <c r="B38" s="77"/>
      <c r="C38" s="77"/>
      <c r="D38" s="92" t="s">
        <v>107</v>
      </c>
      <c r="E38" s="11">
        <v>1500</v>
      </c>
      <c r="F38" s="11">
        <v>3000</v>
      </c>
      <c r="H38" s="77"/>
    </row>
    <row r="39" spans="1:16" ht="16.5" customHeight="1" outlineLevel="1" x14ac:dyDescent="0.15">
      <c r="B39" s="77"/>
      <c r="C39" s="77"/>
      <c r="D39" s="77" t="s">
        <v>108</v>
      </c>
      <c r="E39" s="145">
        <f>E38*365</f>
        <v>547500</v>
      </c>
      <c r="F39" s="148">
        <f>F38*365</f>
        <v>1095000</v>
      </c>
      <c r="H39" s="77"/>
      <c r="I39" s="77"/>
    </row>
    <row r="40" spans="1:16" ht="16.5" customHeight="1" outlineLevel="1" x14ac:dyDescent="0.15">
      <c r="A40" s="77"/>
      <c r="B40" s="77"/>
      <c r="C40" s="77"/>
      <c r="D40" s="77"/>
      <c r="E40" s="145"/>
      <c r="F40" s="148"/>
      <c r="H40" s="77"/>
      <c r="I40" s="77"/>
    </row>
    <row r="41" spans="1:16" ht="16.5" customHeight="1" outlineLevel="1" x14ac:dyDescent="0.15">
      <c r="A41" s="77"/>
      <c r="B41" s="77"/>
      <c r="C41" s="77"/>
      <c r="D41" s="86" t="s">
        <v>278</v>
      </c>
      <c r="E41" s="210"/>
      <c r="F41" s="195"/>
      <c r="H41" s="77"/>
      <c r="I41" s="77"/>
    </row>
    <row r="42" spans="1:16" ht="16.5" customHeight="1" outlineLevel="1" x14ac:dyDescent="0.15">
      <c r="A42" s="77"/>
      <c r="B42" s="77"/>
      <c r="C42" s="77"/>
      <c r="D42" s="77" t="s">
        <v>118</v>
      </c>
      <c r="E42" s="145" t="s">
        <v>280</v>
      </c>
      <c r="F42" s="82">
        <v>40</v>
      </c>
      <c r="H42" s="77"/>
      <c r="I42" s="77"/>
    </row>
    <row r="43" spans="1:16" ht="16.5" customHeight="1" outlineLevel="1" x14ac:dyDescent="0.15">
      <c r="A43" s="77"/>
      <c r="B43" s="77"/>
      <c r="C43" s="77"/>
      <c r="D43" s="77" t="s">
        <v>121</v>
      </c>
      <c r="E43" s="145" t="s">
        <v>280</v>
      </c>
      <c r="F43" s="82">
        <v>20</v>
      </c>
      <c r="H43" s="77"/>
      <c r="I43" s="77"/>
    </row>
    <row r="44" spans="1:16" ht="16.5" customHeight="1" outlineLevel="1" x14ac:dyDescent="0.15">
      <c r="A44" s="77"/>
      <c r="B44" s="77"/>
      <c r="C44" s="77"/>
      <c r="D44" s="77" t="s">
        <v>279</v>
      </c>
      <c r="E44" s="145" t="s">
        <v>280</v>
      </c>
      <c r="F44" s="82">
        <v>11</v>
      </c>
      <c r="H44" s="77"/>
      <c r="I44" s="77"/>
    </row>
    <row r="45" spans="1:16" ht="16.5" customHeight="1" outlineLevel="1" x14ac:dyDescent="0.15">
      <c r="A45" s="77"/>
      <c r="B45" s="77"/>
      <c r="C45" s="77"/>
      <c r="D45" s="10" t="s">
        <v>64</v>
      </c>
      <c r="E45" s="191" t="s">
        <v>280</v>
      </c>
      <c r="F45" s="11">
        <f>SUM(F42:F44)</f>
        <v>71</v>
      </c>
      <c r="H45" s="77"/>
      <c r="I45" s="77"/>
    </row>
    <row r="46" spans="1:16" ht="16.5" customHeight="1" outlineLevel="1" x14ac:dyDescent="0.15">
      <c r="A46" s="77"/>
      <c r="B46" s="77"/>
      <c r="C46" s="77"/>
      <c r="D46" s="77"/>
      <c r="E46" s="145"/>
      <c r="F46" s="82"/>
      <c r="H46" s="77"/>
      <c r="I46" s="77"/>
    </row>
    <row r="47" spans="1:16" ht="16.5" customHeight="1" outlineLevel="1" x14ac:dyDescent="0.15">
      <c r="A47" s="77"/>
      <c r="B47" s="77"/>
      <c r="C47" s="77"/>
      <c r="D47" s="86" t="s">
        <v>128</v>
      </c>
      <c r="E47" s="121"/>
      <c r="F47" s="121"/>
      <c r="G47" s="121">
        <v>2024</v>
      </c>
      <c r="H47" s="121">
        <f t="shared" ref="H47:O47" si="5">+G47+1</f>
        <v>2025</v>
      </c>
      <c r="I47" s="121">
        <f t="shared" si="5"/>
        <v>2026</v>
      </c>
      <c r="J47" s="121">
        <f t="shared" si="5"/>
        <v>2027</v>
      </c>
      <c r="K47" s="121">
        <f t="shared" si="5"/>
        <v>2028</v>
      </c>
      <c r="L47" s="121">
        <f t="shared" si="5"/>
        <v>2029</v>
      </c>
      <c r="M47" s="121">
        <f t="shared" si="5"/>
        <v>2030</v>
      </c>
      <c r="N47" s="121">
        <f t="shared" si="5"/>
        <v>2031</v>
      </c>
      <c r="O47" s="121">
        <f t="shared" si="5"/>
        <v>2032</v>
      </c>
    </row>
    <row r="48" spans="1:16" ht="16.5" customHeight="1" outlineLevel="1" x14ac:dyDescent="0.15">
      <c r="A48" s="77"/>
      <c r="B48" s="77"/>
      <c r="C48" s="77"/>
      <c r="D48" s="77" t="s">
        <v>258</v>
      </c>
      <c r="E48" s="77"/>
      <c r="F48" s="82">
        <v>15161800</v>
      </c>
      <c r="G48" s="147">
        <f>$F$48*G50</f>
        <v>1424386.2212943633</v>
      </c>
      <c r="H48" s="147">
        <f t="shared" ref="H48:O48" si="6">$F$48*H50</f>
        <v>1424386.2212943633</v>
      </c>
      <c r="I48" s="147">
        <f t="shared" si="6"/>
        <v>1424386.2212943633</v>
      </c>
      <c r="J48" s="147">
        <f t="shared" si="6"/>
        <v>1450763.7439109257</v>
      </c>
      <c r="K48" s="147">
        <f t="shared" si="6"/>
        <v>2215711.8997912318</v>
      </c>
      <c r="L48" s="147">
        <f t="shared" si="6"/>
        <v>2584997.2164231036</v>
      </c>
      <c r="M48" s="147">
        <f t="shared" si="6"/>
        <v>2189334.3771746694</v>
      </c>
      <c r="N48" s="147">
        <f t="shared" si="6"/>
        <v>1846426.5831593599</v>
      </c>
      <c r="O48" s="147">
        <f t="shared" si="6"/>
        <v>580305.49756437016</v>
      </c>
    </row>
    <row r="49" spans="1:15" ht="16" customHeight="1" outlineLevel="1" x14ac:dyDescent="0.15">
      <c r="A49" s="77"/>
      <c r="B49" s="77"/>
      <c r="C49" s="77"/>
      <c r="D49" s="77" t="s">
        <v>131</v>
      </c>
      <c r="E49" s="77"/>
      <c r="F49" s="82">
        <v>10000000</v>
      </c>
      <c r="G49" s="81">
        <f>G50*$F$49</f>
        <v>939457.20250521915</v>
      </c>
      <c r="H49" s="81">
        <f t="shared" ref="H49:O49" si="7">H50*$F$49</f>
        <v>939457.20250521915</v>
      </c>
      <c r="I49" s="81">
        <f t="shared" si="7"/>
        <v>939457.20250521915</v>
      </c>
      <c r="J49" s="81">
        <f t="shared" si="7"/>
        <v>956854.55810716772</v>
      </c>
      <c r="K49" s="81">
        <f t="shared" si="7"/>
        <v>1461377.8705636743</v>
      </c>
      <c r="L49" s="81">
        <f t="shared" si="7"/>
        <v>1704940.8489909535</v>
      </c>
      <c r="M49" s="81">
        <f t="shared" si="7"/>
        <v>1443980.5149617258</v>
      </c>
      <c r="N49" s="81">
        <f t="shared" si="7"/>
        <v>1217814.8921363952</v>
      </c>
      <c r="O49" s="81">
        <f t="shared" si="7"/>
        <v>382741.82324286707</v>
      </c>
    </row>
    <row r="50" spans="1:15" ht="16" customHeight="1" outlineLevel="1" x14ac:dyDescent="0.15">
      <c r="D50" s="77" t="s">
        <v>132</v>
      </c>
      <c r="E50" s="77" t="s">
        <v>88</v>
      </c>
      <c r="F50" s="14">
        <f>F35</f>
        <v>5748000</v>
      </c>
      <c r="G50" s="59">
        <f>G26/$F$50</f>
        <v>9.3945720250521919E-2</v>
      </c>
      <c r="H50" s="59">
        <f t="shared" ref="H50:O50" si="8">H26/$F$50</f>
        <v>9.3945720250521919E-2</v>
      </c>
      <c r="I50" s="59">
        <f t="shared" si="8"/>
        <v>9.3945720250521919E-2</v>
      </c>
      <c r="J50" s="59">
        <f t="shared" si="8"/>
        <v>9.5685455810716774E-2</v>
      </c>
      <c r="K50" s="59">
        <f t="shared" si="8"/>
        <v>0.14613778705636743</v>
      </c>
      <c r="L50" s="59">
        <f t="shared" si="8"/>
        <v>0.17049408489909534</v>
      </c>
      <c r="M50" s="59">
        <f t="shared" si="8"/>
        <v>0.14439805149617257</v>
      </c>
      <c r="N50" s="59">
        <f t="shared" si="8"/>
        <v>0.12178148921363953</v>
      </c>
      <c r="O50" s="59">
        <f t="shared" si="8"/>
        <v>3.8274182324286705E-2</v>
      </c>
    </row>
    <row r="51" spans="1:15" ht="16" customHeight="1" outlineLevel="1" x14ac:dyDescent="0.15">
      <c r="D51" s="10" t="s">
        <v>64</v>
      </c>
      <c r="E51" s="92" t="s">
        <v>173</v>
      </c>
      <c r="F51" s="12">
        <f>SUM(G51:O51)</f>
        <v>25126780.097425193</v>
      </c>
      <c r="G51" s="141">
        <f>G48+G49</f>
        <v>2363843.4237995823</v>
      </c>
      <c r="H51" s="141">
        <f t="shared" ref="H51:O51" si="9">H48+H49</f>
        <v>2363843.4237995823</v>
      </c>
      <c r="I51" s="141">
        <f t="shared" si="9"/>
        <v>2363843.4237995823</v>
      </c>
      <c r="J51" s="141">
        <f t="shared" si="9"/>
        <v>2407618.3020180934</v>
      </c>
      <c r="K51" s="141">
        <f t="shared" si="9"/>
        <v>3677089.7703549061</v>
      </c>
      <c r="L51" s="141">
        <f t="shared" si="9"/>
        <v>4289938.0654140571</v>
      </c>
      <c r="M51" s="141">
        <f t="shared" si="9"/>
        <v>3633314.892136395</v>
      </c>
      <c r="N51" s="141">
        <f t="shared" si="9"/>
        <v>3064241.4752957551</v>
      </c>
      <c r="O51" s="141">
        <f t="shared" si="9"/>
        <v>963047.32080723718</v>
      </c>
    </row>
    <row r="52" spans="1:15" outlineLevel="1" x14ac:dyDescent="0.15">
      <c r="A52" s="77"/>
      <c r="B52" s="77"/>
      <c r="C52" s="77"/>
      <c r="D52" s="77"/>
      <c r="E52" s="145"/>
      <c r="F52" s="77"/>
      <c r="H52" s="77"/>
      <c r="I52" s="77"/>
    </row>
    <row r="53" spans="1:15" outlineLevel="1" x14ac:dyDescent="0.15">
      <c r="A53" s="77"/>
      <c r="B53" s="77"/>
      <c r="C53" s="77"/>
      <c r="D53" s="86" t="s">
        <v>137</v>
      </c>
      <c r="E53" s="121"/>
      <c r="F53" s="210"/>
      <c r="G53" s="77"/>
      <c r="H53" s="77"/>
      <c r="I53" s="77"/>
    </row>
    <row r="54" spans="1:15" outlineLevel="1" x14ac:dyDescent="0.15">
      <c r="A54" s="89"/>
      <c r="B54" s="77"/>
      <c r="C54" s="77"/>
      <c r="D54" s="77" t="s">
        <v>141</v>
      </c>
      <c r="E54" s="77"/>
      <c r="F54" s="26">
        <v>0.2</v>
      </c>
      <c r="G54" s="77"/>
      <c r="H54" s="77"/>
      <c r="I54" s="77"/>
    </row>
    <row r="55" spans="1:15" outlineLevel="1" x14ac:dyDescent="0.15">
      <c r="A55" s="89"/>
      <c r="B55" s="77"/>
      <c r="C55" s="77"/>
      <c r="D55" s="77" t="s">
        <v>109</v>
      </c>
      <c r="E55" s="77"/>
      <c r="F55" s="26">
        <v>0.01</v>
      </c>
      <c r="G55" s="77"/>
      <c r="H55" s="77"/>
      <c r="I55" s="77"/>
    </row>
    <row r="56" spans="1:15" outlineLevel="1" x14ac:dyDescent="0.15">
      <c r="A56" s="77"/>
      <c r="B56" s="77"/>
      <c r="C56" s="77"/>
      <c r="D56" s="77"/>
      <c r="E56" s="77"/>
      <c r="F56" s="77"/>
      <c r="G56" s="77"/>
      <c r="H56" s="77"/>
      <c r="I56" s="77"/>
    </row>
    <row r="57" spans="1:15" outlineLevel="1" x14ac:dyDescent="0.15">
      <c r="A57" s="77"/>
      <c r="B57" s="77"/>
      <c r="C57" s="77"/>
      <c r="D57" s="77" t="s">
        <v>262</v>
      </c>
      <c r="E57" s="77"/>
      <c r="F57" s="83">
        <v>3.1E-2</v>
      </c>
      <c r="G57" s="77"/>
      <c r="H57" s="77"/>
      <c r="I57" s="77"/>
    </row>
    <row r="58" spans="1:15" outlineLevel="1" x14ac:dyDescent="0.15">
      <c r="A58" s="77"/>
      <c r="B58" s="77"/>
      <c r="C58" s="77"/>
      <c r="D58" s="77" t="s">
        <v>263</v>
      </c>
      <c r="E58" s="77"/>
      <c r="F58" s="95">
        <v>0.51</v>
      </c>
      <c r="G58" s="77"/>
      <c r="H58" s="77"/>
      <c r="I58" s="77"/>
    </row>
    <row r="59" spans="1:15" outlineLevel="1" x14ac:dyDescent="0.15">
      <c r="A59" s="77"/>
      <c r="B59" s="77"/>
      <c r="C59" s="77"/>
      <c r="D59" s="77" t="s">
        <v>264</v>
      </c>
      <c r="E59" s="77"/>
      <c r="F59" s="83">
        <v>7.3800000000000004E-2</v>
      </c>
      <c r="G59" s="77"/>
      <c r="H59" s="77"/>
      <c r="I59" s="77"/>
    </row>
    <row r="60" spans="1:15" outlineLevel="1" x14ac:dyDescent="0.15">
      <c r="A60" s="77"/>
      <c r="B60" s="77"/>
      <c r="C60" s="77"/>
      <c r="D60" s="77" t="s">
        <v>265</v>
      </c>
      <c r="E60" s="77"/>
      <c r="F60" s="83">
        <f>F57+F58*F59</f>
        <v>6.8638000000000005E-2</v>
      </c>
      <c r="G60" s="77"/>
      <c r="H60" s="77"/>
      <c r="I60" s="77"/>
    </row>
    <row r="61" spans="1:15" outlineLevel="1" x14ac:dyDescent="0.15">
      <c r="A61" s="77"/>
      <c r="B61" s="77"/>
      <c r="C61" s="77"/>
      <c r="D61" s="77" t="s">
        <v>266</v>
      </c>
      <c r="E61" s="77"/>
      <c r="F61" s="83">
        <f>29.9%</f>
        <v>0.29899999999999999</v>
      </c>
      <c r="G61" s="77"/>
      <c r="H61" s="77"/>
      <c r="I61" s="77"/>
    </row>
    <row r="62" spans="1:15" outlineLevel="1" x14ac:dyDescent="0.15">
      <c r="A62" s="77"/>
      <c r="B62" s="77"/>
      <c r="C62" s="77"/>
      <c r="D62" s="77" t="s">
        <v>267</v>
      </c>
      <c r="E62" s="77"/>
      <c r="F62" s="83">
        <v>3.2000000000000001E-2</v>
      </c>
      <c r="G62" s="77"/>
      <c r="H62" s="77"/>
      <c r="I62" s="77"/>
    </row>
    <row r="63" spans="1:15" outlineLevel="1" x14ac:dyDescent="0.15">
      <c r="A63" s="77"/>
      <c r="B63" s="77"/>
      <c r="C63" s="77"/>
      <c r="D63" s="77" t="s">
        <v>147</v>
      </c>
      <c r="E63" s="77"/>
      <c r="F63" s="83">
        <f>F62*F61*(1-F54)+F60*(1-F61)</f>
        <v>5.5769638000000003E-2</v>
      </c>
      <c r="G63" s="77"/>
      <c r="H63" s="77"/>
      <c r="I63" s="77"/>
    </row>
    <row r="64" spans="1:15" ht="13.5" customHeight="1" x14ac:dyDescent="0.15">
      <c r="A64" s="77"/>
      <c r="B64" s="77"/>
      <c r="C64" s="77"/>
      <c r="D64" s="77" t="s">
        <v>148</v>
      </c>
      <c r="E64" s="77"/>
      <c r="F64" s="83">
        <v>2.4E-2</v>
      </c>
      <c r="G64" s="77"/>
      <c r="H64" s="77"/>
      <c r="I64" s="77"/>
      <c r="J64" s="77"/>
      <c r="K64" s="77"/>
      <c r="L64" s="77"/>
      <c r="M64" s="77"/>
      <c r="N64" s="77"/>
      <c r="O64" s="77"/>
    </row>
    <row r="65" spans="1:15" s="50" customFormat="1" ht="18.75" customHeight="1" x14ac:dyDescent="0.15">
      <c r="A65" s="77"/>
      <c r="B65" s="77"/>
      <c r="C65" s="77"/>
      <c r="D65" s="6" t="s">
        <v>149</v>
      </c>
      <c r="E65" s="77"/>
      <c r="F65" s="83">
        <f>F63-F64</f>
        <v>3.1769638000000003E-2</v>
      </c>
      <c r="G65" s="77"/>
      <c r="H65" s="77"/>
      <c r="I65" s="77"/>
      <c r="J65" s="77"/>
      <c r="K65" s="77"/>
      <c r="L65" s="77"/>
      <c r="M65" s="77"/>
      <c r="N65" s="77"/>
      <c r="O65" s="77"/>
    </row>
    <row r="66" spans="1:15" s="33" customFormat="1" outlineLevel="1" x14ac:dyDescent="0.15">
      <c r="A66" s="77"/>
      <c r="B66" s="77"/>
      <c r="C66" s="77"/>
      <c r="D66" s="6"/>
      <c r="E66" s="77"/>
      <c r="F66" s="83"/>
      <c r="G66" s="77"/>
      <c r="H66" s="77"/>
      <c r="I66" s="77"/>
      <c r="J66" s="77"/>
      <c r="K66" s="77"/>
      <c r="L66" s="77"/>
      <c r="M66" s="77"/>
      <c r="N66" s="77"/>
      <c r="O66" s="77"/>
    </row>
    <row r="67" spans="1:15" s="33" customFormat="1" outlineLevel="1" x14ac:dyDescent="0.15">
      <c r="A67" s="77"/>
      <c r="B67" s="77"/>
      <c r="C67" s="77"/>
      <c r="D67" s="6" t="s">
        <v>150</v>
      </c>
      <c r="E67" s="77"/>
      <c r="F67" s="95">
        <v>7.0000000000000007E-2</v>
      </c>
      <c r="G67" s="77"/>
      <c r="H67" s="77"/>
      <c r="I67" s="77"/>
      <c r="J67" s="77"/>
      <c r="K67" s="77"/>
      <c r="L67" s="77"/>
      <c r="M67" s="77"/>
      <c r="N67" s="77"/>
      <c r="O67" s="77"/>
    </row>
    <row r="68" spans="1:15" s="33" customFormat="1" outlineLevel="1" x14ac:dyDescent="0.15">
      <c r="A68" s="77"/>
      <c r="B68" s="77"/>
      <c r="C68" s="77"/>
      <c r="D68" s="6"/>
      <c r="E68" s="77"/>
      <c r="F68" s="83"/>
      <c r="G68" s="77"/>
      <c r="H68" s="77"/>
      <c r="I68" s="77"/>
      <c r="J68" s="77"/>
      <c r="K68" s="77"/>
      <c r="L68" s="77"/>
      <c r="M68" s="77"/>
      <c r="N68" s="77"/>
      <c r="O68" s="77"/>
    </row>
    <row r="69" spans="1:15" s="33" customFormat="1" outlineLevel="1" x14ac:dyDescent="0.15">
      <c r="A69" s="77"/>
      <c r="B69" s="77"/>
      <c r="C69" s="77"/>
      <c r="D69" s="6" t="s">
        <v>151</v>
      </c>
      <c r="E69" s="77"/>
      <c r="F69" s="53"/>
      <c r="G69" s="77"/>
      <c r="H69" s="77"/>
      <c r="I69" s="77"/>
      <c r="J69" s="77"/>
      <c r="K69" s="77"/>
      <c r="L69" s="77"/>
      <c r="M69" s="77"/>
      <c r="N69" s="77"/>
      <c r="O69" s="77"/>
    </row>
    <row r="70" spans="1:15" s="33" customFormat="1" outlineLevel="1" x14ac:dyDescent="0.1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</row>
    <row r="71" spans="1:15" s="33" customFormat="1" ht="18" outlineLevel="1" x14ac:dyDescent="0.15">
      <c r="A71" s="107" t="s">
        <v>152</v>
      </c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</row>
    <row r="72" spans="1:15" s="33" customFormat="1" outlineLevel="1" x14ac:dyDescent="0.15">
      <c r="A72" s="73" t="s">
        <v>166</v>
      </c>
      <c r="B72" s="74"/>
      <c r="C72" s="74"/>
      <c r="D72" s="75"/>
      <c r="E72" s="75"/>
      <c r="F72" s="74"/>
      <c r="G72" s="78"/>
      <c r="H72" s="78"/>
      <c r="I72" s="78"/>
      <c r="J72" s="78"/>
      <c r="K72" s="78"/>
      <c r="L72" s="78"/>
      <c r="M72" s="78"/>
      <c r="N72" s="78"/>
      <c r="O72" s="78"/>
    </row>
    <row r="73" spans="1:15" s="33" customFormat="1" outlineLevel="1" x14ac:dyDescent="0.15">
      <c r="A73" s="78"/>
      <c r="B73" s="78"/>
      <c r="C73" s="78"/>
      <c r="D73" s="79"/>
      <c r="E73" s="150"/>
      <c r="F73" s="152"/>
      <c r="G73" s="78"/>
      <c r="H73" s="78"/>
      <c r="I73" s="78"/>
      <c r="J73" s="78"/>
      <c r="K73" s="78"/>
      <c r="L73" s="78"/>
      <c r="M73" s="78"/>
      <c r="N73" s="78"/>
      <c r="O73" s="78"/>
    </row>
    <row r="74" spans="1:15" s="33" customFormat="1" outlineLevel="1" x14ac:dyDescent="0.15">
      <c r="A74" s="78" t="s">
        <v>167</v>
      </c>
      <c r="B74" s="78"/>
      <c r="C74" s="78"/>
      <c r="D74" s="79"/>
      <c r="E74" s="150"/>
      <c r="F74" s="152"/>
      <c r="G74" s="78"/>
      <c r="H74" s="78"/>
      <c r="I74" s="78"/>
      <c r="J74" s="78"/>
      <c r="K74" s="78"/>
      <c r="L74" s="78"/>
      <c r="M74" s="78"/>
      <c r="N74" s="78"/>
      <c r="O74" s="78"/>
    </row>
    <row r="75" spans="1:15" s="33" customFormat="1" outlineLevel="1" x14ac:dyDescent="0.15">
      <c r="A75" s="78"/>
      <c r="B75" s="114"/>
      <c r="C75" s="78"/>
      <c r="D75" s="79" t="s">
        <v>156</v>
      </c>
      <c r="E75" s="150" t="str">
        <f>IFERROR(AVERAGE(G69:O69),"na")</f>
        <v>na</v>
      </c>
      <c r="F75" s="152">
        <f>SUM(G69:O69)</f>
        <v>0</v>
      </c>
      <c r="G75" s="78">
        <f t="shared" ref="G75:O75" si="10">G26</f>
        <v>540000</v>
      </c>
      <c r="H75" s="78">
        <f t="shared" si="10"/>
        <v>540000</v>
      </c>
      <c r="I75" s="78">
        <f t="shared" si="10"/>
        <v>540000</v>
      </c>
      <c r="J75" s="78">
        <f t="shared" si="10"/>
        <v>550000</v>
      </c>
      <c r="K75" s="78">
        <f t="shared" si="10"/>
        <v>840000</v>
      </c>
      <c r="L75" s="78">
        <f t="shared" si="10"/>
        <v>980000</v>
      </c>
      <c r="M75" s="78">
        <f t="shared" si="10"/>
        <v>830000</v>
      </c>
      <c r="N75" s="78">
        <f t="shared" si="10"/>
        <v>700000</v>
      </c>
      <c r="O75" s="78">
        <f t="shared" si="10"/>
        <v>220000</v>
      </c>
    </row>
    <row r="76" spans="1:15" s="37" customFormat="1" outlineLevel="1" x14ac:dyDescent="0.15">
      <c r="A76" s="78"/>
      <c r="B76" s="78"/>
      <c r="C76" s="78"/>
      <c r="D76" s="79"/>
      <c r="E76" s="150"/>
      <c r="F76" s="152"/>
      <c r="G76" s="78"/>
      <c r="H76" s="78"/>
      <c r="I76" s="78"/>
      <c r="J76" s="78"/>
      <c r="K76" s="78"/>
      <c r="L76" s="78"/>
      <c r="M76" s="78"/>
      <c r="N76" s="78"/>
      <c r="O76" s="78"/>
    </row>
    <row r="77" spans="1:15" s="37" customFormat="1" outlineLevel="1" x14ac:dyDescent="0.15">
      <c r="A77" s="78" t="s">
        <v>92</v>
      </c>
      <c r="B77" s="78"/>
      <c r="C77" s="78"/>
      <c r="D77" s="79"/>
      <c r="E77" s="79"/>
      <c r="F77" s="78"/>
      <c r="G77" s="78"/>
      <c r="H77" s="78"/>
      <c r="I77" s="78"/>
      <c r="J77" s="78"/>
      <c r="K77" s="78"/>
      <c r="L77" s="78"/>
      <c r="M77" s="78"/>
      <c r="N77" s="78"/>
      <c r="O77" s="78"/>
    </row>
    <row r="78" spans="1:15" s="33" customFormat="1" outlineLevel="1" x14ac:dyDescent="0.15">
      <c r="A78" s="78"/>
      <c r="B78" s="114"/>
      <c r="C78" s="78"/>
      <c r="D78" s="79" t="s">
        <v>93</v>
      </c>
      <c r="E78" s="159" t="str">
        <f>IFERROR(AVERAGE(G72:O72),"na")</f>
        <v>na</v>
      </c>
      <c r="F78" s="160"/>
      <c r="G78" s="36">
        <f t="shared" ref="G78:O78" si="11">G28</f>
        <v>0.85</v>
      </c>
      <c r="H78" s="36">
        <f t="shared" si="11"/>
        <v>0.85</v>
      </c>
      <c r="I78" s="36">
        <f t="shared" si="11"/>
        <v>0.85</v>
      </c>
      <c r="J78" s="36">
        <f t="shared" si="11"/>
        <v>0.85</v>
      </c>
      <c r="K78" s="36">
        <f t="shared" si="11"/>
        <v>0.85</v>
      </c>
      <c r="L78" s="36">
        <f t="shared" si="11"/>
        <v>0.85</v>
      </c>
      <c r="M78" s="36">
        <f t="shared" si="11"/>
        <v>0.85</v>
      </c>
      <c r="N78" s="36">
        <f t="shared" si="11"/>
        <v>0.85</v>
      </c>
      <c r="O78" s="36">
        <f t="shared" si="11"/>
        <v>0.85</v>
      </c>
    </row>
    <row r="79" spans="1:15" s="33" customFormat="1" outlineLevel="1" x14ac:dyDescent="0.15">
      <c r="A79" s="78"/>
      <c r="B79" s="78"/>
      <c r="C79" s="78"/>
      <c r="D79" s="79"/>
      <c r="E79" s="150"/>
      <c r="F79" s="78"/>
      <c r="G79" s="30"/>
      <c r="H79" s="30"/>
      <c r="I79" s="30"/>
      <c r="J79" s="30"/>
      <c r="K79" s="30"/>
      <c r="L79" s="30"/>
      <c r="M79" s="30"/>
      <c r="N79" s="30"/>
      <c r="O79" s="30"/>
    </row>
    <row r="80" spans="1:15" s="33" customFormat="1" outlineLevel="1" x14ac:dyDescent="0.15">
      <c r="A80" s="78" t="s">
        <v>168</v>
      </c>
      <c r="B80" s="78"/>
      <c r="C80" s="78"/>
      <c r="D80" s="78"/>
      <c r="E80" s="79"/>
      <c r="F80" s="78"/>
      <c r="G80" s="78"/>
      <c r="H80" s="78"/>
      <c r="I80" s="78"/>
      <c r="J80" s="78"/>
      <c r="K80" s="78"/>
      <c r="L80" s="78"/>
      <c r="M80" s="78"/>
      <c r="N80" s="78"/>
      <c r="O80" s="78"/>
    </row>
    <row r="81" spans="1:15" s="33" customFormat="1" outlineLevel="1" x14ac:dyDescent="0.15">
      <c r="A81" s="78"/>
      <c r="B81" s="114"/>
      <c r="C81" s="78"/>
      <c r="D81" s="79" t="s">
        <v>165</v>
      </c>
      <c r="E81" s="150">
        <f>IFERROR(AVERAGE(G75:O75),"na")</f>
        <v>637777.77777777775</v>
      </c>
      <c r="F81" s="152">
        <f>SUM(G75:O75)</f>
        <v>5740000</v>
      </c>
      <c r="G81" s="78">
        <f t="shared" ref="G81:O81" si="12">G75*G27*$F$10*G78</f>
        <v>75261.68264250124</v>
      </c>
      <c r="H81" s="78">
        <f t="shared" si="12"/>
        <v>75261.68264250124</v>
      </c>
      <c r="I81" s="78">
        <f t="shared" si="12"/>
        <v>75261.68264250124</v>
      </c>
      <c r="J81" s="78">
        <f t="shared" si="12"/>
        <v>76655.417506251266</v>
      </c>
      <c r="K81" s="78">
        <f t="shared" si="12"/>
        <v>110187.0386400018</v>
      </c>
      <c r="L81" s="78">
        <f t="shared" si="12"/>
        <v>128551.54508000211</v>
      </c>
      <c r="M81" s="78">
        <f t="shared" si="12"/>
        <v>108875.28818000178</v>
      </c>
      <c r="N81" s="78">
        <f t="shared" si="12"/>
        <v>91822.5322000015</v>
      </c>
      <c r="O81" s="78">
        <f t="shared" si="12"/>
        <v>28858.510120000472</v>
      </c>
    </row>
    <row r="82" spans="1:15" s="33" customFormat="1" outlineLevel="1" x14ac:dyDescent="0.15">
      <c r="A82" s="37"/>
      <c r="B82" s="37"/>
      <c r="C82" s="37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s="33" customFormat="1" x14ac:dyDescent="0.15">
      <c r="A83" s="78" t="s">
        <v>114</v>
      </c>
      <c r="B83" s="37"/>
      <c r="C83" s="37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s="50" customFormat="1" ht="18.75" customHeight="1" x14ac:dyDescent="0.15">
      <c r="A84" s="78"/>
      <c r="B84" s="78" t="s">
        <v>81</v>
      </c>
      <c r="C84" s="78"/>
      <c r="D84" s="79" t="s">
        <v>165</v>
      </c>
      <c r="E84" s="161">
        <f>IFERROR(AVERAGE(G78:O78),"na")</f>
        <v>0.84999999999999987</v>
      </c>
      <c r="F84" s="162" t="s">
        <v>157</v>
      </c>
      <c r="G84" s="85">
        <v>0.99</v>
      </c>
      <c r="H84" s="85">
        <v>0.99</v>
      </c>
      <c r="I84" s="85">
        <v>0.99</v>
      </c>
      <c r="J84" s="85">
        <v>0.99</v>
      </c>
      <c r="K84" s="85">
        <v>0.99</v>
      </c>
      <c r="L84" s="85">
        <v>0.99</v>
      </c>
      <c r="M84" s="85">
        <v>0.99</v>
      </c>
      <c r="N84" s="85">
        <v>0.99</v>
      </c>
      <c r="O84" s="85">
        <v>0.99</v>
      </c>
    </row>
    <row r="85" spans="1:15" s="39" customFormat="1" ht="16.5" customHeight="1" outlineLevel="1" x14ac:dyDescent="0.15">
      <c r="A85" s="78"/>
      <c r="B85" s="78"/>
      <c r="C85" s="78"/>
      <c r="D85" s="79"/>
      <c r="E85" s="79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1:15" s="29" customFormat="1" outlineLevel="1" x14ac:dyDescent="0.15">
      <c r="A86" s="78" t="s">
        <v>169</v>
      </c>
      <c r="B86" s="78"/>
      <c r="C86" s="78"/>
      <c r="D86" s="79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1:15" s="29" customFormat="1" outlineLevel="1" x14ac:dyDescent="0.15">
      <c r="A87" s="78"/>
      <c r="B87" s="78" t="s">
        <v>81</v>
      </c>
      <c r="C87" s="78"/>
      <c r="D87" s="79" t="s">
        <v>165</v>
      </c>
      <c r="E87" s="150">
        <f>IFERROR(AVERAGE(G81:O81),"na")</f>
        <v>85637.264405973634</v>
      </c>
      <c r="F87" s="152">
        <f>SUM(G81:O81)</f>
        <v>770735.37965376268</v>
      </c>
      <c r="G87" s="78" cm="1">
        <f t="array" ref="G87">SUM(G81:G81*G84)</f>
        <v>74509.065816076225</v>
      </c>
      <c r="H87" s="78" cm="1">
        <f t="array" ref="H87">SUM(H81:H81*H84)</f>
        <v>74509.065816076225</v>
      </c>
      <c r="I87" s="78" cm="1">
        <f t="array" ref="I87">SUM(I81:I81*I84)</f>
        <v>74509.065816076225</v>
      </c>
      <c r="J87" s="78" cm="1">
        <f t="array" ref="J87">SUM(J81:J81*J84)</f>
        <v>75888.863331188753</v>
      </c>
      <c r="K87" s="78" cm="1">
        <f t="array" ref="K87">SUM(K81:K81*K84)</f>
        <v>109085.16825360179</v>
      </c>
      <c r="L87" s="78" cm="1">
        <f t="array" ref="L87">SUM(L81:L81*L84)</f>
        <v>127266.02962920208</v>
      </c>
      <c r="M87" s="78" cm="1">
        <f t="array" ref="M87">SUM(M81:M81*M84)</f>
        <v>107786.53529820176</v>
      </c>
      <c r="N87" s="78" cm="1">
        <f t="array" ref="N87">SUM(N81:N81*N84)</f>
        <v>90904.306878001487</v>
      </c>
      <c r="O87" s="78" cm="1">
        <f t="array" ref="O87">SUM(O81:O81*O84)</f>
        <v>28569.925018800466</v>
      </c>
    </row>
    <row r="88" spans="1:15" s="29" customFormat="1" outlineLevel="1" x14ac:dyDescent="0.15">
      <c r="A88" s="78"/>
      <c r="B88" s="78"/>
      <c r="C88" s="78"/>
      <c r="D88" s="79"/>
      <c r="E88" s="79"/>
      <c r="F88" s="78"/>
      <c r="G88" s="78"/>
      <c r="H88" s="78"/>
      <c r="I88" s="78"/>
      <c r="J88" s="78"/>
      <c r="K88" s="78"/>
      <c r="L88" s="78"/>
      <c r="M88" s="78"/>
      <c r="N88" s="78"/>
      <c r="O88" s="78"/>
    </row>
    <row r="89" spans="1:15" s="33" customFormat="1" outlineLevel="1" x14ac:dyDescent="0.15">
      <c r="A89" s="78"/>
      <c r="B89" s="78"/>
      <c r="C89" s="78"/>
      <c r="D89" s="79"/>
      <c r="E89" s="79"/>
      <c r="F89" s="78"/>
      <c r="G89" s="78"/>
      <c r="H89" s="78"/>
      <c r="I89" s="78"/>
      <c r="J89" s="78"/>
      <c r="K89" s="78"/>
      <c r="L89" s="78"/>
      <c r="M89" s="78"/>
      <c r="N89" s="78"/>
      <c r="O89" s="78"/>
    </row>
    <row r="90" spans="1:15" s="37" customFormat="1" ht="18" outlineLevel="1" x14ac:dyDescent="0.15">
      <c r="A90" s="107" t="s">
        <v>4</v>
      </c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</row>
    <row r="91" spans="1:15" s="29" customFormat="1" outlineLevel="1" x14ac:dyDescent="0.15">
      <c r="A91" s="39"/>
      <c r="B91" s="39"/>
      <c r="C91" s="39"/>
      <c r="D91" s="40"/>
      <c r="E91" s="40"/>
      <c r="F91" s="40"/>
      <c r="G91" s="48"/>
      <c r="H91" s="48"/>
      <c r="I91" s="48"/>
      <c r="J91" s="48"/>
      <c r="K91" s="48"/>
      <c r="L91" s="48"/>
      <c r="M91" s="48"/>
      <c r="N91" s="48"/>
      <c r="O91" s="48"/>
    </row>
    <row r="92" spans="1:15" s="29" customFormat="1" outlineLevel="1" x14ac:dyDescent="0.15">
      <c r="A92" s="28" t="s">
        <v>78</v>
      </c>
      <c r="B92" s="80"/>
      <c r="C92" s="80"/>
      <c r="D92" s="149"/>
      <c r="E92" s="149"/>
      <c r="F92" s="149"/>
      <c r="G92" s="80"/>
      <c r="H92" s="80"/>
      <c r="I92" s="80"/>
      <c r="J92" s="80"/>
      <c r="K92" s="80"/>
      <c r="L92" s="80"/>
      <c r="M92" s="80"/>
      <c r="N92" s="80"/>
      <c r="O92" s="80"/>
    </row>
    <row r="93" spans="1:15" s="29" customFormat="1" outlineLevel="1" x14ac:dyDescent="0.15">
      <c r="A93" s="80"/>
      <c r="B93" s="80" t="s">
        <v>81</v>
      </c>
      <c r="C93" s="80"/>
      <c r="D93" s="149" t="s">
        <v>125</v>
      </c>
      <c r="E93" s="150">
        <f>IFERROR(AVERAGE(G87:O87),"na")</f>
        <v>84780.891761913867</v>
      </c>
      <c r="F93" s="163" t="s">
        <v>157</v>
      </c>
      <c r="G93" s="164">
        <f t="shared" ref="G93:O93" si="13">G22</f>
        <v>2100</v>
      </c>
      <c r="H93" s="164">
        <f t="shared" si="13"/>
        <v>2100</v>
      </c>
      <c r="I93" s="164">
        <f t="shared" si="13"/>
        <v>2100</v>
      </c>
      <c r="J93" s="164">
        <f t="shared" si="13"/>
        <v>2100</v>
      </c>
      <c r="K93" s="164">
        <f t="shared" si="13"/>
        <v>2100</v>
      </c>
      <c r="L93" s="164">
        <f t="shared" si="13"/>
        <v>2100</v>
      </c>
      <c r="M93" s="164">
        <f t="shared" si="13"/>
        <v>2100</v>
      </c>
      <c r="N93" s="164">
        <f t="shared" si="13"/>
        <v>2100</v>
      </c>
      <c r="O93" s="164">
        <f t="shared" si="13"/>
        <v>2100</v>
      </c>
    </row>
    <row r="94" spans="1:15" s="37" customFormat="1" outlineLevel="1" x14ac:dyDescent="0.15">
      <c r="A94" s="80"/>
      <c r="B94" s="80"/>
      <c r="C94" s="80"/>
      <c r="D94" s="149"/>
      <c r="E94" s="149"/>
      <c r="F94" s="149"/>
      <c r="G94" s="80"/>
      <c r="H94" s="80"/>
      <c r="I94" s="80"/>
      <c r="J94" s="80"/>
      <c r="K94" s="80"/>
      <c r="L94" s="80"/>
      <c r="M94" s="80"/>
      <c r="N94" s="80"/>
      <c r="O94" s="80"/>
    </row>
    <row r="95" spans="1:15" s="37" customFormat="1" outlineLevel="1" x14ac:dyDescent="0.15">
      <c r="A95" s="28" t="s">
        <v>169</v>
      </c>
      <c r="B95" s="78"/>
      <c r="C95" s="78"/>
      <c r="D95" s="78"/>
      <c r="E95" s="79"/>
      <c r="F95" s="79"/>
      <c r="G95" s="78"/>
      <c r="H95" s="78"/>
      <c r="I95" s="78"/>
      <c r="J95" s="78"/>
      <c r="K95" s="78"/>
      <c r="L95" s="78"/>
      <c r="M95" s="78"/>
      <c r="N95" s="78"/>
      <c r="O95" s="78"/>
    </row>
    <row r="96" spans="1:15" s="33" customFormat="1" outlineLevel="1" x14ac:dyDescent="0.15">
      <c r="A96" s="37"/>
      <c r="B96" s="80" t="s">
        <v>81</v>
      </c>
      <c r="C96" s="37"/>
      <c r="D96" s="79" t="s">
        <v>165</v>
      </c>
      <c r="E96" s="150" t="str">
        <f>IFERROR(AVERAGE(G90:O90),"na")</f>
        <v>na</v>
      </c>
      <c r="F96" s="150">
        <f>SUM(G90:O90)</f>
        <v>0</v>
      </c>
      <c r="G96" s="164">
        <f t="shared" ref="G96:O96" si="14">G87</f>
        <v>74509.065816076225</v>
      </c>
      <c r="H96" s="164">
        <f t="shared" si="14"/>
        <v>74509.065816076225</v>
      </c>
      <c r="I96" s="164">
        <f t="shared" si="14"/>
        <v>74509.065816076225</v>
      </c>
      <c r="J96" s="164">
        <f t="shared" si="14"/>
        <v>75888.863331188753</v>
      </c>
      <c r="K96" s="164">
        <f t="shared" si="14"/>
        <v>109085.16825360179</v>
      </c>
      <c r="L96" s="164">
        <f t="shared" si="14"/>
        <v>127266.02962920208</v>
      </c>
      <c r="M96" s="164">
        <f t="shared" si="14"/>
        <v>107786.53529820176</v>
      </c>
      <c r="N96" s="164">
        <f t="shared" si="14"/>
        <v>90904.306878001487</v>
      </c>
      <c r="O96" s="164">
        <f t="shared" si="14"/>
        <v>28569.925018800466</v>
      </c>
    </row>
    <row r="97" spans="1:15" s="33" customFormat="1" outlineLevel="1" x14ac:dyDescent="0.15">
      <c r="A97" s="80"/>
      <c r="B97" s="80"/>
      <c r="C97" s="80"/>
      <c r="D97" s="149"/>
      <c r="E97" s="150"/>
      <c r="F97" s="163"/>
      <c r="G97" s="30"/>
      <c r="H97" s="30"/>
      <c r="I97" s="30"/>
      <c r="J97" s="30"/>
      <c r="K97" s="30"/>
      <c r="L97" s="30"/>
      <c r="M97" s="30"/>
      <c r="N97" s="30"/>
      <c r="O97" s="30"/>
    </row>
    <row r="98" spans="1:15" s="33" customFormat="1" outlineLevel="1" x14ac:dyDescent="0.15">
      <c r="A98" s="28" t="s">
        <v>170</v>
      </c>
      <c r="B98" s="80"/>
      <c r="C98" s="80"/>
      <c r="D98" s="149"/>
      <c r="E98" s="150"/>
      <c r="F98" s="163"/>
      <c r="G98" s="30"/>
      <c r="H98" s="30"/>
      <c r="I98" s="30"/>
      <c r="J98" s="30"/>
      <c r="K98" s="30"/>
      <c r="L98" s="30"/>
      <c r="M98" s="30"/>
      <c r="N98" s="30"/>
      <c r="O98" s="30"/>
    </row>
    <row r="99" spans="1:15" s="33" customFormat="1" outlineLevel="1" x14ac:dyDescent="0.15">
      <c r="A99" s="80"/>
      <c r="B99" s="80" t="s">
        <v>167</v>
      </c>
      <c r="C99" s="80"/>
      <c r="D99" s="149" t="s">
        <v>156</v>
      </c>
      <c r="E99" s="150">
        <f>IFERROR(AVERAGE(G93:O93),"na")</f>
        <v>2100</v>
      </c>
      <c r="F99" s="150">
        <f>SUM(G93:O93)</f>
        <v>18900</v>
      </c>
      <c r="G99" s="164">
        <f t="shared" ref="G99:O99" si="15">SUM(G75:G75)</f>
        <v>540000</v>
      </c>
      <c r="H99" s="164">
        <f t="shared" si="15"/>
        <v>540000</v>
      </c>
      <c r="I99" s="164">
        <f t="shared" si="15"/>
        <v>540000</v>
      </c>
      <c r="J99" s="164">
        <f t="shared" si="15"/>
        <v>550000</v>
      </c>
      <c r="K99" s="164">
        <f t="shared" si="15"/>
        <v>840000</v>
      </c>
      <c r="L99" s="164">
        <f t="shared" si="15"/>
        <v>980000</v>
      </c>
      <c r="M99" s="164">
        <f t="shared" si="15"/>
        <v>830000</v>
      </c>
      <c r="N99" s="164">
        <f t="shared" si="15"/>
        <v>700000</v>
      </c>
      <c r="O99" s="164">
        <f t="shared" si="15"/>
        <v>220000</v>
      </c>
    </row>
    <row r="100" spans="1:15" s="33" customFormat="1" outlineLevel="1" x14ac:dyDescent="0.15">
      <c r="A100" s="37"/>
      <c r="B100" s="37"/>
      <c r="C100" s="37"/>
      <c r="D100" s="37"/>
      <c r="E100" s="38"/>
      <c r="F100" s="150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1:15" s="33" customFormat="1" outlineLevel="1" x14ac:dyDescent="0.15">
      <c r="A101" s="37"/>
      <c r="B101" s="37"/>
      <c r="C101" s="37"/>
      <c r="D101" s="37"/>
      <c r="E101" s="38"/>
      <c r="F101" s="38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1:15" s="33" customFormat="1" outlineLevel="1" x14ac:dyDescent="0.15">
      <c r="A102" s="70" t="s">
        <v>171</v>
      </c>
      <c r="B102" s="71"/>
      <c r="C102" s="71"/>
      <c r="D102" s="72"/>
      <c r="E102" s="72"/>
      <c r="F102" s="72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1:15" s="33" customFormat="1" outlineLevel="1" x14ac:dyDescent="0.15">
      <c r="A103" s="37"/>
      <c r="B103" s="78"/>
      <c r="C103" s="78"/>
      <c r="D103" s="79"/>
      <c r="E103" s="79"/>
      <c r="F103" s="79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1:15" s="33" customFormat="1" outlineLevel="1" x14ac:dyDescent="0.15">
      <c r="A104" s="78" t="s">
        <v>172</v>
      </c>
      <c r="B104" s="78"/>
      <c r="C104" s="78"/>
      <c r="D104" s="79"/>
      <c r="E104" s="79"/>
      <c r="F104" s="79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1:15" s="33" customFormat="1" outlineLevel="1" x14ac:dyDescent="0.15">
      <c r="A105" s="78"/>
      <c r="B105" s="78" t="s">
        <v>81</v>
      </c>
      <c r="C105" s="78"/>
      <c r="D105" s="79" t="s">
        <v>173</v>
      </c>
      <c r="E105" s="150">
        <f>IFERROR(AVERAGE(G99:O99),"na")</f>
        <v>637777.77777777775</v>
      </c>
      <c r="F105" s="150">
        <f>SUM(G99:O99)</f>
        <v>5740000</v>
      </c>
      <c r="G105" s="78">
        <f t="shared" ref="G105:O105" si="16">G96*G93</f>
        <v>156469038.21376008</v>
      </c>
      <c r="H105" s="78">
        <f t="shared" si="16"/>
        <v>156469038.21376008</v>
      </c>
      <c r="I105" s="78">
        <f t="shared" si="16"/>
        <v>156469038.21376008</v>
      </c>
      <c r="J105" s="78">
        <f t="shared" si="16"/>
        <v>159366612.99549639</v>
      </c>
      <c r="K105" s="78">
        <f t="shared" si="16"/>
        <v>229078853.33256376</v>
      </c>
      <c r="L105" s="78">
        <f t="shared" si="16"/>
        <v>267258662.22132435</v>
      </c>
      <c r="M105" s="78">
        <f t="shared" si="16"/>
        <v>226351724.12622371</v>
      </c>
      <c r="N105" s="78">
        <f t="shared" si="16"/>
        <v>190899044.44380313</v>
      </c>
      <c r="O105" s="78">
        <f t="shared" si="16"/>
        <v>59996842.539480977</v>
      </c>
    </row>
    <row r="106" spans="1:15" s="33" customFormat="1" outlineLevel="1" x14ac:dyDescent="0.15">
      <c r="A106" s="42" t="s">
        <v>174</v>
      </c>
      <c r="B106" s="165"/>
      <c r="C106" s="165"/>
      <c r="D106" s="166"/>
      <c r="E106" s="65" t="str">
        <f>IFERROR(AVERAGE(G100:O100),"na")</f>
        <v>na</v>
      </c>
      <c r="F106" s="65">
        <f>SUM(G100:O100)</f>
        <v>0</v>
      </c>
      <c r="G106" s="42">
        <f t="shared" ref="G106:O106" si="17">SUM(G105:G105)</f>
        <v>156469038.21376008</v>
      </c>
      <c r="H106" s="42">
        <f t="shared" si="17"/>
        <v>156469038.21376008</v>
      </c>
      <c r="I106" s="42">
        <f t="shared" si="17"/>
        <v>156469038.21376008</v>
      </c>
      <c r="J106" s="42">
        <f t="shared" si="17"/>
        <v>159366612.99549639</v>
      </c>
      <c r="K106" s="42">
        <f t="shared" si="17"/>
        <v>229078853.33256376</v>
      </c>
      <c r="L106" s="42">
        <f t="shared" si="17"/>
        <v>267258662.22132435</v>
      </c>
      <c r="M106" s="42">
        <f t="shared" si="17"/>
        <v>226351724.12622371</v>
      </c>
      <c r="N106" s="42">
        <f t="shared" si="17"/>
        <v>190899044.44380313</v>
      </c>
      <c r="O106" s="42">
        <f t="shared" si="17"/>
        <v>59996842.539480977</v>
      </c>
    </row>
    <row r="107" spans="1:15" s="33" customFormat="1" outlineLevel="1" x14ac:dyDescent="0.15">
      <c r="A107" s="173"/>
      <c r="B107" s="173"/>
      <c r="C107" s="173"/>
      <c r="D107" s="207"/>
      <c r="E107" s="207"/>
      <c r="F107" s="150"/>
      <c r="G107" s="173"/>
      <c r="H107" s="173"/>
      <c r="I107" s="173"/>
      <c r="J107" s="173"/>
      <c r="K107" s="173"/>
      <c r="L107" s="173"/>
      <c r="M107" s="173"/>
      <c r="N107" s="173"/>
      <c r="O107" s="173"/>
    </row>
    <row r="108" spans="1:15" s="33" customFormat="1" outlineLevel="1" x14ac:dyDescent="0.15">
      <c r="A108" s="78" t="s">
        <v>109</v>
      </c>
      <c r="B108" s="78"/>
      <c r="C108" s="78"/>
      <c r="D108" s="79"/>
      <c r="E108" s="79"/>
      <c r="F108" s="79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1:15" s="33" customFormat="1" outlineLevel="1" x14ac:dyDescent="0.15">
      <c r="A109" s="78"/>
      <c r="B109" s="78" t="s">
        <v>175</v>
      </c>
      <c r="C109" s="78"/>
      <c r="D109" s="79" t="s">
        <v>173</v>
      </c>
      <c r="E109" s="159">
        <f>F55</f>
        <v>0.01</v>
      </c>
      <c r="F109" s="150">
        <f>SUM(G109:O109)</f>
        <v>16023588.543001726</v>
      </c>
      <c r="G109" s="78">
        <f>G105*$E$109</f>
        <v>1564690.3821376008</v>
      </c>
      <c r="H109" s="78">
        <f t="shared" ref="H109:O109" si="18">H105*$E$109</f>
        <v>1564690.3821376008</v>
      </c>
      <c r="I109" s="78">
        <f t="shared" si="18"/>
        <v>1564690.3821376008</v>
      </c>
      <c r="J109" s="78">
        <f t="shared" si="18"/>
        <v>1593666.1299549639</v>
      </c>
      <c r="K109" s="78">
        <f t="shared" si="18"/>
        <v>2290788.5333256377</v>
      </c>
      <c r="L109" s="78">
        <f t="shared" si="18"/>
        <v>2672586.6222132435</v>
      </c>
      <c r="M109" s="78">
        <f t="shared" si="18"/>
        <v>2263517.2412622371</v>
      </c>
      <c r="N109" s="78">
        <f t="shared" si="18"/>
        <v>1908990.4444380314</v>
      </c>
      <c r="O109" s="78">
        <f t="shared" si="18"/>
        <v>599968.4253948098</v>
      </c>
    </row>
    <row r="110" spans="1:15" s="33" customFormat="1" outlineLevel="1" x14ac:dyDescent="0.15">
      <c r="A110" s="165" t="s">
        <v>176</v>
      </c>
      <c r="B110" s="165"/>
      <c r="C110" s="165"/>
      <c r="D110" s="166" t="s">
        <v>173</v>
      </c>
      <c r="E110" s="155">
        <f>IFERROR(AVERAGE(G110:O110),"na")</f>
        <v>1780398.7270001918</v>
      </c>
      <c r="F110" s="155">
        <f>SUM(G110:O110)</f>
        <v>16023588.543001726</v>
      </c>
      <c r="G110" s="165">
        <f>SUM(G109)</f>
        <v>1564690.3821376008</v>
      </c>
      <c r="H110" s="165">
        <f t="shared" ref="H110:O110" si="19">SUM(H109)</f>
        <v>1564690.3821376008</v>
      </c>
      <c r="I110" s="165">
        <f t="shared" si="19"/>
        <v>1564690.3821376008</v>
      </c>
      <c r="J110" s="165">
        <f t="shared" si="19"/>
        <v>1593666.1299549639</v>
      </c>
      <c r="K110" s="165">
        <f t="shared" si="19"/>
        <v>2290788.5333256377</v>
      </c>
      <c r="L110" s="165">
        <f t="shared" si="19"/>
        <v>2672586.6222132435</v>
      </c>
      <c r="M110" s="165">
        <f t="shared" si="19"/>
        <v>2263517.2412622371</v>
      </c>
      <c r="N110" s="165">
        <f t="shared" si="19"/>
        <v>1908990.4444380314</v>
      </c>
      <c r="O110" s="165">
        <f t="shared" si="19"/>
        <v>599968.4253948098</v>
      </c>
    </row>
    <row r="111" spans="1:15" s="33" customFormat="1" outlineLevel="1" x14ac:dyDescent="0.15">
      <c r="A111" s="78"/>
      <c r="B111" s="78"/>
      <c r="C111" s="78"/>
      <c r="D111" s="79"/>
      <c r="E111" s="79"/>
      <c r="F111" s="150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1:15" s="33" customFormat="1" outlineLevel="1" x14ac:dyDescent="0.15">
      <c r="A112" s="78" t="s">
        <v>177</v>
      </c>
      <c r="B112" s="78"/>
      <c r="C112" s="78"/>
      <c r="D112" s="79"/>
      <c r="E112" s="79"/>
      <c r="F112" s="79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1:15" s="33" customFormat="1" outlineLevel="1" x14ac:dyDescent="0.15">
      <c r="A113" s="78"/>
      <c r="B113" s="80" t="s">
        <v>118</v>
      </c>
      <c r="C113" s="78"/>
      <c r="D113" s="79" t="s">
        <v>113</v>
      </c>
      <c r="E113" s="167">
        <f>IFERROR(AVERAGE(G113:O113),"na")</f>
        <v>40</v>
      </c>
      <c r="F113" s="163" t="s">
        <v>157</v>
      </c>
      <c r="G113" s="168">
        <f>$F42</f>
        <v>40</v>
      </c>
      <c r="H113" s="168">
        <f>$F42</f>
        <v>40</v>
      </c>
      <c r="I113" s="168">
        <f t="shared" ref="I113:O113" si="20">$F42</f>
        <v>40</v>
      </c>
      <c r="J113" s="168">
        <f t="shared" si="20"/>
        <v>40</v>
      </c>
      <c r="K113" s="168">
        <f t="shared" si="20"/>
        <v>40</v>
      </c>
      <c r="L113" s="168">
        <f t="shared" si="20"/>
        <v>40</v>
      </c>
      <c r="M113" s="168">
        <f t="shared" si="20"/>
        <v>40</v>
      </c>
      <c r="N113" s="168">
        <f t="shared" si="20"/>
        <v>40</v>
      </c>
      <c r="O113" s="168">
        <f t="shared" si="20"/>
        <v>40</v>
      </c>
    </row>
    <row r="114" spans="1:15" s="33" customFormat="1" outlineLevel="1" x14ac:dyDescent="0.15">
      <c r="A114" s="78"/>
      <c r="B114" s="80" t="s">
        <v>121</v>
      </c>
      <c r="C114" s="78"/>
      <c r="D114" s="79" t="s">
        <v>113</v>
      </c>
      <c r="E114" s="167">
        <f>IFERROR(AVERAGE(G114:O114),"na")</f>
        <v>20</v>
      </c>
      <c r="F114" s="163" t="s">
        <v>157</v>
      </c>
      <c r="G114" s="168">
        <f t="shared" ref="G114:H115" si="21">$F43</f>
        <v>20</v>
      </c>
      <c r="H114" s="168">
        <f t="shared" si="21"/>
        <v>20</v>
      </c>
      <c r="I114" s="168">
        <f t="shared" ref="I114:O114" si="22">$F43</f>
        <v>20</v>
      </c>
      <c r="J114" s="168">
        <f t="shared" si="22"/>
        <v>20</v>
      </c>
      <c r="K114" s="168">
        <f t="shared" si="22"/>
        <v>20</v>
      </c>
      <c r="L114" s="168">
        <f t="shared" si="22"/>
        <v>20</v>
      </c>
      <c r="M114" s="168">
        <f t="shared" si="22"/>
        <v>20</v>
      </c>
      <c r="N114" s="168">
        <f t="shared" si="22"/>
        <v>20</v>
      </c>
      <c r="O114" s="168">
        <f t="shared" si="22"/>
        <v>20</v>
      </c>
    </row>
    <row r="115" spans="1:15" s="33" customFormat="1" outlineLevel="1" x14ac:dyDescent="0.15">
      <c r="A115" s="78"/>
      <c r="B115" s="80" t="s">
        <v>123</v>
      </c>
      <c r="C115" s="78"/>
      <c r="D115" s="79" t="s">
        <v>113</v>
      </c>
      <c r="E115" s="167">
        <f>IFERROR(AVERAGE(G115:O115),"na")</f>
        <v>11</v>
      </c>
      <c r="F115" s="163" t="s">
        <v>157</v>
      </c>
      <c r="G115" s="168">
        <f t="shared" si="21"/>
        <v>11</v>
      </c>
      <c r="H115" s="168">
        <f t="shared" si="21"/>
        <v>11</v>
      </c>
      <c r="I115" s="168">
        <f t="shared" ref="I115:O115" si="23">$F44</f>
        <v>11</v>
      </c>
      <c r="J115" s="168">
        <f t="shared" si="23"/>
        <v>11</v>
      </c>
      <c r="K115" s="168">
        <f t="shared" si="23"/>
        <v>11</v>
      </c>
      <c r="L115" s="168">
        <f t="shared" si="23"/>
        <v>11</v>
      </c>
      <c r="M115" s="168">
        <f t="shared" si="23"/>
        <v>11</v>
      </c>
      <c r="N115" s="168">
        <f t="shared" si="23"/>
        <v>11</v>
      </c>
      <c r="O115" s="168">
        <f t="shared" si="23"/>
        <v>11</v>
      </c>
    </row>
    <row r="116" spans="1:15" s="33" customFormat="1" outlineLevel="1" x14ac:dyDescent="0.15">
      <c r="A116" s="153" t="s">
        <v>64</v>
      </c>
      <c r="B116" s="64"/>
      <c r="C116" s="165"/>
      <c r="D116" s="166" t="s">
        <v>113</v>
      </c>
      <c r="E116" s="169">
        <f>IFERROR(AVERAGE(G116:O116),"na")</f>
        <v>71</v>
      </c>
      <c r="F116" s="170" t="s">
        <v>157</v>
      </c>
      <c r="G116" s="171">
        <f t="shared" ref="G116:O116" si="24">SUM(G113:G115)</f>
        <v>71</v>
      </c>
      <c r="H116" s="171">
        <f t="shared" si="24"/>
        <v>71</v>
      </c>
      <c r="I116" s="171">
        <f t="shared" si="24"/>
        <v>71</v>
      </c>
      <c r="J116" s="171">
        <f t="shared" si="24"/>
        <v>71</v>
      </c>
      <c r="K116" s="171">
        <f t="shared" si="24"/>
        <v>71</v>
      </c>
      <c r="L116" s="171">
        <f t="shared" si="24"/>
        <v>71</v>
      </c>
      <c r="M116" s="171">
        <f t="shared" si="24"/>
        <v>71</v>
      </c>
      <c r="N116" s="171">
        <f t="shared" si="24"/>
        <v>71</v>
      </c>
      <c r="O116" s="171">
        <f t="shared" si="24"/>
        <v>71</v>
      </c>
    </row>
    <row r="117" spans="1:15" s="33" customFormat="1" outlineLevel="1" x14ac:dyDescent="0.15">
      <c r="A117" s="78"/>
      <c r="B117" s="78"/>
      <c r="C117" s="78"/>
      <c r="D117" s="79"/>
      <c r="E117" s="79"/>
      <c r="F117" s="79"/>
      <c r="G117" s="78"/>
      <c r="H117" s="78"/>
      <c r="I117" s="78"/>
      <c r="J117" s="78"/>
      <c r="K117" s="78"/>
      <c r="L117" s="78"/>
      <c r="M117" s="78"/>
      <c r="N117" s="78"/>
      <c r="O117" s="78"/>
    </row>
    <row r="118" spans="1:15" s="33" customFormat="1" outlineLevel="1" x14ac:dyDescent="0.15">
      <c r="A118" s="78" t="s">
        <v>178</v>
      </c>
      <c r="B118" s="78"/>
      <c r="C118" s="78"/>
      <c r="D118" s="79"/>
      <c r="E118" s="79"/>
      <c r="F118" s="79"/>
      <c r="G118" s="78"/>
      <c r="H118" s="78"/>
      <c r="I118" s="78"/>
      <c r="J118" s="78"/>
      <c r="K118" s="78"/>
      <c r="L118" s="78"/>
      <c r="M118" s="78"/>
      <c r="N118" s="78"/>
      <c r="O118" s="78"/>
    </row>
    <row r="119" spans="1:15" s="33" customFormat="1" outlineLevel="1" x14ac:dyDescent="0.15">
      <c r="A119" s="78"/>
      <c r="B119" s="80" t="s">
        <v>118</v>
      </c>
      <c r="C119" s="78"/>
      <c r="D119" s="79" t="s">
        <v>173</v>
      </c>
      <c r="E119" s="150">
        <f>IFERROR(AVERAGE(G119:O119),"na")</f>
        <v>25511111.111111112</v>
      </c>
      <c r="F119" s="150">
        <f>SUM(G119:O119)</f>
        <v>229600000</v>
      </c>
      <c r="G119" s="78">
        <f>$G113*G$75</f>
        <v>21600000</v>
      </c>
      <c r="H119" s="78">
        <f t="shared" ref="H119:O119" si="25">$G113*H$75</f>
        <v>21600000</v>
      </c>
      <c r="I119" s="78">
        <f t="shared" si="25"/>
        <v>21600000</v>
      </c>
      <c r="J119" s="78">
        <f t="shared" si="25"/>
        <v>22000000</v>
      </c>
      <c r="K119" s="78">
        <f t="shared" si="25"/>
        <v>33600000</v>
      </c>
      <c r="L119" s="78">
        <f t="shared" si="25"/>
        <v>39200000</v>
      </c>
      <c r="M119" s="78">
        <f t="shared" si="25"/>
        <v>33200000</v>
      </c>
      <c r="N119" s="78">
        <f t="shared" si="25"/>
        <v>28000000</v>
      </c>
      <c r="O119" s="78">
        <f t="shared" si="25"/>
        <v>8800000</v>
      </c>
    </row>
    <row r="120" spans="1:15" s="33" customFormat="1" outlineLevel="1" x14ac:dyDescent="0.15">
      <c r="A120" s="78"/>
      <c r="B120" s="80" t="s">
        <v>121</v>
      </c>
      <c r="C120" s="78"/>
      <c r="D120" s="79" t="s">
        <v>173</v>
      </c>
      <c r="E120" s="150">
        <f>IFERROR(AVERAGE(G120:O120),"na")</f>
        <v>12755555.555555556</v>
      </c>
      <c r="F120" s="150">
        <f>SUM(G120:O120)</f>
        <v>114800000</v>
      </c>
      <c r="G120" s="78">
        <f>$G114*G$75</f>
        <v>10800000</v>
      </c>
      <c r="H120" s="78">
        <f t="shared" ref="H120:O120" si="26">$G114*H$75</f>
        <v>10800000</v>
      </c>
      <c r="I120" s="78">
        <f t="shared" si="26"/>
        <v>10800000</v>
      </c>
      <c r="J120" s="78">
        <f t="shared" si="26"/>
        <v>11000000</v>
      </c>
      <c r="K120" s="78">
        <f t="shared" si="26"/>
        <v>16800000</v>
      </c>
      <c r="L120" s="78">
        <f t="shared" si="26"/>
        <v>19600000</v>
      </c>
      <c r="M120" s="78">
        <f t="shared" si="26"/>
        <v>16600000</v>
      </c>
      <c r="N120" s="78">
        <f t="shared" si="26"/>
        <v>14000000</v>
      </c>
      <c r="O120" s="78">
        <f t="shared" si="26"/>
        <v>4400000</v>
      </c>
    </row>
    <row r="121" spans="1:15" s="33" customFormat="1" outlineLevel="1" x14ac:dyDescent="0.15">
      <c r="A121" s="78"/>
      <c r="B121" s="80" t="s">
        <v>122</v>
      </c>
      <c r="C121" s="78"/>
      <c r="D121" s="79" t="s">
        <v>173</v>
      </c>
      <c r="E121" s="150">
        <f>IFERROR(AVERAGE(G121:O121),"na")</f>
        <v>7015555.555555556</v>
      </c>
      <c r="F121" s="150">
        <f>SUM(G121:O121)</f>
        <v>63140000</v>
      </c>
      <c r="G121" s="78">
        <f t="shared" ref="G121:O122" si="27">$G115*G$75</f>
        <v>5940000</v>
      </c>
      <c r="H121" s="78">
        <f t="shared" si="27"/>
        <v>5940000</v>
      </c>
      <c r="I121" s="78">
        <f t="shared" si="27"/>
        <v>5940000</v>
      </c>
      <c r="J121" s="78">
        <f t="shared" si="27"/>
        <v>6050000</v>
      </c>
      <c r="K121" s="78">
        <f t="shared" si="27"/>
        <v>9240000</v>
      </c>
      <c r="L121" s="78">
        <f t="shared" si="27"/>
        <v>10780000</v>
      </c>
      <c r="M121" s="78">
        <f t="shared" si="27"/>
        <v>9130000</v>
      </c>
      <c r="N121" s="78">
        <f t="shared" si="27"/>
        <v>7700000</v>
      </c>
      <c r="O121" s="78">
        <f t="shared" si="27"/>
        <v>2420000</v>
      </c>
    </row>
    <row r="122" spans="1:15" s="33" customFormat="1" outlineLevel="1" x14ac:dyDescent="0.15">
      <c r="A122" s="78"/>
      <c r="B122" s="80" t="s">
        <v>123</v>
      </c>
      <c r="C122" s="78"/>
      <c r="D122" s="79" t="s">
        <v>173</v>
      </c>
      <c r="E122" s="150">
        <f>IFERROR(AVERAGE(G122:O122),"na")</f>
        <v>45282222.222222224</v>
      </c>
      <c r="F122" s="150">
        <f>SUM(G122:O122)</f>
        <v>407540000</v>
      </c>
      <c r="G122" s="78">
        <f t="shared" si="27"/>
        <v>38340000</v>
      </c>
      <c r="H122" s="78">
        <f t="shared" si="27"/>
        <v>38340000</v>
      </c>
      <c r="I122" s="78">
        <f t="shared" si="27"/>
        <v>38340000</v>
      </c>
      <c r="J122" s="78">
        <f t="shared" si="27"/>
        <v>39050000</v>
      </c>
      <c r="K122" s="78">
        <f t="shared" si="27"/>
        <v>59640000</v>
      </c>
      <c r="L122" s="78">
        <f t="shared" si="27"/>
        <v>69580000</v>
      </c>
      <c r="M122" s="78">
        <f t="shared" si="27"/>
        <v>58930000</v>
      </c>
      <c r="N122" s="78">
        <f t="shared" si="27"/>
        <v>49700000</v>
      </c>
      <c r="O122" s="78">
        <f t="shared" si="27"/>
        <v>15620000</v>
      </c>
    </row>
    <row r="123" spans="1:15" s="33" customFormat="1" outlineLevel="1" x14ac:dyDescent="0.15">
      <c r="A123" s="153" t="s">
        <v>64</v>
      </c>
      <c r="B123" s="64"/>
      <c r="C123" s="165"/>
      <c r="D123" s="166" t="s">
        <v>173</v>
      </c>
      <c r="E123" s="155">
        <f>IFERROR(AVERAGE(G123:O123),"na")</f>
        <v>90564444.444444448</v>
      </c>
      <c r="F123" s="155">
        <f>SUM(G123:O123)</f>
        <v>815080000</v>
      </c>
      <c r="G123" s="165">
        <f>SUM(G119:G122)</f>
        <v>76680000</v>
      </c>
      <c r="H123" s="165">
        <f t="shared" ref="H123:O123" si="28">SUM(H119:H122)</f>
        <v>76680000</v>
      </c>
      <c r="I123" s="165">
        <f t="shared" si="28"/>
        <v>76680000</v>
      </c>
      <c r="J123" s="165">
        <f t="shared" si="28"/>
        <v>78100000</v>
      </c>
      <c r="K123" s="165">
        <f t="shared" si="28"/>
        <v>119280000</v>
      </c>
      <c r="L123" s="165">
        <f t="shared" si="28"/>
        <v>139160000</v>
      </c>
      <c r="M123" s="165">
        <f t="shared" si="28"/>
        <v>117860000</v>
      </c>
      <c r="N123" s="165">
        <f t="shared" si="28"/>
        <v>99400000</v>
      </c>
      <c r="O123" s="165">
        <f t="shared" si="28"/>
        <v>31240000</v>
      </c>
    </row>
    <row r="124" spans="1:15" s="33" customFormat="1" outlineLevel="1" x14ac:dyDescent="0.15">
      <c r="A124" s="78"/>
      <c r="B124" s="78"/>
      <c r="C124" s="78"/>
      <c r="D124" s="79"/>
      <c r="E124" s="79"/>
      <c r="F124" s="150"/>
      <c r="G124" s="78"/>
      <c r="H124" s="78"/>
      <c r="I124" s="78"/>
      <c r="J124" s="78"/>
      <c r="K124" s="78"/>
      <c r="L124" s="78"/>
      <c r="M124" s="78"/>
      <c r="N124" s="78"/>
      <c r="O124" s="78"/>
    </row>
    <row r="125" spans="1:15" s="33" customFormat="1" outlineLevel="1" x14ac:dyDescent="0.15">
      <c r="A125" s="37" t="s">
        <v>179</v>
      </c>
      <c r="B125" s="78"/>
      <c r="C125" s="78"/>
      <c r="D125" s="79"/>
      <c r="E125" s="41" t="str">
        <f>IFERROR(AVERAGE(G125:O125),"na")</f>
        <v>na</v>
      </c>
      <c r="F125" s="41">
        <f>SUM(G125:O125)</f>
        <v>0</v>
      </c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1:15" s="33" customFormat="1" outlineLevel="1" x14ac:dyDescent="0.15">
      <c r="A126" s="78"/>
      <c r="B126" s="78"/>
      <c r="C126" s="78"/>
      <c r="D126" s="79"/>
      <c r="E126" s="79"/>
      <c r="F126" s="79"/>
      <c r="G126" s="78"/>
      <c r="H126" s="78"/>
      <c r="I126" s="78"/>
      <c r="J126" s="78"/>
      <c r="K126" s="78"/>
      <c r="L126" s="78"/>
      <c r="M126" s="78"/>
      <c r="N126" s="78"/>
      <c r="O126" s="78"/>
    </row>
    <row r="127" spans="1:15" s="33" customFormat="1" outlineLevel="1" x14ac:dyDescent="0.15">
      <c r="A127" s="78" t="s">
        <v>128</v>
      </c>
      <c r="B127" s="78"/>
      <c r="C127" s="78"/>
      <c r="D127" s="79"/>
      <c r="E127" s="79"/>
      <c r="F127" s="79"/>
      <c r="G127" s="78"/>
      <c r="H127" s="78"/>
      <c r="I127" s="78"/>
      <c r="J127" s="78"/>
      <c r="K127" s="78"/>
      <c r="L127" s="78"/>
      <c r="M127" s="78"/>
      <c r="N127" s="78"/>
      <c r="O127" s="78"/>
    </row>
    <row r="128" spans="1:15" s="33" customFormat="1" outlineLevel="1" x14ac:dyDescent="0.15">
      <c r="A128" s="78"/>
      <c r="B128" s="78" t="s">
        <v>258</v>
      </c>
      <c r="C128" s="78"/>
      <c r="D128" s="79" t="s">
        <v>173</v>
      </c>
      <c r="E128" s="150">
        <f>IFERROR(AVERAGE(G128:O128),"na")</f>
        <v>1424386.2212943635</v>
      </c>
      <c r="F128" s="150">
        <f>SUM(G128:O128)</f>
        <v>12819475.991649272</v>
      </c>
      <c r="G128" s="78">
        <f>$G48</f>
        <v>1424386.2212943633</v>
      </c>
      <c r="H128" s="78">
        <f t="shared" ref="H128:O128" si="29">$G48</f>
        <v>1424386.2212943633</v>
      </c>
      <c r="I128" s="78">
        <f t="shared" si="29"/>
        <v>1424386.2212943633</v>
      </c>
      <c r="J128" s="78">
        <f t="shared" si="29"/>
        <v>1424386.2212943633</v>
      </c>
      <c r="K128" s="78">
        <f t="shared" si="29"/>
        <v>1424386.2212943633</v>
      </c>
      <c r="L128" s="78">
        <f t="shared" si="29"/>
        <v>1424386.2212943633</v>
      </c>
      <c r="M128" s="78">
        <f t="shared" si="29"/>
        <v>1424386.2212943633</v>
      </c>
      <c r="N128" s="78">
        <f t="shared" si="29"/>
        <v>1424386.2212943633</v>
      </c>
      <c r="O128" s="78">
        <f t="shared" si="29"/>
        <v>1424386.2212943633</v>
      </c>
    </row>
    <row r="129" spans="1:15" s="33" customFormat="1" outlineLevel="1" x14ac:dyDescent="0.15">
      <c r="A129" s="78"/>
      <c r="B129" s="78" t="s">
        <v>131</v>
      </c>
      <c r="C129" s="78"/>
      <c r="D129" s="79" t="s">
        <v>173</v>
      </c>
      <c r="E129" s="150">
        <f>IFERROR(AVERAGE(G129:O129),"na")</f>
        <v>939457.20250521915</v>
      </c>
      <c r="F129" s="150">
        <f>SUM(G129:O129)</f>
        <v>8455114.822546972</v>
      </c>
      <c r="G129" s="78">
        <f>$G49</f>
        <v>939457.20250521915</v>
      </c>
      <c r="H129" s="78">
        <f t="shared" ref="H129:O129" si="30">$G49</f>
        <v>939457.20250521915</v>
      </c>
      <c r="I129" s="78">
        <f t="shared" si="30"/>
        <v>939457.20250521915</v>
      </c>
      <c r="J129" s="78">
        <f t="shared" si="30"/>
        <v>939457.20250521915</v>
      </c>
      <c r="K129" s="78">
        <f t="shared" si="30"/>
        <v>939457.20250521915</v>
      </c>
      <c r="L129" s="78">
        <f t="shared" si="30"/>
        <v>939457.20250521915</v>
      </c>
      <c r="M129" s="78">
        <f t="shared" si="30"/>
        <v>939457.20250521915</v>
      </c>
      <c r="N129" s="78">
        <f t="shared" si="30"/>
        <v>939457.20250521915</v>
      </c>
      <c r="O129" s="78">
        <f t="shared" si="30"/>
        <v>939457.20250521915</v>
      </c>
    </row>
    <row r="130" spans="1:15" s="33" customFormat="1" outlineLevel="1" x14ac:dyDescent="0.15">
      <c r="A130" s="42" t="s">
        <v>180</v>
      </c>
      <c r="B130" s="165"/>
      <c r="C130" s="165"/>
      <c r="D130" s="66" t="s">
        <v>173</v>
      </c>
      <c r="E130" s="65">
        <f>IFERROR(AVERAGE(G130:O130),"na")</f>
        <v>2363843.4237995823</v>
      </c>
      <c r="F130" s="65">
        <f>SUM(G130:O130)</f>
        <v>21274590.81419624</v>
      </c>
      <c r="G130" s="42">
        <f t="shared" ref="G130:O130" si="31">SUM(G128:G129)</f>
        <v>2363843.4237995823</v>
      </c>
      <c r="H130" s="42">
        <f t="shared" si="31"/>
        <v>2363843.4237995823</v>
      </c>
      <c r="I130" s="42">
        <f t="shared" si="31"/>
        <v>2363843.4237995823</v>
      </c>
      <c r="J130" s="42">
        <f t="shared" si="31"/>
        <v>2363843.4237995823</v>
      </c>
      <c r="K130" s="42">
        <f t="shared" si="31"/>
        <v>2363843.4237995823</v>
      </c>
      <c r="L130" s="42">
        <f t="shared" si="31"/>
        <v>2363843.4237995823</v>
      </c>
      <c r="M130" s="42">
        <f t="shared" si="31"/>
        <v>2363843.4237995823</v>
      </c>
      <c r="N130" s="42">
        <f t="shared" si="31"/>
        <v>2363843.4237995823</v>
      </c>
      <c r="O130" s="42">
        <f t="shared" si="31"/>
        <v>2363843.4237995823</v>
      </c>
    </row>
    <row r="131" spans="1:15" s="33" customFormat="1" outlineLevel="1" x14ac:dyDescent="0.15">
      <c r="A131" s="78"/>
      <c r="B131" s="78"/>
      <c r="C131" s="78"/>
      <c r="D131" s="79"/>
      <c r="E131" s="79"/>
      <c r="F131" s="150"/>
      <c r="G131" s="78"/>
      <c r="H131" s="78"/>
      <c r="I131" s="78"/>
      <c r="J131" s="78"/>
      <c r="K131" s="78"/>
      <c r="L131" s="78"/>
      <c r="M131" s="78"/>
      <c r="N131" s="78"/>
      <c r="O131" s="78"/>
    </row>
    <row r="132" spans="1:15" s="33" customFormat="1" outlineLevel="1" x14ac:dyDescent="0.15">
      <c r="A132" s="78" t="s">
        <v>181</v>
      </c>
      <c r="B132" s="78"/>
      <c r="C132" s="78"/>
      <c r="D132" s="79"/>
      <c r="E132" s="79"/>
      <c r="F132" s="150"/>
      <c r="G132" s="78"/>
      <c r="H132" s="78"/>
      <c r="I132" s="78"/>
      <c r="J132" s="78"/>
      <c r="K132" s="78"/>
      <c r="L132" s="78"/>
      <c r="M132" s="78"/>
      <c r="N132" s="78"/>
      <c r="O132" s="78"/>
    </row>
    <row r="133" spans="1:15" s="33" customFormat="1" outlineLevel="1" x14ac:dyDescent="0.15">
      <c r="A133" s="78"/>
      <c r="B133" s="78" t="s">
        <v>182</v>
      </c>
      <c r="C133" s="78"/>
      <c r="D133" s="79" t="s">
        <v>125</v>
      </c>
      <c r="E133" s="150">
        <f>IFERROR(AVERAGE(G133:O133),"na")</f>
        <v>1064.8704171899697</v>
      </c>
      <c r="F133" s="163">
        <f>SUM(G133:O133)</f>
        <v>9583.8337547097271</v>
      </c>
      <c r="G133" s="168">
        <f t="shared" ref="G133:O133" si="32">G123/G87</f>
        <v>1029.1365105728567</v>
      </c>
      <c r="H133" s="168">
        <f t="shared" si="32"/>
        <v>1029.1365105728567</v>
      </c>
      <c r="I133" s="168">
        <f t="shared" si="32"/>
        <v>1029.1365105728567</v>
      </c>
      <c r="J133" s="168">
        <f t="shared" si="32"/>
        <v>1029.1365105728567</v>
      </c>
      <c r="K133" s="168">
        <f t="shared" si="32"/>
        <v>1093.4575424836603</v>
      </c>
      <c r="L133" s="168">
        <f t="shared" si="32"/>
        <v>1093.4575424836603</v>
      </c>
      <c r="M133" s="168">
        <f t="shared" si="32"/>
        <v>1093.4575424836603</v>
      </c>
      <c r="N133" s="168">
        <f t="shared" si="32"/>
        <v>1093.4575424836603</v>
      </c>
      <c r="O133" s="168">
        <f t="shared" si="32"/>
        <v>1093.4575424836603</v>
      </c>
    </row>
    <row r="134" spans="1:15" s="33" customFormat="1" outlineLevel="1" x14ac:dyDescent="0.15">
      <c r="A134" s="78"/>
      <c r="B134" s="78" t="s">
        <v>183</v>
      </c>
      <c r="C134" s="78"/>
      <c r="D134" s="79" t="s">
        <v>125</v>
      </c>
      <c r="E134" s="150">
        <f>IFERROR(AVERAGE(G134:O134),"na")</f>
        <v>33.026948913700799</v>
      </c>
      <c r="F134" s="163">
        <f t="shared" ref="F134:F137" si="33">SUM(G134:O134)</f>
        <v>297.24254022330717</v>
      </c>
      <c r="G134" s="168">
        <f t="shared" ref="G134:O134" si="34">G130/G87</f>
        <v>31.725581282077417</v>
      </c>
      <c r="H134" s="168">
        <f t="shared" si="34"/>
        <v>31.725581282077417</v>
      </c>
      <c r="I134" s="168">
        <f t="shared" si="34"/>
        <v>31.725581282077417</v>
      </c>
      <c r="J134" s="168">
        <f t="shared" si="34"/>
        <v>31.148752531494189</v>
      </c>
      <c r="K134" s="168">
        <f t="shared" si="34"/>
        <v>21.669705072133237</v>
      </c>
      <c r="L134" s="168">
        <f t="shared" si="34"/>
        <v>18.574032918971348</v>
      </c>
      <c r="M134" s="168">
        <f t="shared" si="34"/>
        <v>21.930785856134843</v>
      </c>
      <c r="N134" s="168">
        <f t="shared" si="34"/>
        <v>26.003646086559886</v>
      </c>
      <c r="O134" s="168">
        <f t="shared" si="34"/>
        <v>82.738873911781454</v>
      </c>
    </row>
    <row r="135" spans="1:15" s="33" customFormat="1" outlineLevel="1" x14ac:dyDescent="0.15">
      <c r="A135" s="78"/>
      <c r="B135" s="78" t="s">
        <v>124</v>
      </c>
      <c r="C135" s="78"/>
      <c r="D135" s="79" t="s">
        <v>125</v>
      </c>
      <c r="E135" s="150">
        <f>IFERROR(AVERAGE(G135:O135),"na")</f>
        <v>0</v>
      </c>
      <c r="F135" s="163">
        <f t="shared" si="33"/>
        <v>0</v>
      </c>
      <c r="G135" s="168">
        <f>$G$58</f>
        <v>0</v>
      </c>
      <c r="H135" s="168">
        <f t="shared" ref="H135:O135" si="35">$G$58</f>
        <v>0</v>
      </c>
      <c r="I135" s="168">
        <f t="shared" si="35"/>
        <v>0</v>
      </c>
      <c r="J135" s="168">
        <f t="shared" si="35"/>
        <v>0</v>
      </c>
      <c r="K135" s="168">
        <f t="shared" si="35"/>
        <v>0</v>
      </c>
      <c r="L135" s="168">
        <f t="shared" si="35"/>
        <v>0</v>
      </c>
      <c r="M135" s="168">
        <f t="shared" si="35"/>
        <v>0</v>
      </c>
      <c r="N135" s="168">
        <f t="shared" si="35"/>
        <v>0</v>
      </c>
      <c r="O135" s="168">
        <f t="shared" si="35"/>
        <v>0</v>
      </c>
    </row>
    <row r="136" spans="1:15" s="33" customFormat="1" outlineLevel="1" x14ac:dyDescent="0.15">
      <c r="A136" s="78"/>
      <c r="B136" s="78" t="s">
        <v>127</v>
      </c>
      <c r="C136" s="78"/>
      <c r="D136" s="79" t="s">
        <v>125</v>
      </c>
      <c r="E136" s="150">
        <f>IFERROR(AVERAGE(G136:O136),"na")</f>
        <v>0</v>
      </c>
      <c r="F136" s="211">
        <f t="shared" si="33"/>
        <v>0</v>
      </c>
      <c r="G136" s="168">
        <f>$G$59</f>
        <v>0</v>
      </c>
      <c r="H136" s="168">
        <f t="shared" ref="H136:O136" si="36">$G$59</f>
        <v>0</v>
      </c>
      <c r="I136" s="168">
        <f t="shared" si="36"/>
        <v>0</v>
      </c>
      <c r="J136" s="168">
        <f t="shared" si="36"/>
        <v>0</v>
      </c>
      <c r="K136" s="168">
        <f t="shared" si="36"/>
        <v>0</v>
      </c>
      <c r="L136" s="168">
        <f t="shared" si="36"/>
        <v>0</v>
      </c>
      <c r="M136" s="168">
        <f t="shared" si="36"/>
        <v>0</v>
      </c>
      <c r="N136" s="168">
        <f t="shared" si="36"/>
        <v>0</v>
      </c>
      <c r="O136" s="168">
        <f t="shared" si="36"/>
        <v>0</v>
      </c>
    </row>
    <row r="137" spans="1:15" s="33" customFormat="1" outlineLevel="1" x14ac:dyDescent="0.15">
      <c r="A137" s="42" t="s">
        <v>181</v>
      </c>
      <c r="B137" s="165"/>
      <c r="C137" s="165"/>
      <c r="D137" s="66" t="s">
        <v>125</v>
      </c>
      <c r="E137" s="65">
        <f>IFERROR(AVERAGE(G137:O137),"na")</f>
        <v>1097.8973661036705</v>
      </c>
      <c r="F137" s="163">
        <f t="shared" si="33"/>
        <v>9881.0762949330347</v>
      </c>
      <c r="G137" s="88">
        <f>SUM(G133:G136)</f>
        <v>1060.8620918549341</v>
      </c>
      <c r="H137" s="88">
        <f t="shared" ref="H137:O137" si="37">SUM(H133:H136)</f>
        <v>1060.8620918549341</v>
      </c>
      <c r="I137" s="88">
        <f t="shared" si="37"/>
        <v>1060.8620918549341</v>
      </c>
      <c r="J137" s="88">
        <f t="shared" si="37"/>
        <v>1060.2852631043509</v>
      </c>
      <c r="K137" s="88">
        <f t="shared" si="37"/>
        <v>1115.1272475557935</v>
      </c>
      <c r="L137" s="88">
        <f t="shared" si="37"/>
        <v>1112.0315754026317</v>
      </c>
      <c r="M137" s="88">
        <f t="shared" si="37"/>
        <v>1115.3883283397952</v>
      </c>
      <c r="N137" s="88">
        <f t="shared" si="37"/>
        <v>1119.4611885702202</v>
      </c>
      <c r="O137" s="88">
        <f t="shared" si="37"/>
        <v>1176.1964163954417</v>
      </c>
    </row>
    <row r="138" spans="1:15" s="33" customFormat="1" outlineLevel="1" x14ac:dyDescent="0.15">
      <c r="A138" s="78"/>
      <c r="B138" s="78"/>
      <c r="C138" s="78"/>
      <c r="D138" s="79"/>
      <c r="E138" s="79"/>
      <c r="F138" s="79"/>
      <c r="G138" s="78"/>
      <c r="H138" s="78"/>
      <c r="I138" s="78"/>
      <c r="J138" s="78"/>
      <c r="K138" s="78"/>
      <c r="L138" s="78"/>
      <c r="M138" s="78"/>
      <c r="N138" s="78"/>
      <c r="O138" s="78"/>
    </row>
    <row r="139" spans="1:15" s="33" customFormat="1" outlineLevel="1" x14ac:dyDescent="0.15">
      <c r="A139" s="37" t="s">
        <v>281</v>
      </c>
      <c r="B139" s="78"/>
      <c r="C139" s="78"/>
      <c r="D139" s="38" t="s">
        <v>173</v>
      </c>
      <c r="E139" s="41">
        <f>IFERROR(AVERAGE(G139:O139),"na")</f>
        <v>85695029.528574526</v>
      </c>
      <c r="F139" s="41">
        <f t="shared" ref="F139:O139" si="38">F106-F110-F123</f>
        <v>-831103588.54300177</v>
      </c>
      <c r="G139" s="41">
        <f t="shared" si="38"/>
        <v>78224347.831622481</v>
      </c>
      <c r="H139" s="41">
        <f t="shared" si="38"/>
        <v>78224347.831622481</v>
      </c>
      <c r="I139" s="41">
        <f t="shared" si="38"/>
        <v>78224347.831622481</v>
      </c>
      <c r="J139" s="41">
        <f t="shared" si="38"/>
        <v>79672946.865541428</v>
      </c>
      <c r="K139" s="41">
        <f t="shared" si="38"/>
        <v>107508064.79923812</v>
      </c>
      <c r="L139" s="41">
        <f t="shared" si="38"/>
        <v>125426075.59911111</v>
      </c>
      <c r="M139" s="41">
        <f t="shared" si="38"/>
        <v>106228206.88496149</v>
      </c>
      <c r="N139" s="41">
        <f t="shared" si="38"/>
        <v>89590053.999365091</v>
      </c>
      <c r="O139" s="41">
        <f t="shared" si="38"/>
        <v>28156874.114086166</v>
      </c>
    </row>
    <row r="140" spans="1:15" s="33" customFormat="1" outlineLevel="1" x14ac:dyDescent="0.15">
      <c r="A140" s="78"/>
      <c r="B140" s="78"/>
      <c r="C140" s="78"/>
      <c r="D140" s="79"/>
      <c r="E140" s="79"/>
      <c r="F140" s="79"/>
      <c r="G140" s="78"/>
      <c r="H140" s="78"/>
      <c r="I140" s="78"/>
      <c r="J140" s="78"/>
      <c r="K140" s="78"/>
      <c r="L140" s="78"/>
      <c r="M140" s="78"/>
      <c r="N140" s="78"/>
      <c r="O140" s="78"/>
    </row>
    <row r="141" spans="1:15" s="33" customFormat="1" ht="18" outlineLevel="1" x14ac:dyDescent="0.15">
      <c r="A141" s="107" t="s">
        <v>198</v>
      </c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</row>
    <row r="142" spans="1:15" s="33" customFormat="1" outlineLevel="1" x14ac:dyDescent="0.15">
      <c r="A142" s="78"/>
      <c r="B142" s="78"/>
      <c r="C142" s="78"/>
      <c r="D142" s="79"/>
      <c r="E142" s="79"/>
      <c r="F142" s="79"/>
      <c r="G142" s="78"/>
      <c r="H142" s="78"/>
      <c r="I142" s="78"/>
      <c r="J142" s="78"/>
      <c r="K142" s="78"/>
      <c r="L142" s="78"/>
      <c r="M142" s="78"/>
      <c r="N142" s="78"/>
      <c r="O142" s="78"/>
    </row>
    <row r="143" spans="1:15" s="33" customFormat="1" outlineLevel="1" x14ac:dyDescent="0.15">
      <c r="A143" s="37" t="s">
        <v>199</v>
      </c>
      <c r="B143" s="78"/>
      <c r="C143" s="78"/>
      <c r="D143" s="79"/>
      <c r="E143" s="79"/>
      <c r="F143" s="79"/>
      <c r="G143" s="78"/>
      <c r="H143" s="78"/>
      <c r="I143" s="78"/>
      <c r="J143" s="78"/>
      <c r="K143" s="78"/>
      <c r="L143" s="78"/>
      <c r="M143" s="78"/>
      <c r="N143" s="78"/>
      <c r="O143" s="78"/>
    </row>
    <row r="144" spans="1:15" s="33" customFormat="1" outlineLevel="1" x14ac:dyDescent="0.15">
      <c r="A144" s="78" t="s">
        <v>281</v>
      </c>
      <c r="B144" s="78"/>
      <c r="C144" s="78"/>
      <c r="D144" s="79" t="s">
        <v>173</v>
      </c>
      <c r="E144" s="150" t="str">
        <f>IFERROR(AVERAGE(#REF!),"na")</f>
        <v>na</v>
      </c>
      <c r="F144" s="150">
        <f>SUM(G144:O144)</f>
        <v>771255265.7571708</v>
      </c>
      <c r="G144" s="78">
        <f>G139</f>
        <v>78224347.831622481</v>
      </c>
      <c r="H144" s="78">
        <f t="shared" ref="H144:O144" si="39">H139</f>
        <v>78224347.831622481</v>
      </c>
      <c r="I144" s="78">
        <f t="shared" si="39"/>
        <v>78224347.831622481</v>
      </c>
      <c r="J144" s="78">
        <f t="shared" si="39"/>
        <v>79672946.865541428</v>
      </c>
      <c r="K144" s="78">
        <f t="shared" si="39"/>
        <v>107508064.79923812</v>
      </c>
      <c r="L144" s="78">
        <f t="shared" si="39"/>
        <v>125426075.59911111</v>
      </c>
      <c r="M144" s="78">
        <f t="shared" si="39"/>
        <v>106228206.88496149</v>
      </c>
      <c r="N144" s="78">
        <f t="shared" si="39"/>
        <v>89590053.999365091</v>
      </c>
      <c r="O144" s="78">
        <f t="shared" si="39"/>
        <v>28156874.114086166</v>
      </c>
    </row>
    <row r="145" spans="1:15" s="33" customFormat="1" outlineLevel="1" x14ac:dyDescent="0.15">
      <c r="A145" s="78" t="s">
        <v>200</v>
      </c>
      <c r="B145" s="78"/>
      <c r="C145" s="78"/>
      <c r="D145" s="79"/>
      <c r="E145" s="79"/>
      <c r="F145" s="79"/>
      <c r="G145" s="78"/>
      <c r="H145" s="78"/>
      <c r="I145" s="78"/>
      <c r="J145" s="78"/>
      <c r="K145" s="78"/>
      <c r="L145" s="78"/>
      <c r="M145" s="78"/>
      <c r="N145" s="78"/>
      <c r="O145" s="78"/>
    </row>
    <row r="146" spans="1:15" s="33" customFormat="1" outlineLevel="1" x14ac:dyDescent="0.15">
      <c r="A146" s="78" t="s">
        <v>202</v>
      </c>
      <c r="B146" s="78" t="s">
        <v>141</v>
      </c>
      <c r="C146" s="78"/>
      <c r="D146" s="79" t="s">
        <v>173</v>
      </c>
      <c r="E146" s="150" t="str">
        <f>IFERROR(AVERAGE(G140:O140),"na")</f>
        <v>na</v>
      </c>
      <c r="F146" s="150">
        <f>SUM(G140:O140)</f>
        <v>0</v>
      </c>
      <c r="G146" s="78">
        <f t="shared" ref="G146:O146" si="40">G144*$F$54</f>
        <v>15644869.566324497</v>
      </c>
      <c r="H146" s="78">
        <f t="shared" si="40"/>
        <v>15644869.566324497</v>
      </c>
      <c r="I146" s="78">
        <f t="shared" si="40"/>
        <v>15644869.566324497</v>
      </c>
      <c r="J146" s="78">
        <f t="shared" si="40"/>
        <v>15934589.373108286</v>
      </c>
      <c r="K146" s="78">
        <f t="shared" si="40"/>
        <v>21501612.959847625</v>
      </c>
      <c r="L146" s="78">
        <f t="shared" si="40"/>
        <v>25085215.119822223</v>
      </c>
      <c r="M146" s="78">
        <f t="shared" si="40"/>
        <v>21245641.3769923</v>
      </c>
      <c r="N146" s="78">
        <f t="shared" si="40"/>
        <v>17918010.79987302</v>
      </c>
      <c r="O146" s="78">
        <f t="shared" si="40"/>
        <v>5631374.8228172334</v>
      </c>
    </row>
    <row r="147" spans="1:15" s="33" customFormat="1" outlineLevel="1" x14ac:dyDescent="0.15">
      <c r="A147" s="165"/>
      <c r="B147" s="165" t="s">
        <v>205</v>
      </c>
      <c r="C147" s="165"/>
      <c r="D147" s="166" t="s">
        <v>173</v>
      </c>
      <c r="E147" s="155" t="str">
        <f>IFERROR(AVERAGE(G141:O141),"na")</f>
        <v>na</v>
      </c>
      <c r="F147" s="155">
        <f>SUM(G141:O141)</f>
        <v>0</v>
      </c>
      <c r="G147" s="165">
        <f t="shared" ref="G147:O147" si="41">SUM(G146:G146)</f>
        <v>15644869.566324497</v>
      </c>
      <c r="H147" s="165">
        <f t="shared" si="41"/>
        <v>15644869.566324497</v>
      </c>
      <c r="I147" s="165">
        <f t="shared" si="41"/>
        <v>15644869.566324497</v>
      </c>
      <c r="J147" s="165">
        <f t="shared" si="41"/>
        <v>15934589.373108286</v>
      </c>
      <c r="K147" s="165">
        <f t="shared" si="41"/>
        <v>21501612.959847625</v>
      </c>
      <c r="L147" s="165">
        <f t="shared" si="41"/>
        <v>25085215.119822223</v>
      </c>
      <c r="M147" s="165">
        <f t="shared" si="41"/>
        <v>21245641.3769923</v>
      </c>
      <c r="N147" s="165">
        <f t="shared" si="41"/>
        <v>17918010.79987302</v>
      </c>
      <c r="O147" s="165">
        <f t="shared" si="41"/>
        <v>5631374.8228172334</v>
      </c>
    </row>
    <row r="148" spans="1:15" s="33" customFormat="1" outlineLevel="1" x14ac:dyDescent="0.15">
      <c r="A148" s="78"/>
      <c r="B148" s="78"/>
      <c r="C148" s="78"/>
      <c r="D148" s="79"/>
      <c r="E148" s="79"/>
      <c r="F148" s="79"/>
      <c r="G148" s="78"/>
      <c r="H148" s="78"/>
      <c r="I148" s="78"/>
      <c r="J148" s="78"/>
      <c r="K148" s="78"/>
      <c r="L148" s="78"/>
      <c r="M148" s="78"/>
      <c r="N148" s="78"/>
      <c r="O148" s="78"/>
    </row>
    <row r="149" spans="1:15" s="33" customFormat="1" outlineLevel="1" x14ac:dyDescent="0.15">
      <c r="A149" s="37" t="s">
        <v>199</v>
      </c>
      <c r="B149" s="78"/>
      <c r="C149" s="78"/>
      <c r="D149" s="79"/>
      <c r="E149" s="150" t="str">
        <f>IFERROR(AVERAGE(G143:O143),"na")</f>
        <v>na</v>
      </c>
      <c r="F149" s="150">
        <f>SUM(G143:O143)</f>
        <v>0</v>
      </c>
      <c r="G149" s="37">
        <f t="shared" ref="G149:O149" si="42">G144+G147</f>
        <v>93869217.397946984</v>
      </c>
      <c r="H149" s="37">
        <f t="shared" si="42"/>
        <v>93869217.397946984</v>
      </c>
      <c r="I149" s="37">
        <f t="shared" si="42"/>
        <v>93869217.397946984</v>
      </c>
      <c r="J149" s="37">
        <f t="shared" si="42"/>
        <v>95607536.238649711</v>
      </c>
      <c r="K149" s="37">
        <f t="shared" si="42"/>
        <v>129009677.75908574</v>
      </c>
      <c r="L149" s="37">
        <f t="shared" si="42"/>
        <v>150511290.71893334</v>
      </c>
      <c r="M149" s="37">
        <f t="shared" si="42"/>
        <v>127473848.26195379</v>
      </c>
      <c r="N149" s="37">
        <f t="shared" si="42"/>
        <v>107508064.79923812</v>
      </c>
      <c r="O149" s="37">
        <f t="shared" si="42"/>
        <v>33788248.936903402</v>
      </c>
    </row>
    <row r="150" spans="1:15" s="33" customFormat="1" outlineLevel="1" x14ac:dyDescent="0.15">
      <c r="A150" s="78"/>
      <c r="B150" s="78"/>
      <c r="C150" s="78"/>
      <c r="D150" s="79"/>
      <c r="E150" s="79"/>
      <c r="F150" s="79"/>
      <c r="G150" s="78"/>
      <c r="H150" s="78"/>
      <c r="I150" s="78"/>
      <c r="J150" s="78"/>
      <c r="K150" s="78"/>
      <c r="L150" s="78"/>
      <c r="M150" s="78"/>
      <c r="N150" s="78"/>
      <c r="O150" s="78"/>
    </row>
    <row r="151" spans="1:15" s="33" customFormat="1" outlineLevel="1" x14ac:dyDescent="0.15">
      <c r="A151" s="37" t="s">
        <v>206</v>
      </c>
      <c r="B151" s="78"/>
      <c r="C151" s="78"/>
      <c r="D151" s="94">
        <f>F65</f>
        <v>3.1769638000000003E-2</v>
      </c>
      <c r="E151" s="163" t="s">
        <v>157</v>
      </c>
      <c r="F151" s="163" t="s">
        <v>157</v>
      </c>
      <c r="G151" s="43"/>
      <c r="H151" s="43"/>
      <c r="I151" s="43"/>
      <c r="J151" s="43"/>
      <c r="K151" s="43"/>
      <c r="L151" s="43"/>
      <c r="M151" s="43"/>
      <c r="N151" s="43"/>
      <c r="O151" s="43"/>
    </row>
    <row r="152" spans="1:15" s="33" customFormat="1" outlineLevel="1" x14ac:dyDescent="0.15">
      <c r="A152" s="78"/>
      <c r="B152" s="78"/>
      <c r="C152" s="78"/>
      <c r="D152" s="79"/>
      <c r="E152" s="79"/>
      <c r="F152" s="79"/>
      <c r="G152" s="78"/>
      <c r="H152" s="78"/>
      <c r="I152" s="78"/>
      <c r="J152" s="78"/>
      <c r="K152" s="78"/>
      <c r="L152" s="78"/>
      <c r="M152" s="78"/>
      <c r="N152" s="78"/>
      <c r="O152" s="78"/>
    </row>
    <row r="153" spans="1:15" s="33" customFormat="1" outlineLevel="1" x14ac:dyDescent="0.15">
      <c r="A153" s="37" t="s">
        <v>207</v>
      </c>
      <c r="B153" s="37"/>
      <c r="C153" s="37"/>
      <c r="D153" s="79" t="s">
        <v>173</v>
      </c>
      <c r="E153" s="38"/>
      <c r="F153" s="78"/>
      <c r="G153" s="78"/>
      <c r="H153" s="78"/>
      <c r="I153" s="78"/>
      <c r="J153" s="78"/>
      <c r="K153" s="78"/>
      <c r="L153" s="78"/>
      <c r="M153" s="78"/>
      <c r="N153" s="78"/>
      <c r="O153" s="78"/>
    </row>
    <row r="154" spans="1:15" s="33" customFormat="1" outlineLevel="1" x14ac:dyDescent="0.15">
      <c r="A154" s="113" t="s">
        <v>208</v>
      </c>
      <c r="B154" s="174"/>
      <c r="C154" s="175"/>
      <c r="D154" s="79"/>
      <c r="E154" s="108">
        <f>XNPV(D151,G154:O154,G1:O1)</f>
        <v>820932813.53932869</v>
      </c>
      <c r="F154" s="37">
        <v>0</v>
      </c>
      <c r="G154" s="37">
        <f>G149</f>
        <v>93869217.397946984</v>
      </c>
      <c r="H154" s="37">
        <f t="shared" ref="H154:O154" si="43">H149</f>
        <v>93869217.397946984</v>
      </c>
      <c r="I154" s="37">
        <f t="shared" si="43"/>
        <v>93869217.397946984</v>
      </c>
      <c r="J154" s="37">
        <f t="shared" si="43"/>
        <v>95607536.238649711</v>
      </c>
      <c r="K154" s="37">
        <f t="shared" si="43"/>
        <v>129009677.75908574</v>
      </c>
      <c r="L154" s="37">
        <f t="shared" si="43"/>
        <v>150511290.71893334</v>
      </c>
      <c r="M154" s="37">
        <f t="shared" si="43"/>
        <v>127473848.26195379</v>
      </c>
      <c r="N154" s="37">
        <f t="shared" si="43"/>
        <v>107508064.79923812</v>
      </c>
      <c r="O154" s="37">
        <f t="shared" si="43"/>
        <v>33788248.936903402</v>
      </c>
    </row>
    <row r="155" spans="1:15" s="33" customFormat="1" outlineLevel="1" x14ac:dyDescent="0.15">
      <c r="A155" s="78" t="s">
        <v>209</v>
      </c>
      <c r="B155" s="78"/>
      <c r="C155" s="79"/>
      <c r="D155" s="79"/>
      <c r="E155" s="45"/>
      <c r="F155" s="78"/>
      <c r="G155" s="78"/>
      <c r="H155" s="78"/>
      <c r="I155" s="78"/>
      <c r="J155" s="78"/>
      <c r="K155" s="78"/>
      <c r="L155" s="78"/>
      <c r="M155" s="78"/>
      <c r="N155" s="78"/>
      <c r="O155" s="78"/>
    </row>
    <row r="156" spans="1:15" s="33" customFormat="1" outlineLevel="1" x14ac:dyDescent="0.15">
      <c r="A156" s="78"/>
      <c r="B156" s="78"/>
      <c r="C156" s="79"/>
      <c r="D156" s="79"/>
      <c r="E156" s="38"/>
      <c r="F156" s="78"/>
      <c r="G156" s="78"/>
      <c r="H156" s="78"/>
      <c r="I156" s="78"/>
      <c r="J156" s="78"/>
      <c r="K156" s="78"/>
      <c r="L156" s="78"/>
      <c r="M156" s="78"/>
      <c r="N156" s="78"/>
      <c r="O156" s="78"/>
    </row>
    <row r="157" spans="1:15" s="33" customFormat="1" outlineLevel="1" x14ac:dyDescent="0.15">
      <c r="A157" s="78" t="s">
        <v>210</v>
      </c>
      <c r="B157" s="78"/>
      <c r="C157" s="176" t="s">
        <v>211</v>
      </c>
      <c r="D157" s="79"/>
      <c r="E157" s="37"/>
      <c r="F157" s="37"/>
      <c r="G157" s="37"/>
      <c r="H157" s="78"/>
      <c r="I157" s="78"/>
      <c r="J157" s="78"/>
      <c r="K157" s="78"/>
      <c r="L157" s="78"/>
      <c r="M157" s="78"/>
      <c r="N157" s="78"/>
      <c r="O157" s="78"/>
    </row>
    <row r="158" spans="1:15" s="33" customFormat="1" outlineLevel="1" x14ac:dyDescent="0.15">
      <c r="A158" s="78"/>
      <c r="B158" s="78"/>
      <c r="C158" s="176" t="s">
        <v>212</v>
      </c>
      <c r="D158" s="79"/>
      <c r="E158" s="44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spans="1:15" s="33" customFormat="1" outlineLevel="1" x14ac:dyDescent="0.15">
      <c r="A159" s="165" t="s">
        <v>213</v>
      </c>
      <c r="B159" s="165"/>
      <c r="C159" s="177" t="s">
        <v>214</v>
      </c>
      <c r="D159" s="166"/>
      <c r="E159" s="112"/>
      <c r="F159" s="42"/>
      <c r="G159" s="42"/>
      <c r="H159" s="42"/>
      <c r="I159" s="42"/>
      <c r="J159" s="42"/>
      <c r="K159" s="42"/>
      <c r="L159" s="42"/>
      <c r="M159" s="42"/>
      <c r="N159" s="42"/>
      <c r="O159" s="42"/>
    </row>
    <row r="160" spans="1:15" s="33" customFormat="1" outlineLevel="1" x14ac:dyDescent="0.15">
      <c r="A160" s="78"/>
      <c r="B160" s="78"/>
      <c r="C160" s="78"/>
      <c r="D160" s="79"/>
      <c r="E160" s="79"/>
      <c r="F160" s="38"/>
      <c r="G160" s="78"/>
      <c r="H160" s="78"/>
      <c r="I160" s="78"/>
      <c r="J160" s="78"/>
      <c r="K160" s="78"/>
      <c r="L160" s="78"/>
      <c r="M160" s="78"/>
      <c r="N160" s="78"/>
      <c r="O160" s="78"/>
    </row>
    <row r="161" spans="1:15" s="33" customFormat="1" outlineLevel="1" x14ac:dyDescent="0.15">
      <c r="A161" s="37" t="s">
        <v>215</v>
      </c>
      <c r="B161" s="78"/>
      <c r="C161" s="78"/>
      <c r="D161" s="79"/>
      <c r="E161" s="79"/>
      <c r="F161" s="79"/>
      <c r="G161" s="78"/>
      <c r="H161" s="78"/>
      <c r="I161" s="78"/>
      <c r="J161" s="78"/>
      <c r="K161" s="78"/>
      <c r="L161" s="78"/>
      <c r="M161" s="78"/>
      <c r="N161" s="78"/>
      <c r="O161" s="78"/>
    </row>
    <row r="162" spans="1:15" s="33" customFormat="1" outlineLevel="1" x14ac:dyDescent="0.15">
      <c r="A162" s="78"/>
      <c r="B162" s="78" t="s">
        <v>211</v>
      </c>
      <c r="C162" s="78"/>
      <c r="D162" s="79"/>
      <c r="E162" s="79"/>
      <c r="F162" s="79"/>
      <c r="G162" s="78"/>
      <c r="H162" s="78"/>
      <c r="I162" s="78"/>
      <c r="J162" s="78"/>
      <c r="K162" s="78"/>
      <c r="L162" s="78"/>
      <c r="M162" s="78"/>
      <c r="N162" s="78"/>
      <c r="O162" s="78"/>
    </row>
    <row r="163" spans="1:15" s="33" customFormat="1" outlineLevel="1" x14ac:dyDescent="0.15">
      <c r="A163" s="78"/>
      <c r="B163" s="78" t="s">
        <v>216</v>
      </c>
      <c r="C163" s="78"/>
      <c r="D163" s="79"/>
      <c r="E163" s="79"/>
      <c r="F163" s="79"/>
      <c r="G163" s="78"/>
      <c r="H163" s="78"/>
      <c r="I163" s="78"/>
      <c r="J163" s="78"/>
      <c r="K163" s="78"/>
      <c r="L163" s="78"/>
      <c r="M163" s="78"/>
      <c r="N163" s="78"/>
      <c r="O163" s="78"/>
    </row>
    <row r="164" spans="1:15" s="33" customFormat="1" outlineLevel="1" x14ac:dyDescent="0.15">
      <c r="A164" s="165"/>
      <c r="B164" s="165" t="s">
        <v>64</v>
      </c>
      <c r="C164" s="165"/>
      <c r="D164" s="166"/>
      <c r="E164" s="166"/>
      <c r="F164" s="166"/>
      <c r="G164" s="165"/>
      <c r="H164" s="165"/>
      <c r="I164" s="165"/>
      <c r="J164" s="165"/>
      <c r="K164" s="165"/>
      <c r="L164" s="165"/>
      <c r="M164" s="165"/>
      <c r="N164" s="165"/>
      <c r="O164" s="165"/>
    </row>
    <row r="165" spans="1:15" s="33" customFormat="1" outlineLevel="1" x14ac:dyDescent="0.15">
      <c r="A165" s="78"/>
      <c r="B165" s="78"/>
      <c r="C165" s="78"/>
      <c r="D165" s="79"/>
      <c r="E165" s="79"/>
      <c r="F165" s="79"/>
      <c r="G165" s="78"/>
      <c r="H165" s="78"/>
      <c r="I165" s="78"/>
      <c r="J165" s="78"/>
      <c r="K165" s="78"/>
      <c r="L165" s="78"/>
      <c r="M165" s="78"/>
      <c r="N165" s="78"/>
      <c r="O165" s="78"/>
    </row>
    <row r="166" spans="1:15" s="33" customFormat="1" outlineLevel="1" x14ac:dyDescent="0.15">
      <c r="A166" s="78"/>
      <c r="B166" s="78" t="s">
        <v>217</v>
      </c>
      <c r="C166" s="78"/>
      <c r="D166" s="79"/>
      <c r="E166" s="79"/>
      <c r="F166" s="79"/>
      <c r="G166" s="78"/>
      <c r="H166" s="78"/>
      <c r="I166" s="78"/>
      <c r="J166" s="78"/>
      <c r="K166" s="78"/>
      <c r="L166" s="78"/>
      <c r="M166" s="78"/>
      <c r="N166" s="78"/>
      <c r="O166" s="78"/>
    </row>
    <row r="167" spans="1:15" s="33" customFormat="1" outlineLevel="1" x14ac:dyDescent="0.15">
      <c r="A167" s="78"/>
      <c r="B167" s="78" t="s">
        <v>218</v>
      </c>
      <c r="C167" s="78"/>
      <c r="D167" s="79"/>
      <c r="E167" s="111"/>
      <c r="F167" s="78"/>
      <c r="G167" s="78"/>
      <c r="H167" s="78"/>
      <c r="I167" s="78"/>
      <c r="J167" s="78"/>
      <c r="K167" s="78"/>
      <c r="L167" s="78"/>
      <c r="M167" s="78"/>
      <c r="N167" s="78"/>
      <c r="O167" s="78"/>
    </row>
    <row r="168" spans="1:15" s="33" customFormat="1" outlineLevel="1" x14ac:dyDescent="0.15">
      <c r="A168" s="78"/>
      <c r="B168" s="78"/>
      <c r="C168" s="78"/>
      <c r="D168" s="79"/>
      <c r="E168" s="79"/>
      <c r="F168" s="79"/>
      <c r="G168" s="78"/>
      <c r="H168" s="78"/>
      <c r="I168" s="178"/>
      <c r="J168" s="178"/>
      <c r="K168" s="78"/>
      <c r="L168" s="78"/>
      <c r="M168" s="78"/>
      <c r="N168" s="78"/>
      <c r="O168" s="78"/>
    </row>
    <row r="169" spans="1:15" s="33" customFormat="1" outlineLevel="1" x14ac:dyDescent="0.15">
      <c r="A169" s="37" t="s">
        <v>12</v>
      </c>
      <c r="B169" s="78"/>
      <c r="C169" s="78"/>
      <c r="D169" s="79"/>
      <c r="E169" s="79"/>
      <c r="F169" s="79"/>
      <c r="G169" s="78"/>
      <c r="H169" s="78"/>
      <c r="I169" s="178"/>
      <c r="J169" s="178"/>
      <c r="K169" s="78"/>
      <c r="L169" s="78"/>
      <c r="M169" s="78"/>
      <c r="N169" s="78"/>
      <c r="O169" s="78"/>
    </row>
    <row r="170" spans="1:15" s="33" customFormat="1" outlineLevel="1" x14ac:dyDescent="0.15">
      <c r="A170" s="78" t="s">
        <v>219</v>
      </c>
      <c r="B170" s="78"/>
      <c r="C170" s="78"/>
      <c r="D170" s="79"/>
      <c r="E170" s="79">
        <f>E154</f>
        <v>820932813.53932869</v>
      </c>
      <c r="F170" s="79"/>
      <c r="G170" s="78"/>
      <c r="H170" s="78"/>
      <c r="I170" s="178"/>
      <c r="J170" s="178"/>
      <c r="K170" s="78"/>
      <c r="L170" s="78"/>
      <c r="M170" s="78"/>
      <c r="N170" s="78"/>
      <c r="O170" s="78"/>
    </row>
    <row r="171" spans="1:15" s="33" customFormat="1" outlineLevel="1" x14ac:dyDescent="0.15">
      <c r="A171" s="78" t="s">
        <v>220</v>
      </c>
      <c r="B171" s="78"/>
      <c r="C171" s="78"/>
      <c r="D171" s="79"/>
      <c r="E171" s="136">
        <v>-100000</v>
      </c>
      <c r="F171" s="79"/>
      <c r="G171" s="78"/>
      <c r="H171" s="78"/>
      <c r="I171" s="178"/>
      <c r="J171" s="178"/>
      <c r="K171" s="78"/>
      <c r="L171" s="78"/>
      <c r="M171" s="78"/>
      <c r="N171" s="78"/>
      <c r="O171" s="78"/>
    </row>
    <row r="172" spans="1:15" s="33" customFormat="1" outlineLevel="1" x14ac:dyDescent="0.15">
      <c r="A172" s="78" t="s">
        <v>221</v>
      </c>
      <c r="B172" s="78"/>
      <c r="C172" s="78"/>
      <c r="D172" s="79"/>
      <c r="E172" s="136">
        <v>412000000</v>
      </c>
      <c r="F172" s="79"/>
      <c r="G172" s="78"/>
      <c r="H172" s="78"/>
      <c r="I172" s="178"/>
      <c r="J172" s="178"/>
      <c r="K172" s="78"/>
      <c r="L172" s="78"/>
      <c r="M172" s="78"/>
      <c r="N172" s="78"/>
      <c r="O172" s="78"/>
    </row>
    <row r="173" spans="1:15" s="33" customFormat="1" outlineLevel="1" x14ac:dyDescent="0.15">
      <c r="A173" s="78" t="s">
        <v>222</v>
      </c>
      <c r="B173" s="78"/>
      <c r="C173" s="78"/>
      <c r="D173" s="79"/>
      <c r="E173" s="136">
        <v>116900000</v>
      </c>
      <c r="F173" s="79"/>
      <c r="G173" s="78"/>
      <c r="H173" s="78"/>
      <c r="I173" s="178"/>
      <c r="J173" s="178"/>
      <c r="K173" s="78"/>
      <c r="L173" s="78"/>
      <c r="M173" s="78"/>
      <c r="N173" s="78"/>
      <c r="O173" s="78"/>
    </row>
    <row r="174" spans="1:15" s="33" customFormat="1" outlineLevel="1" x14ac:dyDescent="0.15">
      <c r="A174" s="37" t="s">
        <v>223</v>
      </c>
      <c r="B174" s="78"/>
      <c r="C174" s="78"/>
      <c r="D174" s="79"/>
      <c r="E174" s="109">
        <f>SUM(E170:E172)-E173</f>
        <v>1115932813.5393286</v>
      </c>
      <c r="F174" s="79"/>
      <c r="G174" s="78"/>
      <c r="H174" s="78"/>
      <c r="I174" s="178"/>
      <c r="J174" s="178"/>
      <c r="K174" s="78"/>
      <c r="L174" s="78"/>
      <c r="M174" s="78"/>
      <c r="N174" s="78"/>
      <c r="O174" s="78"/>
    </row>
    <row r="175" spans="1:15" s="33" customFormat="1" x14ac:dyDescent="0.15">
      <c r="A175" s="37"/>
      <c r="B175" s="78"/>
      <c r="C175" s="78"/>
      <c r="D175" s="79"/>
      <c r="E175" s="79"/>
      <c r="F175" s="79"/>
      <c r="G175" s="78"/>
      <c r="H175" s="78"/>
      <c r="I175" s="178"/>
      <c r="J175" s="178"/>
      <c r="K175" s="78"/>
      <c r="L175" s="78"/>
      <c r="M175" s="78"/>
      <c r="N175" s="78"/>
      <c r="O175" s="78"/>
    </row>
    <row r="176" spans="1:15" s="50" customFormat="1" ht="18.75" customHeight="1" x14ac:dyDescent="0.15">
      <c r="A176" s="78" t="s">
        <v>224</v>
      </c>
      <c r="B176" s="78"/>
      <c r="C176" s="78"/>
      <c r="D176" s="79"/>
      <c r="E176" s="79">
        <v>5672800000</v>
      </c>
      <c r="F176" s="79"/>
      <c r="G176" s="78"/>
      <c r="H176" s="78"/>
      <c r="I176" s="178"/>
      <c r="J176" s="178"/>
      <c r="K176" s="78"/>
      <c r="L176" s="78"/>
      <c r="M176" s="78"/>
      <c r="N176" s="78"/>
      <c r="O176" s="78"/>
    </row>
    <row r="177" spans="1:15" ht="16.5" customHeight="1" outlineLevel="1" x14ac:dyDescent="0.15">
      <c r="A177" s="78" t="s">
        <v>225</v>
      </c>
      <c r="B177" s="78"/>
      <c r="C177" s="78"/>
      <c r="D177" s="79"/>
      <c r="E177" s="179">
        <f>E174/E176</f>
        <v>0.19671640345849115</v>
      </c>
      <c r="F177" s="79"/>
      <c r="G177" s="78"/>
      <c r="H177" s="78"/>
      <c r="I177" s="178"/>
      <c r="J177" s="178"/>
      <c r="K177" s="78"/>
      <c r="L177" s="78"/>
      <c r="M177" s="78"/>
      <c r="N177" s="78"/>
      <c r="O177" s="78"/>
    </row>
    <row r="178" spans="1:15" outlineLevel="1" x14ac:dyDescent="0.15">
      <c r="A178" s="37"/>
      <c r="B178" s="78"/>
      <c r="C178" s="78"/>
      <c r="D178" s="79"/>
      <c r="E178" s="79"/>
      <c r="F178" s="79"/>
      <c r="G178" s="78"/>
      <c r="H178" s="78"/>
      <c r="I178" s="178"/>
      <c r="J178" s="178"/>
      <c r="K178" s="78"/>
      <c r="L178" s="78"/>
      <c r="M178" s="78"/>
      <c r="N178" s="78"/>
      <c r="O178" s="78"/>
    </row>
    <row r="179" spans="1:15" outlineLevel="1" x14ac:dyDescent="0.15">
      <c r="A179" s="37" t="s">
        <v>15</v>
      </c>
      <c r="B179" s="78"/>
      <c r="C179" s="78"/>
      <c r="D179" s="79"/>
      <c r="E179" s="179">
        <f>$F$67</f>
        <v>7.0000000000000007E-2</v>
      </c>
      <c r="F179" s="79"/>
      <c r="G179" s="78"/>
      <c r="H179" s="78"/>
      <c r="I179" s="178"/>
      <c r="J179" s="178"/>
      <c r="K179" s="78"/>
      <c r="L179" s="78"/>
      <c r="M179" s="78"/>
      <c r="N179" s="78"/>
      <c r="O179" s="78"/>
    </row>
    <row r="180" spans="1:15" outlineLevel="1" x14ac:dyDescent="0.15">
      <c r="A180" s="37" t="s">
        <v>56</v>
      </c>
      <c r="B180" s="78"/>
      <c r="C180" s="78"/>
      <c r="D180" s="79"/>
      <c r="E180" s="110">
        <f>E179/E177</f>
        <v>0.35584221127126597</v>
      </c>
      <c r="F180" s="79"/>
      <c r="G180" s="78"/>
      <c r="H180" s="78"/>
      <c r="I180" s="178"/>
      <c r="J180" s="178"/>
      <c r="K180" s="78"/>
      <c r="L180" s="78"/>
      <c r="M180" s="78"/>
      <c r="N180" s="78"/>
      <c r="O180" s="78"/>
    </row>
    <row r="181" spans="1:15" outlineLevel="1" x14ac:dyDescent="0.15">
      <c r="A181" s="78"/>
      <c r="B181" s="78"/>
      <c r="C181" s="78"/>
      <c r="D181" s="79"/>
      <c r="E181" s="79"/>
      <c r="F181" s="79"/>
      <c r="G181" s="78"/>
      <c r="H181" s="78"/>
      <c r="I181" s="78"/>
      <c r="J181" s="78"/>
      <c r="K181" s="78"/>
      <c r="L181" s="78"/>
      <c r="M181" s="78"/>
      <c r="N181" s="78"/>
      <c r="O181" s="78"/>
    </row>
    <row r="182" spans="1:15" ht="18" outlineLevel="1" x14ac:dyDescent="0.15">
      <c r="A182" s="107" t="s">
        <v>226</v>
      </c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</row>
    <row r="183" spans="1:15" ht="15.75" customHeight="1" outlineLevel="1" x14ac:dyDescent="0.15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</row>
    <row r="184" spans="1:15" outlineLevel="1" x14ac:dyDescent="0.15">
      <c r="A184" s="77"/>
      <c r="B184" s="77"/>
      <c r="C184" s="77"/>
      <c r="D184" s="77"/>
      <c r="E184" s="77"/>
      <c r="F184" s="77"/>
      <c r="G184" s="77" t="s">
        <v>227</v>
      </c>
      <c r="H184" s="180"/>
      <c r="I184" s="146"/>
      <c r="J184" s="77"/>
      <c r="K184" s="77"/>
      <c r="L184" s="77"/>
      <c r="M184" s="77"/>
      <c r="N184" s="77"/>
      <c r="O184" s="77"/>
    </row>
    <row r="185" spans="1:15" outlineLevel="1" x14ac:dyDescent="0.15">
      <c r="A185" s="77"/>
      <c r="B185" s="77"/>
      <c r="C185" s="77"/>
      <c r="D185" s="77"/>
      <c r="E185" s="77"/>
      <c r="F185" s="77"/>
      <c r="G185" s="77" t="s">
        <v>210</v>
      </c>
      <c r="H185" s="148"/>
      <c r="I185" s="146"/>
      <c r="J185" s="77"/>
      <c r="K185" s="77"/>
      <c r="L185" s="77"/>
      <c r="M185" s="77"/>
      <c r="N185" s="77"/>
      <c r="O185" s="77"/>
    </row>
    <row r="186" spans="1:15" outlineLevel="1" x14ac:dyDescent="0.15">
      <c r="A186" s="77"/>
      <c r="B186" s="77"/>
      <c r="C186" s="77"/>
      <c r="D186" s="77"/>
      <c r="E186" s="77"/>
      <c r="F186" s="77"/>
      <c r="G186" s="77" t="s">
        <v>228</v>
      </c>
      <c r="H186" s="60"/>
      <c r="I186" s="13"/>
      <c r="J186" s="77"/>
      <c r="K186" s="77"/>
      <c r="L186" s="77"/>
      <c r="M186" s="77"/>
      <c r="N186" s="77"/>
      <c r="O186" s="77"/>
    </row>
    <row r="187" spans="1:15" outlineLevel="1" x14ac:dyDescent="0.15">
      <c r="A187" s="77"/>
      <c r="B187" s="77"/>
      <c r="C187" s="77"/>
      <c r="D187" s="77"/>
      <c r="E187" s="77"/>
      <c r="F187" s="77"/>
      <c r="G187" s="77" t="s">
        <v>229</v>
      </c>
      <c r="H187" s="181"/>
      <c r="I187" s="142"/>
      <c r="J187" s="77"/>
      <c r="K187" s="77"/>
      <c r="L187" s="77"/>
      <c r="M187" s="77"/>
      <c r="N187" s="77"/>
      <c r="O187" s="77"/>
    </row>
    <row r="188" spans="1:15" outlineLevel="1" x14ac:dyDescent="0.15">
      <c r="A188" s="77"/>
      <c r="B188" s="77"/>
      <c r="C188" s="77"/>
      <c r="D188" s="77"/>
      <c r="E188" s="77"/>
      <c r="F188" s="77"/>
      <c r="G188" s="77"/>
      <c r="H188" s="142"/>
      <c r="I188" s="77"/>
      <c r="J188" s="77"/>
      <c r="K188" s="77"/>
      <c r="L188" s="77"/>
      <c r="M188" s="77"/>
      <c r="N188" s="77"/>
      <c r="O188" s="77"/>
    </row>
    <row r="189" spans="1:15" outlineLevel="1" x14ac:dyDescent="0.15">
      <c r="A189" s="77"/>
      <c r="B189" s="77"/>
      <c r="C189" s="77"/>
      <c r="D189" s="77"/>
      <c r="E189" s="77"/>
      <c r="F189" s="77"/>
      <c r="G189" s="51" t="s">
        <v>229</v>
      </c>
      <c r="H189" s="52"/>
      <c r="I189" s="52"/>
      <c r="J189" s="52"/>
      <c r="K189" s="52"/>
      <c r="L189" s="52"/>
      <c r="M189" s="77"/>
      <c r="N189" s="77"/>
      <c r="O189" s="77"/>
    </row>
    <row r="190" spans="1:15" outlineLevel="1" x14ac:dyDescent="0.15">
      <c r="A190" s="77"/>
      <c r="B190" s="77"/>
      <c r="C190" s="77"/>
      <c r="D190" s="77"/>
      <c r="E190" s="77"/>
      <c r="F190" s="77"/>
      <c r="G190" s="46"/>
      <c r="H190" s="182" t="s">
        <v>230</v>
      </c>
      <c r="I190" s="182"/>
      <c r="J190" s="182"/>
      <c r="K190" s="182"/>
      <c r="L190" s="182"/>
      <c r="M190" s="77"/>
      <c r="N190" s="77"/>
      <c r="O190" s="77"/>
    </row>
    <row r="191" spans="1:15" outlineLevel="1" x14ac:dyDescent="0.15">
      <c r="G191" s="47">
        <f>E159</f>
        <v>0</v>
      </c>
      <c r="H191" s="62">
        <v>1000</v>
      </c>
      <c r="I191" s="183">
        <f>+H191+200</f>
        <v>1200</v>
      </c>
      <c r="J191" s="183">
        <f t="shared" ref="J191:L191" si="44">+I191+200</f>
        <v>1400</v>
      </c>
      <c r="K191" s="183">
        <f t="shared" si="44"/>
        <v>1600</v>
      </c>
      <c r="L191" s="183">
        <f t="shared" si="44"/>
        <v>1800</v>
      </c>
    </row>
    <row r="192" spans="1:15" outlineLevel="1" x14ac:dyDescent="0.15">
      <c r="G192" s="61">
        <v>12</v>
      </c>
      <c r="H192" s="184"/>
      <c r="I192" s="184"/>
      <c r="J192" s="184"/>
      <c r="K192" s="184"/>
      <c r="L192" s="184"/>
    </row>
    <row r="193" spans="1:15" outlineLevel="1" x14ac:dyDescent="0.15">
      <c r="G193" s="185">
        <f>+G192-1</f>
        <v>11</v>
      </c>
      <c r="H193" s="142"/>
      <c r="I193" s="142"/>
      <c r="J193" s="142"/>
      <c r="K193" s="142"/>
      <c r="L193" s="142"/>
    </row>
    <row r="194" spans="1:15" outlineLevel="1" x14ac:dyDescent="0.15">
      <c r="G194" s="185">
        <f t="shared" ref="G194:G200" si="45">+G193-1</f>
        <v>10</v>
      </c>
      <c r="H194" s="142"/>
      <c r="I194" s="142"/>
      <c r="J194" s="142"/>
      <c r="K194" s="142"/>
      <c r="L194" s="142"/>
    </row>
    <row r="195" spans="1:15" outlineLevel="1" x14ac:dyDescent="0.15">
      <c r="G195" s="185">
        <f t="shared" si="45"/>
        <v>9</v>
      </c>
      <c r="H195" s="142"/>
      <c r="I195" s="186"/>
      <c r="J195" s="186"/>
      <c r="K195" s="186"/>
      <c r="L195" s="142"/>
    </row>
    <row r="196" spans="1:15" outlineLevel="1" x14ac:dyDescent="0.15">
      <c r="G196" s="185">
        <f t="shared" si="45"/>
        <v>8</v>
      </c>
      <c r="H196" s="142"/>
      <c r="I196" s="186"/>
      <c r="J196" s="186"/>
      <c r="K196" s="186"/>
      <c r="L196" s="142"/>
    </row>
    <row r="197" spans="1:15" ht="15.75" customHeight="1" outlineLevel="1" x14ac:dyDescent="0.15">
      <c r="G197" s="185">
        <f t="shared" si="45"/>
        <v>7</v>
      </c>
      <c r="H197" s="142"/>
      <c r="I197" s="186"/>
      <c r="J197" s="186"/>
      <c r="K197" s="186"/>
      <c r="L197" s="142"/>
    </row>
    <row r="198" spans="1:15" outlineLevel="1" x14ac:dyDescent="0.15">
      <c r="G198" s="185">
        <f t="shared" si="45"/>
        <v>6</v>
      </c>
      <c r="H198" s="142"/>
      <c r="I198" s="142"/>
      <c r="J198" s="142"/>
      <c r="K198" s="142"/>
      <c r="L198" s="142"/>
    </row>
    <row r="199" spans="1:15" outlineLevel="1" x14ac:dyDescent="0.15">
      <c r="G199" s="185">
        <f t="shared" si="45"/>
        <v>5</v>
      </c>
      <c r="H199" s="142"/>
      <c r="I199" s="142"/>
      <c r="J199" s="142"/>
      <c r="K199" s="142"/>
      <c r="L199" s="142"/>
    </row>
    <row r="200" spans="1:15" outlineLevel="1" x14ac:dyDescent="0.15">
      <c r="G200" s="185">
        <f t="shared" si="45"/>
        <v>4</v>
      </c>
      <c r="H200" s="142"/>
      <c r="I200" s="142"/>
      <c r="J200" s="142"/>
      <c r="K200" s="142"/>
      <c r="L200" s="142"/>
    </row>
    <row r="201" spans="1:15" outlineLevel="1" x14ac:dyDescent="0.15">
      <c r="G201" s="77"/>
      <c r="H201" s="77"/>
      <c r="I201" s="77"/>
      <c r="J201" s="77"/>
      <c r="K201" s="77"/>
      <c r="L201" s="77"/>
    </row>
    <row r="202" spans="1:15" outlineLevel="1" x14ac:dyDescent="0.15">
      <c r="G202" s="77"/>
      <c r="H202" s="77"/>
      <c r="I202" s="77"/>
      <c r="J202" s="77"/>
      <c r="K202" s="77"/>
      <c r="L202" s="77"/>
    </row>
    <row r="203" spans="1:15" outlineLevel="1" x14ac:dyDescent="0.15">
      <c r="G203" s="51" t="s">
        <v>231</v>
      </c>
      <c r="H203" s="52"/>
      <c r="I203" s="52"/>
      <c r="J203" s="52"/>
      <c r="K203" s="52"/>
      <c r="L203" s="52"/>
    </row>
    <row r="204" spans="1:15" outlineLevel="1" x14ac:dyDescent="0.15">
      <c r="G204" s="77"/>
      <c r="H204" s="182" t="s">
        <v>230</v>
      </c>
      <c r="I204" s="182"/>
      <c r="J204" s="182"/>
      <c r="K204" s="182"/>
      <c r="L204" s="182"/>
    </row>
    <row r="205" spans="1:15" outlineLevel="1" x14ac:dyDescent="0.15">
      <c r="G205" s="54">
        <f>E157/1000000</f>
        <v>0</v>
      </c>
      <c r="H205" s="62">
        <v>1000</v>
      </c>
      <c r="I205" s="183">
        <f>+H205+200</f>
        <v>1200</v>
      </c>
      <c r="J205" s="183">
        <f t="shared" ref="J205:L205" si="46">+I205+200</f>
        <v>1400</v>
      </c>
      <c r="K205" s="183">
        <f t="shared" si="46"/>
        <v>1600</v>
      </c>
      <c r="L205" s="183">
        <f t="shared" si="46"/>
        <v>1800</v>
      </c>
    </row>
    <row r="206" spans="1:15" outlineLevel="1" x14ac:dyDescent="0.15">
      <c r="G206" s="63">
        <v>0.09</v>
      </c>
      <c r="H206" s="187"/>
      <c r="I206" s="144"/>
      <c r="J206" s="144"/>
      <c r="K206" s="144"/>
      <c r="L206" s="144"/>
    </row>
    <row r="207" spans="1:15" outlineLevel="1" x14ac:dyDescent="0.15">
      <c r="A207" s="77"/>
      <c r="B207" s="77"/>
      <c r="C207" s="77"/>
      <c r="D207" s="77"/>
      <c r="E207" s="77"/>
      <c r="F207" s="77"/>
      <c r="G207" s="188">
        <f>G206-0.01</f>
        <v>0.08</v>
      </c>
      <c r="H207" s="146"/>
      <c r="I207" s="146"/>
      <c r="J207" s="146"/>
      <c r="K207" s="146"/>
      <c r="L207" s="146"/>
      <c r="M207" s="77"/>
      <c r="N207" s="77"/>
      <c r="O207" s="77"/>
    </row>
    <row r="208" spans="1:15" outlineLevel="1" x14ac:dyDescent="0.15">
      <c r="A208" s="77"/>
      <c r="B208" s="77"/>
      <c r="C208" s="77"/>
      <c r="D208" s="77"/>
      <c r="E208" s="77"/>
      <c r="F208" s="77"/>
      <c r="G208" s="188">
        <f t="shared" ref="G208:G214" si="47">G207-0.01</f>
        <v>7.0000000000000007E-2</v>
      </c>
      <c r="H208" s="146"/>
      <c r="I208" s="146"/>
      <c r="J208" s="146"/>
      <c r="K208" s="146"/>
      <c r="L208" s="146"/>
      <c r="M208" s="77"/>
      <c r="N208" s="77"/>
      <c r="O208" s="77"/>
    </row>
    <row r="209" spans="1:15" outlineLevel="1" x14ac:dyDescent="0.15">
      <c r="A209" s="77"/>
      <c r="B209" s="77"/>
      <c r="C209" s="77"/>
      <c r="D209" s="77"/>
      <c r="E209" s="77"/>
      <c r="F209" s="77"/>
      <c r="G209" s="188">
        <f t="shared" si="47"/>
        <v>6.0000000000000005E-2</v>
      </c>
      <c r="H209" s="146"/>
      <c r="I209" s="189"/>
      <c r="J209" s="189"/>
      <c r="K209" s="189"/>
      <c r="L209" s="146"/>
      <c r="M209" s="77"/>
      <c r="N209" s="77"/>
      <c r="O209" s="77"/>
    </row>
    <row r="210" spans="1:15" x14ac:dyDescent="0.15">
      <c r="A210" s="77"/>
      <c r="B210" s="77"/>
      <c r="C210" s="77"/>
      <c r="D210" s="77"/>
      <c r="E210" s="77"/>
      <c r="F210" s="77"/>
      <c r="G210" s="188">
        <f t="shared" si="47"/>
        <v>0.05</v>
      </c>
      <c r="H210" s="146"/>
      <c r="I210" s="189"/>
      <c r="J210" s="189"/>
      <c r="K210" s="189"/>
      <c r="L210" s="146"/>
      <c r="M210" s="77"/>
      <c r="N210" s="77"/>
      <c r="O210" s="77"/>
    </row>
    <row r="211" spans="1:15" s="50" customFormat="1" ht="18.75" customHeight="1" x14ac:dyDescent="0.15">
      <c r="A211" s="77"/>
      <c r="B211" s="77"/>
      <c r="C211" s="77"/>
      <c r="D211" s="77"/>
      <c r="E211" s="77"/>
      <c r="F211" s="77"/>
      <c r="G211" s="188">
        <f t="shared" si="47"/>
        <v>0.04</v>
      </c>
      <c r="H211" s="146"/>
      <c r="I211" s="189"/>
      <c r="J211" s="189"/>
      <c r="K211" s="189"/>
      <c r="L211" s="146"/>
      <c r="M211" s="77"/>
      <c r="N211" s="77"/>
      <c r="O211" s="77"/>
    </row>
    <row r="212" spans="1:15" s="29" customFormat="1" ht="24" hidden="1" customHeight="1" outlineLevel="2" x14ac:dyDescent="0.15">
      <c r="A212" s="77"/>
      <c r="B212" s="77"/>
      <c r="C212" s="77"/>
      <c r="D212" s="77"/>
      <c r="E212" s="77"/>
      <c r="F212" s="77"/>
      <c r="G212" s="188">
        <f t="shared" si="47"/>
        <v>0.03</v>
      </c>
      <c r="H212" s="146"/>
      <c r="I212" s="146"/>
      <c r="J212" s="146"/>
      <c r="K212" s="146"/>
      <c r="L212" s="146"/>
      <c r="M212" s="77"/>
      <c r="N212" s="77"/>
      <c r="O212" s="77"/>
    </row>
    <row r="213" spans="1:15" s="29" customFormat="1" hidden="1" outlineLevel="2" x14ac:dyDescent="0.15">
      <c r="A213" s="77"/>
      <c r="B213" s="77"/>
      <c r="C213" s="77"/>
      <c r="D213" s="77"/>
      <c r="E213" s="77"/>
      <c r="F213" s="77"/>
      <c r="G213" s="188">
        <f t="shared" si="47"/>
        <v>1.9999999999999997E-2</v>
      </c>
      <c r="H213" s="146"/>
      <c r="I213" s="146"/>
      <c r="J213" s="146"/>
      <c r="K213" s="146"/>
      <c r="L213" s="146"/>
      <c r="M213" s="77"/>
      <c r="N213" s="77"/>
      <c r="O213" s="77"/>
    </row>
    <row r="214" spans="1:15" s="29" customFormat="1" hidden="1" outlineLevel="2" x14ac:dyDescent="0.15">
      <c r="A214" s="77"/>
      <c r="B214" s="77"/>
      <c r="C214" s="77"/>
      <c r="D214" s="77"/>
      <c r="E214" s="77"/>
      <c r="F214" s="77"/>
      <c r="G214" s="188">
        <f t="shared" si="47"/>
        <v>9.9999999999999967E-3</v>
      </c>
      <c r="H214" s="146"/>
      <c r="I214" s="146"/>
      <c r="J214" s="146"/>
      <c r="K214" s="146"/>
      <c r="L214" s="146"/>
      <c r="M214" s="77"/>
      <c r="N214" s="77"/>
      <c r="O214" s="77"/>
    </row>
    <row r="215" spans="1:15" s="29" customFormat="1" hidden="1" outlineLevel="2" x14ac:dyDescent="0.15">
      <c r="A215" s="77"/>
      <c r="B215" s="77"/>
      <c r="C215" s="77"/>
      <c r="D215" s="77"/>
      <c r="E215" s="77"/>
      <c r="F215" s="77"/>
      <c r="G215" s="142"/>
      <c r="H215" s="146"/>
      <c r="I215" s="146"/>
      <c r="J215" s="146"/>
      <c r="K215" s="146"/>
      <c r="L215" s="146"/>
      <c r="M215" s="77"/>
      <c r="N215" s="77"/>
      <c r="O215" s="77"/>
    </row>
    <row r="216" spans="1:15" s="29" customFormat="1" hidden="1" outlineLevel="2" x14ac:dyDescent="0.15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</row>
    <row r="217" spans="1:15" s="29" customFormat="1" ht="18" hidden="1" outlineLevel="2" x14ac:dyDescent="0.15">
      <c r="A217" s="107" t="s">
        <v>232</v>
      </c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</row>
    <row r="218" spans="1:15" s="29" customFormat="1" ht="16" hidden="1" outlineLevel="2" x14ac:dyDescent="0.2">
      <c r="A218" s="80"/>
      <c r="B218" s="80"/>
      <c r="C218" s="80"/>
      <c r="D218" s="80"/>
      <c r="E218" s="80"/>
      <c r="F218" s="80"/>
      <c r="G218" s="56">
        <f t="shared" ref="G218:O218" si="48">G2</f>
        <v>2024</v>
      </c>
      <c r="H218" s="56">
        <f t="shared" si="48"/>
        <v>2025</v>
      </c>
      <c r="I218" s="56">
        <f t="shared" si="48"/>
        <v>2026</v>
      </c>
      <c r="J218" s="56">
        <f t="shared" si="48"/>
        <v>2027</v>
      </c>
      <c r="K218" s="56">
        <f t="shared" si="48"/>
        <v>2028</v>
      </c>
      <c r="L218" s="56">
        <f t="shared" si="48"/>
        <v>2029</v>
      </c>
      <c r="M218" s="56">
        <f t="shared" si="48"/>
        <v>2030</v>
      </c>
      <c r="N218" s="56">
        <f t="shared" si="48"/>
        <v>2031</v>
      </c>
      <c r="O218" s="56">
        <f t="shared" si="48"/>
        <v>2032</v>
      </c>
    </row>
    <row r="219" spans="1:15" s="29" customFormat="1" hidden="1" outlineLevel="2" x14ac:dyDescent="0.15">
      <c r="A219" s="153" t="s">
        <v>233</v>
      </c>
      <c r="B219" s="153"/>
      <c r="C219" s="153"/>
      <c r="D219" s="153"/>
      <c r="E219" s="153"/>
      <c r="F219" s="153"/>
      <c r="G219" s="57"/>
      <c r="H219" s="57"/>
      <c r="I219" s="57"/>
      <c r="J219" s="57"/>
      <c r="K219" s="57"/>
      <c r="L219" s="57"/>
      <c r="M219" s="57"/>
      <c r="N219" s="57"/>
      <c r="O219" s="57"/>
    </row>
    <row r="220" spans="1:15" s="29" customFormat="1" hidden="1" outlineLevel="2" x14ac:dyDescent="0.15">
      <c r="A220" s="80" t="s">
        <v>203</v>
      </c>
      <c r="B220" s="80"/>
      <c r="C220" s="80"/>
      <c r="D220" s="80"/>
      <c r="E220" s="80"/>
      <c r="F220" s="80"/>
      <c r="G220" s="30"/>
      <c r="H220" s="30"/>
      <c r="I220" s="30"/>
      <c r="J220" s="30"/>
      <c r="K220" s="30"/>
      <c r="L220" s="30"/>
      <c r="M220" s="30"/>
      <c r="N220" s="30"/>
      <c r="O220" s="30"/>
    </row>
    <row r="221" spans="1:15" s="29" customFormat="1" hidden="1" outlineLevel="2" x14ac:dyDescent="0.15">
      <c r="A221" s="153" t="s">
        <v>199</v>
      </c>
      <c r="B221" s="153"/>
      <c r="C221" s="153"/>
      <c r="D221" s="153"/>
      <c r="E221" s="153"/>
      <c r="F221" s="153"/>
      <c r="G221" s="58"/>
      <c r="H221" s="58"/>
      <c r="I221" s="58"/>
      <c r="J221" s="58"/>
      <c r="K221" s="58"/>
      <c r="L221" s="58"/>
      <c r="M221" s="58"/>
      <c r="N221" s="58"/>
      <c r="O221" s="58"/>
    </row>
    <row r="222" spans="1:15" s="29" customFormat="1" hidden="1" outlineLevel="2" x14ac:dyDescent="0.15">
      <c r="A222" s="80"/>
      <c r="B222" s="80"/>
      <c r="C222" s="80"/>
      <c r="D222" s="80"/>
      <c r="E222" s="80"/>
      <c r="F222" s="80"/>
      <c r="G222" s="55"/>
      <c r="H222" s="39"/>
      <c r="I222" s="39"/>
      <c r="J222" s="39"/>
      <c r="K222" s="39"/>
      <c r="L222" s="39"/>
      <c r="M222" s="39"/>
      <c r="N222" s="39"/>
      <c r="O222" s="39"/>
    </row>
    <row r="223" spans="1:15" s="29" customFormat="1" hidden="1" outlineLevel="2" x14ac:dyDescent="0.15">
      <c r="A223" s="80" t="s">
        <v>215</v>
      </c>
      <c r="B223" s="80"/>
      <c r="C223" s="80"/>
      <c r="D223" s="80"/>
      <c r="E223" s="80"/>
      <c r="F223" s="80"/>
      <c r="G223" s="55"/>
      <c r="H223" s="55"/>
      <c r="I223" s="55"/>
      <c r="J223" s="55"/>
      <c r="K223" s="55"/>
      <c r="L223" s="55"/>
      <c r="M223" s="55"/>
      <c r="N223" s="55"/>
      <c r="O223" s="55"/>
    </row>
    <row r="224" spans="1:15" s="29" customFormat="1" hidden="1" outlineLevel="2" x14ac:dyDescent="0.15">
      <c r="A224" s="80" t="s">
        <v>234</v>
      </c>
      <c r="B224" s="80"/>
      <c r="C224" s="80"/>
      <c r="D224" s="80"/>
      <c r="E224" s="80"/>
      <c r="F224" s="80"/>
      <c r="G224" s="30"/>
      <c r="H224" s="30"/>
      <c r="I224" s="30"/>
      <c r="J224" s="30"/>
      <c r="K224" s="30"/>
      <c r="L224" s="30"/>
      <c r="M224" s="30"/>
      <c r="N224" s="30"/>
      <c r="O224" s="30"/>
    </row>
    <row r="225" spans="1:15" s="29" customFormat="1" hidden="1" outlineLevel="2" x14ac:dyDescent="0.15">
      <c r="A225" s="153" t="s">
        <v>199</v>
      </c>
      <c r="B225" s="153"/>
      <c r="C225" s="153"/>
      <c r="D225" s="153"/>
      <c r="E225" s="153"/>
      <c r="F225" s="153"/>
      <c r="G225" s="58"/>
      <c r="H225" s="58"/>
      <c r="I225" s="58"/>
      <c r="J225" s="58"/>
      <c r="K225" s="58"/>
      <c r="L225" s="58"/>
      <c r="M225" s="58"/>
      <c r="N225" s="58"/>
      <c r="O225" s="58"/>
    </row>
    <row r="226" spans="1:15" s="29" customFormat="1" hidden="1" outlineLevel="2" x14ac:dyDescent="0.15">
      <c r="A226" s="80"/>
      <c r="B226" s="80"/>
      <c r="C226" s="80"/>
      <c r="D226" s="80"/>
      <c r="E226" s="80"/>
      <c r="F226" s="80"/>
      <c r="G226" s="39"/>
      <c r="H226" s="39"/>
      <c r="I226" s="39"/>
      <c r="J226" s="39"/>
      <c r="K226" s="39"/>
      <c r="L226" s="39"/>
      <c r="M226" s="39"/>
      <c r="N226" s="39"/>
      <c r="O226" s="39"/>
    </row>
    <row r="227" spans="1:15" s="29" customFormat="1" hidden="1" outlineLevel="2" x14ac:dyDescent="0.15">
      <c r="A227" s="80" t="s">
        <v>235</v>
      </c>
      <c r="B227" s="80"/>
      <c r="C227" s="80"/>
      <c r="D227" s="80"/>
      <c r="E227" s="80"/>
      <c r="F227" s="80"/>
      <c r="G227" s="30"/>
      <c r="H227" s="30"/>
      <c r="I227" s="30"/>
      <c r="J227" s="30"/>
      <c r="K227" s="30"/>
      <c r="L227" s="30"/>
      <c r="M227" s="30"/>
      <c r="N227" s="30"/>
      <c r="O227" s="30"/>
    </row>
    <row r="228" spans="1:15" s="29" customFormat="1" hidden="1" outlineLevel="2" x14ac:dyDescent="0.15">
      <c r="A228" s="80" t="s">
        <v>236</v>
      </c>
      <c r="B228" s="80"/>
      <c r="C228" s="80"/>
      <c r="D228" s="80"/>
      <c r="E228" s="80"/>
      <c r="F228" s="80"/>
      <c r="G228" s="30"/>
      <c r="H228" s="30"/>
      <c r="I228" s="30"/>
      <c r="J228" s="30"/>
      <c r="K228" s="30"/>
      <c r="L228" s="30"/>
      <c r="M228" s="30"/>
      <c r="N228" s="30"/>
      <c r="O228" s="30"/>
    </row>
    <row r="229" spans="1:15" s="29" customFormat="1" hidden="1" outlineLevel="2" x14ac:dyDescent="0.15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</row>
    <row r="230" spans="1:15" s="29" customFormat="1" hidden="1" outlineLevel="2" x14ac:dyDescent="0.15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</row>
    <row r="231" spans="1:15" s="29" customFormat="1" hidden="1" outlineLevel="2" x14ac:dyDescent="0.15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</row>
    <row r="232" spans="1:15" s="29" customFormat="1" hidden="1" outlineLevel="2" x14ac:dyDescent="0.15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</row>
    <row r="233" spans="1:15" s="29" customFormat="1" hidden="1" outlineLevel="2" x14ac:dyDescent="0.15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</row>
    <row r="234" spans="1:15" s="29" customFormat="1" hidden="1" outlineLevel="2" x14ac:dyDescent="0.15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</row>
    <row r="235" spans="1:15" s="29" customFormat="1" hidden="1" outlineLevel="2" x14ac:dyDescent="0.15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</row>
    <row r="236" spans="1:15" s="29" customFormat="1" hidden="1" outlineLevel="2" x14ac:dyDescent="0.15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</row>
    <row r="237" spans="1:15" s="29" customFormat="1" hidden="1" outlineLevel="2" x14ac:dyDescent="0.15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</row>
    <row r="238" spans="1:15" s="29" customFormat="1" hidden="1" outlineLevel="2" x14ac:dyDescent="0.15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</row>
    <row r="239" spans="1:15" s="29" customFormat="1" hidden="1" outlineLevel="2" x14ac:dyDescent="0.15"/>
    <row r="240" spans="1:15" s="29" customFormat="1" hidden="1" outlineLevel="2" x14ac:dyDescent="0.15"/>
    <row r="241" spans="1:15" s="29" customFormat="1" hidden="1" outlineLevel="2" x14ac:dyDescent="0.15"/>
    <row r="242" spans="1:15" s="29" customFormat="1" hidden="1" outlineLevel="2" x14ac:dyDescent="0.15"/>
    <row r="243" spans="1:15" s="29" customFormat="1" hidden="1" outlineLevel="2" x14ac:dyDescent="0.15"/>
    <row r="244" spans="1:15" s="29" customFormat="1" hidden="1" outlineLevel="2" x14ac:dyDescent="0.15"/>
    <row r="245" spans="1:15" s="29" customFormat="1" hidden="1" outlineLevel="2" x14ac:dyDescent="0.15"/>
    <row r="246" spans="1:15" hidden="1" outlineLevel="2" x14ac:dyDescent="0.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 collapsed="1" x14ac:dyDescent="0.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 x14ac:dyDescent="0.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 x14ac:dyDescent="0.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 x14ac:dyDescent="0.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 x14ac:dyDescent="0.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</sheetData>
  <conditionalFormatting sqref="A2 C2">
    <cfRule type="containsText" dxfId="23" priority="3" operator="containsText" text="OK">
      <formula>NOT(ISERROR(SEARCH("OK",A2)))</formula>
    </cfRule>
    <cfRule type="containsText" dxfId="22" priority="4" operator="containsText" text="ERROR">
      <formula>NOT(ISERROR(SEARCH("ERROR",A2)))</formula>
    </cfRule>
  </conditionalFormatting>
  <conditionalFormatting sqref="E3:O3">
    <cfRule type="containsText" dxfId="21" priority="1" operator="containsText" text="OK">
      <formula>NOT(ISERROR(SEARCH("OK",#REF!)))</formula>
    </cfRule>
    <cfRule type="containsText" dxfId="20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1DA178C8-98B1-7D43-B392-CECC958DA28E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5160-2059-3945-BAE1-597A9B58FF5E}">
  <dimension ref="A1:S229"/>
  <sheetViews>
    <sheetView showGridLines="0" zoomScaleNormal="100" workbookViewId="0">
      <pane ySplit="3" topLeftCell="A28" activePane="bottomLeft" state="frozen"/>
      <selection activeCell="B314" sqref="B314"/>
      <selection pane="bottomLeft" activeCell="G150" sqref="G150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7" width="13.83203125" style="5" customWidth="1"/>
    <col min="8" max="8" width="15.83203125" style="5" bestFit="1" customWidth="1"/>
    <col min="9" max="16" width="13.83203125" style="5" customWidth="1"/>
    <col min="17" max="17" width="12.1640625" style="5" bestFit="1" customWidth="1"/>
    <col min="18" max="16384" width="11.1640625" style="5"/>
  </cols>
  <sheetData>
    <row r="1" spans="1:17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Q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  <c r="Q1" s="101">
        <f t="shared" si="0"/>
        <v>49309</v>
      </c>
    </row>
    <row r="2" spans="1:17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Q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  <c r="Q2" s="106">
        <f t="shared" si="1"/>
        <v>2034</v>
      </c>
    </row>
    <row r="3" spans="1:17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</row>
    <row r="5" spans="1:17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</row>
    <row r="7" spans="1:17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</row>
    <row r="8" spans="1:17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</row>
    <row r="10" spans="1:17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  <c r="Q10" s="77"/>
    </row>
    <row r="11" spans="1:17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</row>
    <row r="12" spans="1:17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1:17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</row>
    <row r="14" spans="1:17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Q14" si="2">+G14+1</f>
        <v>2025</v>
      </c>
      <c r="I14" s="121">
        <f t="shared" si="2"/>
        <v>2026</v>
      </c>
      <c r="J14" s="121">
        <f t="shared" si="2"/>
        <v>2027</v>
      </c>
      <c r="K14" s="121">
        <f t="shared" si="2"/>
        <v>2028</v>
      </c>
      <c r="L14" s="121">
        <f t="shared" si="2"/>
        <v>2029</v>
      </c>
      <c r="M14" s="121">
        <f t="shared" si="2"/>
        <v>2030</v>
      </c>
      <c r="N14" s="121">
        <f t="shared" si="2"/>
        <v>2031</v>
      </c>
      <c r="O14" s="121">
        <f t="shared" si="2"/>
        <v>2032</v>
      </c>
      <c r="P14" s="121">
        <f t="shared" si="2"/>
        <v>2033</v>
      </c>
      <c r="Q14" s="121">
        <f t="shared" si="2"/>
        <v>2034</v>
      </c>
    </row>
    <row r="15" spans="1:17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  <c r="Q16" s="13">
        <v>1700</v>
      </c>
    </row>
    <row r="17" spans="1:17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  <c r="Q17" s="77"/>
    </row>
    <row r="18" spans="1:17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  <c r="Q18" s="13">
        <v>2100</v>
      </c>
    </row>
    <row r="19" spans="1:17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1:17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  <c r="Q20" s="13">
        <v>2748</v>
      </c>
    </row>
    <row r="21" spans="1:17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1:17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P22" si="3">CHOOSE($F$22,G16,G18,G20)</f>
        <v>2100</v>
      </c>
      <c r="H22" s="14">
        <f t="shared" si="3"/>
        <v>2100</v>
      </c>
      <c r="I22" s="14">
        <f t="shared" si="3"/>
        <v>2100</v>
      </c>
      <c r="J22" s="14">
        <f t="shared" si="3"/>
        <v>2100</v>
      </c>
      <c r="K22" s="14">
        <f t="shared" si="3"/>
        <v>2100</v>
      </c>
      <c r="L22" s="14">
        <f t="shared" si="3"/>
        <v>2100</v>
      </c>
      <c r="M22" s="14">
        <f t="shared" si="3"/>
        <v>2100</v>
      </c>
      <c r="N22" s="14">
        <f t="shared" si="3"/>
        <v>2100</v>
      </c>
      <c r="O22" s="14">
        <f t="shared" si="3"/>
        <v>2100</v>
      </c>
      <c r="P22" s="14">
        <f t="shared" si="3"/>
        <v>2100</v>
      </c>
      <c r="Q22" s="14">
        <f t="shared" ref="Q22" si="4">CHOOSE($F$22,Q16,Q18,Q20)</f>
        <v>2100</v>
      </c>
    </row>
    <row r="23" spans="1:17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1:17" ht="17" customHeight="1" outlineLevel="1" x14ac:dyDescent="0.15">
      <c r="A25" s="77" t="s">
        <v>272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Q25" si="5">+G25+1</f>
        <v>2025</v>
      </c>
      <c r="I25" s="121">
        <f t="shared" si="5"/>
        <v>2026</v>
      </c>
      <c r="J25" s="121">
        <f t="shared" si="5"/>
        <v>2027</v>
      </c>
      <c r="K25" s="121">
        <f t="shared" si="5"/>
        <v>2028</v>
      </c>
      <c r="L25" s="121">
        <f t="shared" si="5"/>
        <v>2029</v>
      </c>
      <c r="M25" s="121">
        <f t="shared" si="5"/>
        <v>2030</v>
      </c>
      <c r="N25" s="121">
        <f t="shared" si="5"/>
        <v>2031</v>
      </c>
      <c r="O25" s="121">
        <f t="shared" si="5"/>
        <v>2032</v>
      </c>
      <c r="P25" s="121">
        <f t="shared" si="5"/>
        <v>2033</v>
      </c>
      <c r="Q25" s="121">
        <f t="shared" si="5"/>
        <v>2034</v>
      </c>
    </row>
    <row r="26" spans="1:17" ht="16.5" customHeight="1" outlineLevel="1" x14ac:dyDescent="0.15">
      <c r="A26" s="89">
        <v>45474</v>
      </c>
      <c r="B26" s="77"/>
      <c r="C26" s="77"/>
      <c r="D26" s="114" t="s">
        <v>282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7" ht="16.5" customHeight="1" outlineLevel="1" x14ac:dyDescent="0.15">
      <c r="A27" s="77"/>
      <c r="B27" s="77"/>
      <c r="C27" s="77"/>
      <c r="D27" s="77" t="s">
        <v>87</v>
      </c>
      <c r="E27" s="77" t="s">
        <v>88</v>
      </c>
      <c r="F27" s="148">
        <f>F42</f>
        <v>7012000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7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7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6.5" customHeight="1" outlineLevel="1" x14ac:dyDescent="0.15">
      <c r="A30" s="77"/>
      <c r="B30" s="77"/>
      <c r="C30" s="77"/>
      <c r="D30" s="77" t="s">
        <v>94</v>
      </c>
      <c r="E30" s="77"/>
      <c r="F30" s="7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6.5" customHeight="1" outlineLevel="1" x14ac:dyDescent="0.15">
      <c r="A31" s="77"/>
      <c r="B31" s="77"/>
      <c r="C31" s="77"/>
      <c r="D31" s="114" t="s">
        <v>283</v>
      </c>
      <c r="E31" s="77"/>
      <c r="F31" s="7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6.5" customHeight="1" outlineLevel="1" x14ac:dyDescent="0.15">
      <c r="A32" s="77"/>
      <c r="B32" s="77"/>
      <c r="C32" s="77"/>
      <c r="D32" s="77" t="s">
        <v>87</v>
      </c>
      <c r="E32" s="77" t="s">
        <v>88</v>
      </c>
      <c r="F32" s="148">
        <f>F46</f>
        <v>763028000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9" ht="16.5" customHeight="1" outlineLevel="1" x14ac:dyDescent="0.15">
      <c r="A33" s="77"/>
      <c r="B33" s="77"/>
      <c r="C33" s="77"/>
      <c r="D33" s="77" t="s">
        <v>90</v>
      </c>
      <c r="E33" s="77" t="s">
        <v>91</v>
      </c>
      <c r="F33" s="77"/>
      <c r="G33" s="16"/>
      <c r="H33" s="16"/>
      <c r="I33" s="16"/>
      <c r="J33" s="16"/>
      <c r="K33" s="16"/>
      <c r="L33" s="142"/>
      <c r="M33" s="142"/>
      <c r="N33" s="142"/>
      <c r="O33" s="142"/>
      <c r="P33" s="142"/>
      <c r="Q33" s="142"/>
      <c r="R33" s="77"/>
      <c r="S33" s="77"/>
    </row>
    <row r="34" spans="1:19" ht="16.5" customHeight="1" outlineLevel="1" x14ac:dyDescent="0.15">
      <c r="A34" s="77"/>
      <c r="B34" s="77"/>
      <c r="C34" s="77"/>
      <c r="D34" s="77" t="s">
        <v>92</v>
      </c>
      <c r="E34" s="77" t="s">
        <v>93</v>
      </c>
      <c r="F34" s="77"/>
      <c r="G34" s="118"/>
      <c r="H34" s="118"/>
      <c r="I34" s="118"/>
      <c r="J34" s="118"/>
      <c r="K34" s="118"/>
      <c r="L34" s="142"/>
      <c r="M34" s="142"/>
      <c r="N34" s="142"/>
      <c r="O34" s="142"/>
      <c r="P34" s="142"/>
      <c r="Q34" s="142"/>
      <c r="R34" s="77"/>
      <c r="S34" s="77"/>
    </row>
    <row r="35" spans="1:19" ht="16.5" customHeight="1" outlineLevel="1" x14ac:dyDescent="0.15">
      <c r="A35" s="77"/>
      <c r="B35" s="77"/>
      <c r="C35" s="77"/>
      <c r="D35" s="77" t="s">
        <v>94</v>
      </c>
      <c r="E35" s="77"/>
      <c r="F35" s="77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77"/>
      <c r="S35" s="77"/>
    </row>
    <row r="36" spans="1:19" ht="16.5" customHeight="1" outlineLevel="1" x14ac:dyDescent="0.15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</row>
    <row r="37" spans="1:19" ht="16.5" customHeight="1" outlineLevel="1" x14ac:dyDescent="0.15">
      <c r="A37" s="77" t="s">
        <v>272</v>
      </c>
      <c r="B37" s="77"/>
      <c r="C37" s="77"/>
      <c r="D37" s="6" t="s">
        <v>95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1:19" ht="16.5" customHeight="1" outlineLevel="1" x14ac:dyDescent="0.15">
      <c r="A38" s="89">
        <v>45474</v>
      </c>
      <c r="B38" s="77"/>
      <c r="C38" s="77"/>
      <c r="D38" s="121" t="s">
        <v>81</v>
      </c>
      <c r="E38" s="121"/>
      <c r="F38" s="97" t="s">
        <v>96</v>
      </c>
      <c r="G38" s="97" t="s">
        <v>97</v>
      </c>
      <c r="H38" s="97" t="s">
        <v>98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 spans="1:19" ht="16.5" customHeight="1" outlineLevel="1" x14ac:dyDescent="0.15">
      <c r="A39" s="77"/>
      <c r="B39" s="77"/>
      <c r="C39" s="77"/>
      <c r="D39" s="114" t="s">
        <v>282</v>
      </c>
      <c r="E39" s="77"/>
      <c r="F39" s="96"/>
      <c r="G39" s="206"/>
      <c r="H39" s="9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 spans="1:19" ht="16.5" customHeight="1" outlineLevel="1" x14ac:dyDescent="0.15">
      <c r="A40" s="77"/>
      <c r="B40" s="77"/>
      <c r="C40" s="77"/>
      <c r="D40" s="77" t="s">
        <v>100</v>
      </c>
      <c r="E40" s="77"/>
      <c r="F40" s="82"/>
      <c r="G40" s="115"/>
      <c r="H40" s="81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 spans="1:19" ht="16.5" customHeight="1" outlineLevel="1" x14ac:dyDescent="0.15">
      <c r="A41" s="143"/>
      <c r="B41" s="143"/>
      <c r="C41" s="143"/>
      <c r="D41" s="77" t="s">
        <v>101</v>
      </c>
      <c r="E41" s="77"/>
      <c r="F41" s="13"/>
      <c r="G41" s="115"/>
      <c r="H41" s="81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 spans="1:19" ht="16.5" customHeight="1" outlineLevel="1" x14ac:dyDescent="0.15">
      <c r="A42" s="77"/>
      <c r="B42" s="77"/>
      <c r="C42" s="77"/>
      <c r="D42" s="77" t="s">
        <v>102</v>
      </c>
      <c r="E42" s="77"/>
      <c r="F42" s="212">
        <f>7012000</f>
        <v>7012000</v>
      </c>
      <c r="G42" s="212">
        <f>H42*$F$12/F42</f>
        <v>3.3268122646891043</v>
      </c>
      <c r="H42" s="212">
        <v>750000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</row>
    <row r="43" spans="1:19" ht="16.5" customHeight="1" outlineLevel="1" x14ac:dyDescent="0.15">
      <c r="A43" s="77"/>
      <c r="B43" s="77"/>
      <c r="C43" s="77"/>
      <c r="D43" s="114" t="s">
        <v>283</v>
      </c>
      <c r="E43" s="77"/>
      <c r="F43" s="212"/>
      <c r="G43" s="212"/>
      <c r="H43" s="212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 spans="1:19" ht="16.5" customHeight="1" outlineLevel="1" x14ac:dyDescent="0.15">
      <c r="A44" s="77"/>
      <c r="B44" s="77"/>
      <c r="C44" s="77"/>
      <c r="D44" s="77" t="s">
        <v>100</v>
      </c>
      <c r="E44" s="77"/>
      <c r="F44" s="212"/>
      <c r="G44" s="212"/>
      <c r="H44" s="212"/>
    </row>
    <row r="45" spans="1:19" ht="16.5" customHeight="1" outlineLevel="1" x14ac:dyDescent="0.15">
      <c r="A45" s="77"/>
      <c r="B45" s="77"/>
      <c r="C45" s="77"/>
      <c r="D45" s="77" t="s">
        <v>101</v>
      </c>
      <c r="E45" s="77"/>
      <c r="F45" s="212"/>
      <c r="G45" s="212"/>
      <c r="H45" s="212"/>
    </row>
    <row r="46" spans="1:19" ht="16.5" customHeight="1" outlineLevel="1" x14ac:dyDescent="0.15">
      <c r="A46" s="77"/>
      <c r="B46" s="77"/>
      <c r="C46" s="77"/>
      <c r="D46" s="77" t="s">
        <v>102</v>
      </c>
      <c r="E46" s="77"/>
      <c r="F46" s="212">
        <v>763028000</v>
      </c>
      <c r="G46" s="212">
        <f>H46*$F$12/F46</f>
        <v>4.5369461773879863E-2</v>
      </c>
      <c r="H46" s="212">
        <v>1113000</v>
      </c>
    </row>
    <row r="47" spans="1:19" ht="16.5" customHeight="1" outlineLevel="1" x14ac:dyDescent="0.15">
      <c r="A47" s="77"/>
      <c r="B47" s="77"/>
      <c r="C47" s="77"/>
      <c r="D47" s="10" t="s">
        <v>64</v>
      </c>
      <c r="E47" s="92"/>
      <c r="F47" s="144">
        <f>F42+F46</f>
        <v>770040000</v>
      </c>
      <c r="G47" s="19">
        <f>H47*$F$12/F47</f>
        <v>7.5250347096774195E-2</v>
      </c>
      <c r="H47" s="12">
        <f>H42+H46</f>
        <v>1863000</v>
      </c>
    </row>
    <row r="48" spans="1:19" ht="16.5" customHeight="1" outlineLevel="1" x14ac:dyDescent="0.15">
      <c r="A48" s="77"/>
      <c r="B48" s="77"/>
      <c r="C48" s="77"/>
      <c r="D48" s="77"/>
      <c r="E48" s="77"/>
      <c r="F48" s="77"/>
      <c r="G48" s="77"/>
      <c r="H48" s="77"/>
    </row>
    <row r="49" spans="1:17" ht="16.5" customHeight="1" outlineLevel="1" x14ac:dyDescent="0.15">
      <c r="A49" s="77" t="s">
        <v>273</v>
      </c>
      <c r="B49" s="77"/>
      <c r="C49" s="77"/>
      <c r="D49" s="86" t="s">
        <v>137</v>
      </c>
      <c r="E49" s="121"/>
      <c r="F49" s="121"/>
      <c r="G49" s="77"/>
      <c r="H49" s="77"/>
      <c r="I49" s="77"/>
    </row>
    <row r="50" spans="1:17" ht="16.5" customHeight="1" outlineLevel="1" x14ac:dyDescent="0.15">
      <c r="A50" s="89"/>
      <c r="B50" s="77"/>
      <c r="C50" s="77"/>
      <c r="D50" s="77" t="s">
        <v>141</v>
      </c>
      <c r="E50" s="77"/>
      <c r="F50" s="26">
        <v>0.35</v>
      </c>
      <c r="G50" s="77"/>
      <c r="H50" s="77"/>
      <c r="I50" s="77"/>
    </row>
    <row r="51" spans="1:17" outlineLevel="1" x14ac:dyDescent="0.15">
      <c r="A51" s="77"/>
      <c r="B51" s="77"/>
      <c r="C51" s="77"/>
      <c r="D51" s="77"/>
      <c r="E51" s="77"/>
      <c r="F51" s="77"/>
      <c r="G51" s="77"/>
      <c r="H51" s="77"/>
      <c r="I51" s="77"/>
    </row>
    <row r="52" spans="1:17" outlineLevel="1" x14ac:dyDescent="0.15">
      <c r="A52" s="77"/>
      <c r="B52" s="77"/>
      <c r="C52" s="77"/>
      <c r="D52" s="77" t="s">
        <v>262</v>
      </c>
      <c r="E52" s="77"/>
      <c r="F52" s="83">
        <v>3.1E-2</v>
      </c>
      <c r="G52" s="77"/>
      <c r="H52" s="77"/>
      <c r="I52" s="77"/>
    </row>
    <row r="53" spans="1:17" outlineLevel="1" x14ac:dyDescent="0.15">
      <c r="A53" s="77"/>
      <c r="B53" s="77"/>
      <c r="C53" s="77"/>
      <c r="D53" s="77" t="s">
        <v>263</v>
      </c>
      <c r="E53" s="77"/>
      <c r="F53" s="95">
        <v>0.99</v>
      </c>
      <c r="G53" s="77"/>
      <c r="H53" s="77"/>
      <c r="I53" s="77"/>
    </row>
    <row r="54" spans="1:17" outlineLevel="1" x14ac:dyDescent="0.15">
      <c r="A54" s="77"/>
      <c r="B54" s="77"/>
      <c r="C54" s="77"/>
      <c r="D54" s="77" t="s">
        <v>264</v>
      </c>
      <c r="E54" s="77"/>
      <c r="F54" s="83">
        <f>(H42/H47)*14.11%+(H46/H47)*7.38%</f>
        <v>0.10089339774557166</v>
      </c>
      <c r="G54" s="77"/>
      <c r="H54" s="77"/>
      <c r="I54" s="77"/>
    </row>
    <row r="55" spans="1:17" outlineLevel="1" x14ac:dyDescent="0.15">
      <c r="A55" s="77"/>
      <c r="B55" s="77"/>
      <c r="C55" s="77"/>
      <c r="D55" s="77" t="s">
        <v>265</v>
      </c>
      <c r="E55" s="77"/>
      <c r="F55" s="83">
        <f>F52+F53*F54</f>
        <v>0.13088446376811594</v>
      </c>
      <c r="G55" s="77"/>
      <c r="H55" s="77"/>
      <c r="I55" s="77"/>
    </row>
    <row r="56" spans="1:17" outlineLevel="1" x14ac:dyDescent="0.15">
      <c r="A56" s="77"/>
      <c r="B56" s="77"/>
      <c r="C56" s="77"/>
      <c r="D56" s="77" t="s">
        <v>266</v>
      </c>
      <c r="E56" s="77"/>
      <c r="F56" s="83">
        <f>7.7%</f>
        <v>7.6999999999999999E-2</v>
      </c>
      <c r="G56" s="77"/>
      <c r="H56" s="77"/>
      <c r="I56" s="77"/>
    </row>
    <row r="57" spans="1:17" outlineLevel="1" x14ac:dyDescent="0.15">
      <c r="A57" s="77"/>
      <c r="B57" s="77"/>
      <c r="C57" s="77"/>
      <c r="D57" s="77" t="s">
        <v>267</v>
      </c>
      <c r="E57" s="77"/>
      <c r="F57" s="83">
        <v>3.1699999999999999E-2</v>
      </c>
      <c r="G57" s="77"/>
      <c r="H57" s="77"/>
      <c r="I57" s="77"/>
    </row>
    <row r="58" spans="1:17" outlineLevel="1" x14ac:dyDescent="0.15">
      <c r="A58" s="77"/>
      <c r="B58" s="77"/>
      <c r="C58" s="77"/>
      <c r="D58" s="77" t="s">
        <v>147</v>
      </c>
      <c r="E58" s="77"/>
      <c r="F58" s="83">
        <f>F57*F56*(1-F50)+F55*(1-F56)</f>
        <v>0.12239294505797102</v>
      </c>
      <c r="G58" s="77"/>
      <c r="H58" s="77"/>
      <c r="I58" s="77"/>
    </row>
    <row r="59" spans="1:17" outlineLevel="1" x14ac:dyDescent="0.15">
      <c r="A59" s="77"/>
      <c r="B59" s="77"/>
      <c r="C59" s="77"/>
      <c r="D59" s="77" t="s">
        <v>148</v>
      </c>
      <c r="E59" s="77"/>
      <c r="F59" s="83">
        <v>2.4E-2</v>
      </c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1:17" outlineLevel="1" x14ac:dyDescent="0.15">
      <c r="A60" s="77"/>
      <c r="B60" s="77"/>
      <c r="C60" s="77"/>
      <c r="D60" s="6" t="s">
        <v>149</v>
      </c>
      <c r="E60" s="77"/>
      <c r="F60" s="83">
        <f>F58-F59</f>
        <v>9.8392945057971026E-2</v>
      </c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1:17" outlineLevel="1" x14ac:dyDescent="0.15">
      <c r="A61" s="77"/>
      <c r="B61" s="77"/>
      <c r="C61" s="77"/>
      <c r="D61" s="6"/>
      <c r="E61" s="77"/>
      <c r="F61" s="83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1:17" outlineLevel="1" x14ac:dyDescent="0.15">
      <c r="A62" s="77"/>
      <c r="B62" s="77"/>
      <c r="C62" s="77"/>
      <c r="D62" s="6" t="s">
        <v>150</v>
      </c>
      <c r="E62" s="77"/>
      <c r="F62" s="95">
        <v>0.84</v>
      </c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1:17" outlineLevel="1" x14ac:dyDescent="0.15">
      <c r="A63" s="77"/>
      <c r="B63" s="77"/>
      <c r="C63" s="77"/>
      <c r="D63" s="6"/>
      <c r="E63" s="77"/>
      <c r="F63" s="83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1:17" outlineLevel="1" x14ac:dyDescent="0.15">
      <c r="A64" s="77"/>
      <c r="B64" s="77"/>
      <c r="C64" s="77"/>
      <c r="D64" s="6" t="s">
        <v>151</v>
      </c>
      <c r="E64" s="77"/>
      <c r="F64" s="53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1:17" ht="13.5" customHeight="1" x14ac:dyDescent="0.1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1:17" s="50" customFormat="1" ht="18.75" customHeight="1" x14ac:dyDescent="0.2">
      <c r="A66" s="107" t="s">
        <v>152</v>
      </c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</row>
    <row r="67" spans="1:17" s="33" customFormat="1" outlineLevel="1" x14ac:dyDescent="0.15">
      <c r="A67" s="73" t="s">
        <v>166</v>
      </c>
      <c r="B67" s="74"/>
      <c r="C67" s="74"/>
      <c r="D67" s="75"/>
      <c r="E67" s="75"/>
      <c r="F67" s="74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</row>
    <row r="68" spans="1:17" s="33" customFormat="1" outlineLevel="1" x14ac:dyDescent="0.15">
      <c r="A68" s="78"/>
      <c r="B68" s="78"/>
      <c r="C68" s="78"/>
      <c r="D68" s="79"/>
      <c r="E68" s="150"/>
      <c r="F68" s="15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</row>
    <row r="69" spans="1:17" s="33" customFormat="1" outlineLevel="1" x14ac:dyDescent="0.15">
      <c r="A69" s="78" t="s">
        <v>167</v>
      </c>
      <c r="B69" s="78"/>
      <c r="C69" s="78"/>
      <c r="D69" s="79"/>
      <c r="E69" s="150"/>
      <c r="F69" s="152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</row>
    <row r="70" spans="1:17" s="33" customFormat="1" outlineLevel="1" x14ac:dyDescent="0.15">
      <c r="A70" s="78"/>
      <c r="B70" s="114" t="s">
        <v>282</v>
      </c>
      <c r="C70" s="78"/>
      <c r="D70" s="79" t="s">
        <v>156</v>
      </c>
      <c r="E70" s="150">
        <f>IFERROR(AVERAGE(G70:P70),"na")</f>
        <v>0</v>
      </c>
      <c r="F70" s="152">
        <f>SUM(G70:P70)</f>
        <v>0</v>
      </c>
      <c r="G70" s="78">
        <f t="shared" ref="G70:Q70" si="6">G27</f>
        <v>0</v>
      </c>
      <c r="H70" s="78">
        <f t="shared" si="6"/>
        <v>0</v>
      </c>
      <c r="I70" s="78">
        <f t="shared" si="6"/>
        <v>0</v>
      </c>
      <c r="J70" s="78">
        <f t="shared" si="6"/>
        <v>0</v>
      </c>
      <c r="K70" s="78">
        <f t="shared" si="6"/>
        <v>0</v>
      </c>
      <c r="L70" s="78">
        <f t="shared" si="6"/>
        <v>0</v>
      </c>
      <c r="M70" s="78">
        <f t="shared" si="6"/>
        <v>0</v>
      </c>
      <c r="N70" s="78">
        <f t="shared" si="6"/>
        <v>0</v>
      </c>
      <c r="O70" s="78">
        <f t="shared" si="6"/>
        <v>0</v>
      </c>
      <c r="P70" s="78">
        <f t="shared" si="6"/>
        <v>0</v>
      </c>
      <c r="Q70" s="78">
        <f t="shared" si="6"/>
        <v>0</v>
      </c>
    </row>
    <row r="71" spans="1:17" s="33" customFormat="1" outlineLevel="1" x14ac:dyDescent="0.15">
      <c r="A71" s="78"/>
      <c r="B71" s="114" t="s">
        <v>283</v>
      </c>
      <c r="C71" s="78"/>
      <c r="D71" s="79" t="s">
        <v>156</v>
      </c>
      <c r="E71" s="150">
        <f>IFERROR(AVERAGE(G71:P71),"na")</f>
        <v>0</v>
      </c>
      <c r="F71" s="152">
        <f>SUM(G71:P71)</f>
        <v>0</v>
      </c>
      <c r="G71" s="78">
        <f t="shared" ref="G71:Q71" si="7">G32</f>
        <v>0</v>
      </c>
      <c r="H71" s="78">
        <f t="shared" si="7"/>
        <v>0</v>
      </c>
      <c r="I71" s="78">
        <f t="shared" si="7"/>
        <v>0</v>
      </c>
      <c r="J71" s="78">
        <f t="shared" si="7"/>
        <v>0</v>
      </c>
      <c r="K71" s="78">
        <f t="shared" si="7"/>
        <v>0</v>
      </c>
      <c r="L71" s="78">
        <f t="shared" si="7"/>
        <v>0</v>
      </c>
      <c r="M71" s="78">
        <f t="shared" si="7"/>
        <v>0</v>
      </c>
      <c r="N71" s="78">
        <f t="shared" si="7"/>
        <v>0</v>
      </c>
      <c r="O71" s="78">
        <f t="shared" si="7"/>
        <v>0</v>
      </c>
      <c r="P71" s="78">
        <f t="shared" si="7"/>
        <v>0</v>
      </c>
      <c r="Q71" s="78">
        <f t="shared" si="7"/>
        <v>0</v>
      </c>
    </row>
    <row r="72" spans="1:17" s="33" customFormat="1" outlineLevel="1" x14ac:dyDescent="0.15">
      <c r="A72" s="78"/>
      <c r="B72" s="78"/>
      <c r="C72" s="78"/>
      <c r="D72" s="79"/>
      <c r="E72" s="150"/>
      <c r="F72" s="15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</row>
    <row r="73" spans="1:17" s="33" customFormat="1" outlineLevel="1" x14ac:dyDescent="0.15">
      <c r="A73" s="78" t="s">
        <v>92</v>
      </c>
      <c r="B73" s="78"/>
      <c r="C73" s="78"/>
      <c r="D73" s="79"/>
      <c r="E73" s="79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4" spans="1:17" s="33" customFormat="1" outlineLevel="1" x14ac:dyDescent="0.15">
      <c r="A74" s="78"/>
      <c r="B74" s="114" t="s">
        <v>282</v>
      </c>
      <c r="C74" s="78"/>
      <c r="D74" s="79" t="s">
        <v>93</v>
      </c>
      <c r="E74" s="159" t="str">
        <f>IFERROR(AVERAGE(G74:P74),"na")</f>
        <v>na</v>
      </c>
      <c r="F74" s="160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</row>
    <row r="75" spans="1:17" s="33" customFormat="1" outlineLevel="1" x14ac:dyDescent="0.15">
      <c r="A75" s="78"/>
      <c r="B75" s="114" t="s">
        <v>283</v>
      </c>
      <c r="C75" s="78"/>
      <c r="D75" s="79" t="s">
        <v>93</v>
      </c>
      <c r="E75" s="159" t="str">
        <f>IFERROR(AVERAGE(G75:P75),"na")</f>
        <v>na</v>
      </c>
      <c r="F75" s="160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s="33" customFormat="1" outlineLevel="1" x14ac:dyDescent="0.15">
      <c r="A76" s="78"/>
      <c r="B76" s="78"/>
      <c r="C76" s="78"/>
      <c r="D76" s="79"/>
      <c r="E76" s="150"/>
      <c r="F76" s="78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s="33" customFormat="1" outlineLevel="1" x14ac:dyDescent="0.15">
      <c r="A77" s="78" t="s">
        <v>168</v>
      </c>
      <c r="B77" s="78"/>
      <c r="C77" s="78"/>
      <c r="D77" s="78"/>
      <c r="E77" s="79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</row>
    <row r="78" spans="1:17" s="33" customFormat="1" outlineLevel="1" x14ac:dyDescent="0.15">
      <c r="A78" s="78"/>
      <c r="B78" s="114" t="s">
        <v>282</v>
      </c>
      <c r="C78" s="78"/>
      <c r="D78" s="79" t="s">
        <v>165</v>
      </c>
      <c r="E78" s="150">
        <f>IFERROR(AVERAGE(G78:P78),"na")</f>
        <v>114166.66666666667</v>
      </c>
      <c r="F78" s="152">
        <f>SUM(G78:Q78)</f>
        <v>685000</v>
      </c>
      <c r="G78" s="13">
        <f>130000</f>
        <v>130000</v>
      </c>
      <c r="H78" s="13">
        <f>135000</f>
        <v>135000</v>
      </c>
      <c r="I78" s="13">
        <f t="shared" ref="I78:J78" si="8">135000</f>
        <v>135000</v>
      </c>
      <c r="J78" s="13">
        <f t="shared" si="8"/>
        <v>135000</v>
      </c>
      <c r="K78" s="13">
        <f t="shared" ref="K78" si="9">130000</f>
        <v>130000</v>
      </c>
      <c r="L78" s="13">
        <f>20000</f>
        <v>20000</v>
      </c>
      <c r="M78" s="13"/>
      <c r="N78" s="13"/>
      <c r="O78" s="13"/>
      <c r="P78" s="13"/>
      <c r="Q78" s="13"/>
    </row>
    <row r="79" spans="1:17" s="33" customFormat="1" outlineLevel="1" x14ac:dyDescent="0.15">
      <c r="A79" s="78"/>
      <c r="B79" s="114" t="s">
        <v>283</v>
      </c>
      <c r="C79" s="78"/>
      <c r="D79" s="79" t="s">
        <v>165</v>
      </c>
      <c r="E79" s="150">
        <f>IFERROR(AVERAGE(G79:P79),"na")</f>
        <v>115000</v>
      </c>
      <c r="F79" s="152">
        <f>SUM(G79:Q79)</f>
        <v>1170000</v>
      </c>
      <c r="G79" s="13">
        <f>120000</f>
        <v>120000</v>
      </c>
      <c r="H79" s="13">
        <f>120000</f>
        <v>120000</v>
      </c>
      <c r="I79" s="13">
        <f t="shared" ref="I79" si="10">125000</f>
        <v>125000</v>
      </c>
      <c r="J79" s="13">
        <f>125000</f>
        <v>125000</v>
      </c>
      <c r="K79" s="13">
        <f>120000</f>
        <v>120000</v>
      </c>
      <c r="L79" s="13">
        <f>120000</f>
        <v>120000</v>
      </c>
      <c r="M79" s="13">
        <f>120000</f>
        <v>120000</v>
      </c>
      <c r="N79" s="13">
        <f>100000</f>
        <v>100000</v>
      </c>
      <c r="O79" s="13">
        <f>100000</f>
        <v>100000</v>
      </c>
      <c r="P79" s="13">
        <f>100000</f>
        <v>100000</v>
      </c>
      <c r="Q79" s="13">
        <f>20000</f>
        <v>20000</v>
      </c>
    </row>
    <row r="80" spans="1:17" s="37" customFormat="1" outlineLevel="1" x14ac:dyDescent="0.15">
      <c r="E80" s="38"/>
    </row>
    <row r="81" spans="1:17" s="37" customFormat="1" outlineLevel="1" x14ac:dyDescent="0.15">
      <c r="A81" s="78" t="s">
        <v>114</v>
      </c>
      <c r="E81" s="38"/>
    </row>
    <row r="82" spans="1:17" s="33" customFormat="1" outlineLevel="1" x14ac:dyDescent="0.15">
      <c r="A82" s="78"/>
      <c r="B82" s="78" t="s">
        <v>81</v>
      </c>
      <c r="C82" s="78"/>
      <c r="D82" s="79" t="s">
        <v>165</v>
      </c>
      <c r="E82" s="161">
        <f>IFERROR(AVERAGE(G82:P82),"na")</f>
        <v>0.99</v>
      </c>
      <c r="F82" s="162" t="s">
        <v>157</v>
      </c>
      <c r="G82" s="85">
        <v>0.99</v>
      </c>
      <c r="H82" s="85">
        <v>0.99</v>
      </c>
      <c r="I82" s="85">
        <v>0.99</v>
      </c>
      <c r="J82" s="85">
        <v>0.99</v>
      </c>
      <c r="K82" s="85">
        <v>0.99</v>
      </c>
      <c r="L82" s="85">
        <v>0.99</v>
      </c>
      <c r="M82" s="85">
        <v>0.99</v>
      </c>
      <c r="N82" s="85">
        <v>0.99</v>
      </c>
      <c r="O82" s="85">
        <v>0.99</v>
      </c>
      <c r="P82" s="85">
        <v>0.99</v>
      </c>
      <c r="Q82" s="85">
        <v>1.99</v>
      </c>
    </row>
    <row r="83" spans="1:17" s="33" customFormat="1" outlineLevel="1" x14ac:dyDescent="0.15">
      <c r="A83" s="78"/>
      <c r="B83" s="78"/>
      <c r="C83" s="78"/>
      <c r="D83" s="79"/>
      <c r="E83" s="79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</row>
    <row r="84" spans="1:17" s="33" customFormat="1" outlineLevel="1" x14ac:dyDescent="0.15">
      <c r="A84" s="78" t="s">
        <v>169</v>
      </c>
      <c r="B84" s="78"/>
      <c r="C84" s="78"/>
      <c r="D84" s="79"/>
      <c r="E84" s="79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1:17" s="33" customFormat="1" outlineLevel="1" x14ac:dyDescent="0.15">
      <c r="A85" s="78"/>
      <c r="B85" s="78" t="s">
        <v>81</v>
      </c>
      <c r="C85" s="78"/>
      <c r="D85" s="79" t="s">
        <v>165</v>
      </c>
      <c r="E85" s="150">
        <f>IFERROR(AVERAGE(G85:P85),"na")</f>
        <v>181665</v>
      </c>
      <c r="F85" s="152">
        <f>SUM(G85:P85)</f>
        <v>1816650</v>
      </c>
      <c r="G85" s="78" cm="1">
        <f t="array" ref="G85">SUM(G78:G79*G82)</f>
        <v>247500</v>
      </c>
      <c r="H85" s="78" cm="1">
        <f t="array" ref="H85">SUM(H78:H79*H82)</f>
        <v>252450</v>
      </c>
      <c r="I85" s="78" cm="1">
        <f t="array" ref="I85">SUM(I78:I79*I82)</f>
        <v>257400</v>
      </c>
      <c r="J85" s="78" cm="1">
        <f t="array" ref="J85">SUM(J78:J79*J82)</f>
        <v>257400</v>
      </c>
      <c r="K85" s="78" cm="1">
        <f t="array" ref="K85">SUM(K78:K79*K82)</f>
        <v>247500</v>
      </c>
      <c r="L85" s="78" cm="1">
        <f t="array" ref="L85">SUM(L78:L79*L82)</f>
        <v>138600</v>
      </c>
      <c r="M85" s="78" cm="1">
        <f t="array" ref="M85">SUM(M78:M79*M82)</f>
        <v>118800</v>
      </c>
      <c r="N85" s="78" cm="1">
        <f t="array" ref="N85">SUM(N78:N79*N82)</f>
        <v>99000</v>
      </c>
      <c r="O85" s="78" cm="1">
        <f t="array" ref="O85">SUM(O78:O79*O82)</f>
        <v>99000</v>
      </c>
      <c r="P85" s="78" cm="1">
        <f t="array" ref="P85">SUM(P78:P79*P82)</f>
        <v>99000</v>
      </c>
      <c r="Q85" s="78" cm="1">
        <f t="array" ref="Q85">SUM(Q78:Q79*Q82)</f>
        <v>39800</v>
      </c>
    </row>
    <row r="86" spans="1:17" s="33" customFormat="1" outlineLevel="1" x14ac:dyDescent="0.15">
      <c r="A86" s="78"/>
      <c r="B86" s="78"/>
      <c r="C86" s="78"/>
      <c r="D86" s="79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</row>
    <row r="87" spans="1:17" s="33" customFormat="1" x14ac:dyDescent="0.15">
      <c r="A87" s="78"/>
      <c r="B87" s="78"/>
      <c r="C87" s="78"/>
      <c r="D87" s="79"/>
      <c r="E87" s="79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</row>
    <row r="88" spans="1:17" s="50" customFormat="1" ht="18.75" customHeight="1" x14ac:dyDescent="0.2">
      <c r="A88" s="107" t="s">
        <v>4</v>
      </c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</row>
    <row r="89" spans="1:17" s="39" customFormat="1" ht="16.5" customHeight="1" outlineLevel="1" x14ac:dyDescent="0.15">
      <c r="D89" s="40"/>
      <c r="E89" s="40"/>
      <c r="F89" s="4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</row>
    <row r="90" spans="1:17" s="29" customFormat="1" outlineLevel="1" x14ac:dyDescent="0.15">
      <c r="A90" s="28" t="s">
        <v>78</v>
      </c>
      <c r="B90" s="80"/>
      <c r="C90" s="80"/>
      <c r="D90" s="149"/>
      <c r="E90" s="149"/>
      <c r="F90" s="149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1:17" s="29" customFormat="1" outlineLevel="1" x14ac:dyDescent="0.15">
      <c r="A91" s="80"/>
      <c r="B91" s="80" t="s">
        <v>81</v>
      </c>
      <c r="C91" s="80"/>
      <c r="D91" s="149" t="s">
        <v>125</v>
      </c>
      <c r="E91" s="150">
        <f>IFERROR(AVERAGE(G91:P91),"na")</f>
        <v>2100</v>
      </c>
      <c r="F91" s="163" t="s">
        <v>157</v>
      </c>
      <c r="G91" s="164">
        <f t="shared" ref="G91:Q91" si="11">G22</f>
        <v>2100</v>
      </c>
      <c r="H91" s="164">
        <f t="shared" si="11"/>
        <v>2100</v>
      </c>
      <c r="I91" s="164">
        <f t="shared" si="11"/>
        <v>2100</v>
      </c>
      <c r="J91" s="164">
        <f t="shared" si="11"/>
        <v>2100</v>
      </c>
      <c r="K91" s="164">
        <f t="shared" si="11"/>
        <v>2100</v>
      </c>
      <c r="L91" s="164">
        <f t="shared" si="11"/>
        <v>2100</v>
      </c>
      <c r="M91" s="164">
        <f t="shared" si="11"/>
        <v>2100</v>
      </c>
      <c r="N91" s="164">
        <f t="shared" si="11"/>
        <v>2100</v>
      </c>
      <c r="O91" s="164">
        <f t="shared" si="11"/>
        <v>2100</v>
      </c>
      <c r="P91" s="164">
        <f t="shared" si="11"/>
        <v>2100</v>
      </c>
      <c r="Q91" s="164">
        <f t="shared" si="11"/>
        <v>2100</v>
      </c>
    </row>
    <row r="92" spans="1:17" s="29" customFormat="1" outlineLevel="1" x14ac:dyDescent="0.15">
      <c r="A92" s="80"/>
      <c r="B92" s="80"/>
      <c r="C92" s="80"/>
      <c r="D92" s="149"/>
      <c r="E92" s="149"/>
      <c r="F92" s="149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1:17" s="33" customFormat="1" outlineLevel="1" x14ac:dyDescent="0.15">
      <c r="A93" s="28" t="s">
        <v>169</v>
      </c>
      <c r="B93" s="78"/>
      <c r="C93" s="78"/>
      <c r="D93" s="78"/>
      <c r="E93" s="79"/>
      <c r="F93" s="79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</row>
    <row r="94" spans="1:17" s="37" customFormat="1" outlineLevel="1" x14ac:dyDescent="0.15">
      <c r="B94" s="80" t="s">
        <v>81</v>
      </c>
      <c r="D94" s="79" t="s">
        <v>165</v>
      </c>
      <c r="E94" s="150">
        <f>IFERROR(AVERAGE(G94:P94),"na")</f>
        <v>181665</v>
      </c>
      <c r="F94" s="150">
        <f>SUM(G94:P94)</f>
        <v>1816650</v>
      </c>
      <c r="G94" s="164">
        <f t="shared" ref="G94:P94" si="12">G85</f>
        <v>247500</v>
      </c>
      <c r="H94" s="164">
        <f t="shared" si="12"/>
        <v>252450</v>
      </c>
      <c r="I94" s="164">
        <f t="shared" si="12"/>
        <v>257400</v>
      </c>
      <c r="J94" s="164">
        <f t="shared" si="12"/>
        <v>257400</v>
      </c>
      <c r="K94" s="164">
        <f t="shared" si="12"/>
        <v>247500</v>
      </c>
      <c r="L94" s="164">
        <f t="shared" si="12"/>
        <v>138600</v>
      </c>
      <c r="M94" s="164">
        <f t="shared" si="12"/>
        <v>118800</v>
      </c>
      <c r="N94" s="164">
        <f t="shared" si="12"/>
        <v>99000</v>
      </c>
      <c r="O94" s="164">
        <f t="shared" si="12"/>
        <v>99000</v>
      </c>
      <c r="P94" s="164">
        <f t="shared" si="12"/>
        <v>99000</v>
      </c>
      <c r="Q94" s="164">
        <f t="shared" ref="Q94" si="13">Q85</f>
        <v>39800</v>
      </c>
    </row>
    <row r="95" spans="1:17" s="29" customFormat="1" outlineLevel="1" x14ac:dyDescent="0.15">
      <c r="A95" s="80"/>
      <c r="B95" s="80"/>
      <c r="C95" s="80"/>
      <c r="D95" s="149"/>
      <c r="E95" s="150"/>
      <c r="F95" s="163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s="29" customFormat="1" outlineLevel="1" x14ac:dyDescent="0.15">
      <c r="A96" s="28" t="s">
        <v>170</v>
      </c>
      <c r="B96" s="80"/>
      <c r="C96" s="80"/>
      <c r="D96" s="149"/>
      <c r="E96" s="150"/>
      <c r="F96" s="163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s="29" customFormat="1" outlineLevel="1" x14ac:dyDescent="0.15">
      <c r="A97" s="80"/>
      <c r="B97" s="80" t="s">
        <v>167</v>
      </c>
      <c r="C97" s="80"/>
      <c r="D97" s="149" t="s">
        <v>156</v>
      </c>
      <c r="E97" s="150">
        <f>IFERROR(AVERAGE(G97:P97),"na")</f>
        <v>0</v>
      </c>
      <c r="F97" s="150">
        <f>SUM(G97:P97)</f>
        <v>0</v>
      </c>
      <c r="G97" s="164">
        <f t="shared" ref="G97:P97" si="14">SUM(G70:G71)</f>
        <v>0</v>
      </c>
      <c r="H97" s="164">
        <f t="shared" si="14"/>
        <v>0</v>
      </c>
      <c r="I97" s="164">
        <f t="shared" si="14"/>
        <v>0</v>
      </c>
      <c r="J97" s="164">
        <f t="shared" si="14"/>
        <v>0</v>
      </c>
      <c r="K97" s="164">
        <f t="shared" si="14"/>
        <v>0</v>
      </c>
      <c r="L97" s="164">
        <f t="shared" si="14"/>
        <v>0</v>
      </c>
      <c r="M97" s="164">
        <f t="shared" si="14"/>
        <v>0</v>
      </c>
      <c r="N97" s="164">
        <f t="shared" si="14"/>
        <v>0</v>
      </c>
      <c r="O97" s="164">
        <f t="shared" si="14"/>
        <v>0</v>
      </c>
      <c r="P97" s="164">
        <f t="shared" si="14"/>
        <v>0</v>
      </c>
      <c r="Q97" s="164">
        <f t="shared" ref="Q97" si="15">SUM(Q70:Q71)</f>
        <v>0</v>
      </c>
    </row>
    <row r="98" spans="1:17" s="37" customFormat="1" outlineLevel="1" x14ac:dyDescent="0.15">
      <c r="E98" s="38"/>
      <c r="F98" s="150"/>
    </row>
    <row r="99" spans="1:17" s="37" customFormat="1" outlineLevel="1" x14ac:dyDescent="0.15">
      <c r="E99" s="38"/>
      <c r="F99" s="38"/>
    </row>
    <row r="100" spans="1:17" s="33" customFormat="1" outlineLevel="1" x14ac:dyDescent="0.15">
      <c r="A100" s="70" t="s">
        <v>171</v>
      </c>
      <c r="B100" s="71"/>
      <c r="C100" s="71"/>
      <c r="D100" s="72"/>
      <c r="E100" s="72"/>
      <c r="F100" s="72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</row>
    <row r="101" spans="1:17" s="33" customFormat="1" outlineLevel="1" x14ac:dyDescent="0.15">
      <c r="A101" s="37"/>
      <c r="B101" s="78"/>
      <c r="C101" s="78"/>
      <c r="D101" s="79"/>
      <c r="E101" s="79"/>
      <c r="F101" s="79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1:17" s="33" customFormat="1" outlineLevel="1" x14ac:dyDescent="0.15">
      <c r="A102" s="78" t="s">
        <v>172</v>
      </c>
      <c r="B102" s="78"/>
      <c r="C102" s="78"/>
      <c r="D102" s="79"/>
      <c r="E102" s="79"/>
      <c r="F102" s="79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</row>
    <row r="103" spans="1:17" s="33" customFormat="1" outlineLevel="1" x14ac:dyDescent="0.15">
      <c r="A103" s="78"/>
      <c r="B103" s="78" t="s">
        <v>81</v>
      </c>
      <c r="C103" s="78"/>
      <c r="D103" s="79" t="s">
        <v>173</v>
      </c>
      <c r="E103" s="150">
        <f>IFERROR(AVERAGE(G103:P103),"na")</f>
        <v>381496500</v>
      </c>
      <c r="F103" s="150">
        <f>SUM(G103:P103)</f>
        <v>3814965000</v>
      </c>
      <c r="G103" s="78">
        <f t="shared" ref="G103:P103" si="16">G94*G91</f>
        <v>519750000</v>
      </c>
      <c r="H103" s="78">
        <f t="shared" si="16"/>
        <v>530145000</v>
      </c>
      <c r="I103" s="78">
        <f t="shared" si="16"/>
        <v>540540000</v>
      </c>
      <c r="J103" s="78">
        <f t="shared" si="16"/>
        <v>540540000</v>
      </c>
      <c r="K103" s="78">
        <f t="shared" si="16"/>
        <v>519750000</v>
      </c>
      <c r="L103" s="78">
        <f t="shared" si="16"/>
        <v>291060000</v>
      </c>
      <c r="M103" s="78">
        <f t="shared" si="16"/>
        <v>249480000</v>
      </c>
      <c r="N103" s="78">
        <f t="shared" si="16"/>
        <v>207900000</v>
      </c>
      <c r="O103" s="78">
        <f t="shared" si="16"/>
        <v>207900000</v>
      </c>
      <c r="P103" s="78">
        <f t="shared" si="16"/>
        <v>207900000</v>
      </c>
      <c r="Q103" s="78">
        <f t="shared" ref="Q103" si="17">Q94*Q91</f>
        <v>83580000</v>
      </c>
    </row>
    <row r="104" spans="1:17" s="33" customFormat="1" outlineLevel="1" x14ac:dyDescent="0.15">
      <c r="A104" s="42" t="s">
        <v>174</v>
      </c>
      <c r="B104" s="165"/>
      <c r="C104" s="165"/>
      <c r="D104" s="166"/>
      <c r="E104" s="65">
        <f>IFERROR(AVERAGE(G104:P104),"na")</f>
        <v>381496500</v>
      </c>
      <c r="F104" s="65">
        <f>SUM(G104:P104)</f>
        <v>3814965000</v>
      </c>
      <c r="G104" s="42">
        <f t="shared" ref="G104:P104" si="18">SUM(G103:G103)</f>
        <v>519750000</v>
      </c>
      <c r="H104" s="42">
        <f t="shared" si="18"/>
        <v>530145000</v>
      </c>
      <c r="I104" s="42">
        <f t="shared" si="18"/>
        <v>540540000</v>
      </c>
      <c r="J104" s="42">
        <f t="shared" si="18"/>
        <v>540540000</v>
      </c>
      <c r="K104" s="42">
        <f t="shared" si="18"/>
        <v>519750000</v>
      </c>
      <c r="L104" s="42">
        <f t="shared" si="18"/>
        <v>291060000</v>
      </c>
      <c r="M104" s="42">
        <f t="shared" si="18"/>
        <v>249480000</v>
      </c>
      <c r="N104" s="42">
        <f t="shared" si="18"/>
        <v>207900000</v>
      </c>
      <c r="O104" s="42">
        <f t="shared" si="18"/>
        <v>207900000</v>
      </c>
      <c r="P104" s="42">
        <f t="shared" si="18"/>
        <v>207900000</v>
      </c>
      <c r="Q104" s="42">
        <f t="shared" ref="Q104" si="19">SUM(Q103:Q103)</f>
        <v>83580000</v>
      </c>
    </row>
    <row r="105" spans="1:17" s="33" customFormat="1" outlineLevel="1" x14ac:dyDescent="0.15">
      <c r="A105" s="173"/>
      <c r="B105" s="173"/>
      <c r="C105" s="173"/>
      <c r="D105" s="207"/>
      <c r="E105" s="207"/>
      <c r="F105" s="150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</row>
    <row r="106" spans="1:17" s="33" customFormat="1" outlineLevel="1" x14ac:dyDescent="0.15">
      <c r="A106" s="173" t="s">
        <v>271</v>
      </c>
      <c r="B106" s="173"/>
      <c r="C106" s="173"/>
      <c r="D106" s="131"/>
      <c r="E106" s="41"/>
      <c r="F106" s="132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</row>
    <row r="107" spans="1:17" s="33" customFormat="1" outlineLevel="1" x14ac:dyDescent="0.15">
      <c r="A107" s="130"/>
      <c r="B107" s="114" t="s">
        <v>282</v>
      </c>
      <c r="C107" s="173"/>
      <c r="D107" s="207" t="s">
        <v>125</v>
      </c>
      <c r="E107" s="150">
        <f t="shared" ref="E107:E108" si="20">IFERROR(AVERAGE(G107:P107),"na")</f>
        <v>1400</v>
      </c>
      <c r="F107" s="163"/>
      <c r="G107" s="208">
        <v>1400</v>
      </c>
      <c r="H107" s="208">
        <v>1400</v>
      </c>
      <c r="I107" s="208">
        <v>1400</v>
      </c>
      <c r="J107" s="208">
        <v>1400</v>
      </c>
      <c r="K107" s="208">
        <v>1400</v>
      </c>
      <c r="L107" s="208">
        <v>1400</v>
      </c>
      <c r="M107" s="208">
        <v>1400</v>
      </c>
      <c r="N107" s="208">
        <v>1400</v>
      </c>
      <c r="O107" s="208">
        <v>1400</v>
      </c>
      <c r="P107" s="208">
        <v>1400</v>
      </c>
      <c r="Q107" s="208">
        <v>1400</v>
      </c>
    </row>
    <row r="108" spans="1:17" s="33" customFormat="1" outlineLevel="1" x14ac:dyDescent="0.15">
      <c r="A108" s="130"/>
      <c r="B108" s="114" t="s">
        <v>283</v>
      </c>
      <c r="C108" s="173"/>
      <c r="D108" s="207" t="s">
        <v>125</v>
      </c>
      <c r="E108" s="150">
        <f t="shared" si="20"/>
        <v>1200</v>
      </c>
      <c r="F108" s="163"/>
      <c r="G108" s="208">
        <v>1200</v>
      </c>
      <c r="H108" s="208">
        <v>1200</v>
      </c>
      <c r="I108" s="208">
        <v>1200</v>
      </c>
      <c r="J108" s="208">
        <v>1200</v>
      </c>
      <c r="K108" s="208">
        <v>1200</v>
      </c>
      <c r="L108" s="208">
        <v>1200</v>
      </c>
      <c r="M108" s="208">
        <v>1200</v>
      </c>
      <c r="N108" s="208">
        <v>1200</v>
      </c>
      <c r="O108" s="208">
        <v>1200</v>
      </c>
      <c r="P108" s="208">
        <v>1200</v>
      </c>
      <c r="Q108" s="208">
        <v>1200</v>
      </c>
    </row>
    <row r="109" spans="1:17" s="33" customFormat="1" outlineLevel="1" x14ac:dyDescent="0.15">
      <c r="A109" s="130"/>
      <c r="B109" s="173"/>
      <c r="C109" s="173"/>
      <c r="D109" s="207"/>
      <c r="E109" s="150"/>
      <c r="F109" s="207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</row>
    <row r="110" spans="1:17" s="33" customFormat="1" outlineLevel="1" x14ac:dyDescent="0.15">
      <c r="A110" s="173" t="s">
        <v>181</v>
      </c>
      <c r="B110" s="173"/>
      <c r="C110" s="173"/>
      <c r="D110" s="131"/>
      <c r="E110" s="41"/>
      <c r="F110" s="132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</row>
    <row r="111" spans="1:17" s="33" customFormat="1" outlineLevel="1" x14ac:dyDescent="0.15">
      <c r="A111" s="130"/>
      <c r="B111" s="114" t="s">
        <v>282</v>
      </c>
      <c r="C111" s="173"/>
      <c r="D111" s="207" t="s">
        <v>173</v>
      </c>
      <c r="E111" s="150">
        <f t="shared" ref="E111:E113" si="21">IFERROR(AVERAGE(G111:P111),"na")</f>
        <v>94941000</v>
      </c>
      <c r="F111" s="163">
        <f>SUM(G111:P111)</f>
        <v>949410000</v>
      </c>
      <c r="G111" s="173">
        <f>G107*G78*G82</f>
        <v>180180000</v>
      </c>
      <c r="H111" s="173">
        <f t="shared" ref="H111:P111" si="22">H107*H78*H82</f>
        <v>187110000</v>
      </c>
      <c r="I111" s="173">
        <f t="shared" si="22"/>
        <v>187110000</v>
      </c>
      <c r="J111" s="173">
        <f t="shared" si="22"/>
        <v>187110000</v>
      </c>
      <c r="K111" s="173">
        <f t="shared" si="22"/>
        <v>180180000</v>
      </c>
      <c r="L111" s="173">
        <f t="shared" si="22"/>
        <v>27720000</v>
      </c>
      <c r="M111" s="173">
        <f t="shared" si="22"/>
        <v>0</v>
      </c>
      <c r="N111" s="173">
        <f t="shared" si="22"/>
        <v>0</v>
      </c>
      <c r="O111" s="173">
        <f t="shared" si="22"/>
        <v>0</v>
      </c>
      <c r="P111" s="173">
        <f t="shared" si="22"/>
        <v>0</v>
      </c>
      <c r="Q111" s="173">
        <f t="shared" ref="Q111" si="23">Q107*Q78*Q82</f>
        <v>0</v>
      </c>
    </row>
    <row r="112" spans="1:17" s="33" customFormat="1" outlineLevel="1" x14ac:dyDescent="0.15">
      <c r="A112" s="130"/>
      <c r="B112" s="114" t="s">
        <v>283</v>
      </c>
      <c r="C112" s="173"/>
      <c r="D112" s="207" t="s">
        <v>173</v>
      </c>
      <c r="E112" s="203">
        <f t="shared" si="21"/>
        <v>136620000</v>
      </c>
      <c r="F112" s="163">
        <f>SUM(G112:P112)</f>
        <v>1366200000</v>
      </c>
      <c r="G112" s="201">
        <f t="shared" ref="G112:P112" si="24">G108*G79*G82</f>
        <v>142560000</v>
      </c>
      <c r="H112" s="201">
        <f t="shared" si="24"/>
        <v>142560000</v>
      </c>
      <c r="I112" s="201">
        <f t="shared" si="24"/>
        <v>148500000</v>
      </c>
      <c r="J112" s="201">
        <f t="shared" si="24"/>
        <v>148500000</v>
      </c>
      <c r="K112" s="201">
        <f t="shared" si="24"/>
        <v>142560000</v>
      </c>
      <c r="L112" s="201">
        <f t="shared" si="24"/>
        <v>142560000</v>
      </c>
      <c r="M112" s="201">
        <f t="shared" si="24"/>
        <v>142560000</v>
      </c>
      <c r="N112" s="201">
        <f t="shared" si="24"/>
        <v>118800000</v>
      </c>
      <c r="O112" s="201">
        <f t="shared" si="24"/>
        <v>118800000</v>
      </c>
      <c r="P112" s="201">
        <f t="shared" si="24"/>
        <v>118800000</v>
      </c>
      <c r="Q112" s="201">
        <f t="shared" ref="Q112" si="25">Q108*Q79*Q82</f>
        <v>47760000</v>
      </c>
    </row>
    <row r="113" spans="1:17" s="33" customFormat="1" outlineLevel="1" x14ac:dyDescent="0.15">
      <c r="A113" s="42" t="s">
        <v>64</v>
      </c>
      <c r="B113" s="165"/>
      <c r="C113" s="165"/>
      <c r="D113" s="166" t="s">
        <v>173</v>
      </c>
      <c r="E113" s="150">
        <f t="shared" si="21"/>
        <v>231561000</v>
      </c>
      <c r="F113" s="166">
        <f>SUM(G113:P113)</f>
        <v>2315610000</v>
      </c>
      <c r="G113" s="78">
        <f>SUM(G111:G112)</f>
        <v>322740000</v>
      </c>
      <c r="H113" s="78">
        <f t="shared" ref="H113:P113" si="26">SUM(H111:H112)</f>
        <v>329670000</v>
      </c>
      <c r="I113" s="78">
        <f t="shared" si="26"/>
        <v>335610000</v>
      </c>
      <c r="J113" s="78">
        <f t="shared" si="26"/>
        <v>335610000</v>
      </c>
      <c r="K113" s="78">
        <f t="shared" si="26"/>
        <v>322740000</v>
      </c>
      <c r="L113" s="78">
        <f t="shared" si="26"/>
        <v>170280000</v>
      </c>
      <c r="M113" s="78">
        <f t="shared" si="26"/>
        <v>142560000</v>
      </c>
      <c r="N113" s="78">
        <f t="shared" si="26"/>
        <v>118800000</v>
      </c>
      <c r="O113" s="78">
        <f t="shared" si="26"/>
        <v>118800000</v>
      </c>
      <c r="P113" s="78">
        <f t="shared" si="26"/>
        <v>118800000</v>
      </c>
      <c r="Q113" s="78">
        <f t="shared" ref="Q113" si="27">SUM(Q111:Q112)</f>
        <v>47760000</v>
      </c>
    </row>
    <row r="114" spans="1:17" s="33" customFormat="1" outlineLevel="1" x14ac:dyDescent="0.15">
      <c r="A114" s="130"/>
      <c r="B114" s="173"/>
      <c r="C114" s="173"/>
      <c r="D114" s="207"/>
      <c r="E114" s="150"/>
      <c r="F114" s="207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</row>
    <row r="115" spans="1:17" s="33" customFormat="1" ht="16" customHeight="1" outlineLevel="1" x14ac:dyDescent="0.15">
      <c r="A115" s="37" t="s">
        <v>281</v>
      </c>
      <c r="B115" s="78"/>
      <c r="C115" s="78"/>
      <c r="D115" s="38" t="s">
        <v>173</v>
      </c>
      <c r="E115" s="41">
        <f>IFERROR(AVERAGE(G115:P115),"na")</f>
        <v>149935500</v>
      </c>
      <c r="F115" s="41">
        <f t="shared" ref="F115:P115" si="28">F104-F113</f>
        <v>1499355000</v>
      </c>
      <c r="G115" s="41">
        <f>G104-G113</f>
        <v>197010000</v>
      </c>
      <c r="H115" s="41">
        <f t="shared" si="28"/>
        <v>200475000</v>
      </c>
      <c r="I115" s="41">
        <f t="shared" si="28"/>
        <v>204930000</v>
      </c>
      <c r="J115" s="41">
        <f t="shared" si="28"/>
        <v>204930000</v>
      </c>
      <c r="K115" s="41">
        <f t="shared" si="28"/>
        <v>197010000</v>
      </c>
      <c r="L115" s="41">
        <f t="shared" si="28"/>
        <v>120780000</v>
      </c>
      <c r="M115" s="41">
        <f t="shared" si="28"/>
        <v>106920000</v>
      </c>
      <c r="N115" s="41">
        <f t="shared" si="28"/>
        <v>89100000</v>
      </c>
      <c r="O115" s="41">
        <f t="shared" si="28"/>
        <v>89100000</v>
      </c>
      <c r="P115" s="41">
        <f t="shared" si="28"/>
        <v>89100000</v>
      </c>
      <c r="Q115" s="41">
        <f t="shared" ref="Q115" si="29">Q104-Q113</f>
        <v>35820000</v>
      </c>
    </row>
    <row r="116" spans="1:17" s="33" customFormat="1" x14ac:dyDescent="0.15">
      <c r="A116" s="78"/>
      <c r="B116" s="78"/>
      <c r="C116" s="78"/>
      <c r="D116" s="79"/>
      <c r="E116" s="79"/>
      <c r="F116" s="79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</row>
    <row r="117" spans="1:17" s="50" customFormat="1" ht="18.75" customHeight="1" x14ac:dyDescent="0.2">
      <c r="A117" s="107" t="s">
        <v>198</v>
      </c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</row>
    <row r="118" spans="1:17" s="33" customFormat="1" outlineLevel="1" x14ac:dyDescent="0.15">
      <c r="A118" s="78"/>
      <c r="B118" s="78"/>
      <c r="C118" s="78"/>
      <c r="D118" s="79"/>
      <c r="E118" s="79"/>
      <c r="F118" s="79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</row>
    <row r="119" spans="1:17" s="33" customFormat="1" outlineLevel="1" x14ac:dyDescent="0.15">
      <c r="A119" s="37" t="s">
        <v>199</v>
      </c>
      <c r="B119" s="78"/>
      <c r="C119" s="78"/>
      <c r="D119" s="79"/>
      <c r="E119" s="79"/>
      <c r="F119" s="79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</row>
    <row r="120" spans="1:17" s="33" customFormat="1" outlineLevel="1" x14ac:dyDescent="0.15">
      <c r="A120" s="78" t="s">
        <v>281</v>
      </c>
      <c r="B120" s="78"/>
      <c r="C120" s="78"/>
      <c r="D120" s="79" t="s">
        <v>173</v>
      </c>
      <c r="E120" s="150">
        <f>IFERROR(AVERAGE(G120:P120),"na")</f>
        <v>149935500</v>
      </c>
      <c r="F120" s="150">
        <f>SUM(G120:P120)</f>
        <v>1499355000</v>
      </c>
      <c r="G120" s="78">
        <f>G115</f>
        <v>197010000</v>
      </c>
      <c r="H120" s="78">
        <f t="shared" ref="H120:P120" si="30">H115</f>
        <v>200475000</v>
      </c>
      <c r="I120" s="78">
        <f t="shared" si="30"/>
        <v>204930000</v>
      </c>
      <c r="J120" s="78">
        <f t="shared" si="30"/>
        <v>204930000</v>
      </c>
      <c r="K120" s="78">
        <f t="shared" si="30"/>
        <v>197010000</v>
      </c>
      <c r="L120" s="78">
        <f t="shared" si="30"/>
        <v>120780000</v>
      </c>
      <c r="M120" s="78">
        <f t="shared" si="30"/>
        <v>106920000</v>
      </c>
      <c r="N120" s="78">
        <f t="shared" si="30"/>
        <v>89100000</v>
      </c>
      <c r="O120" s="78">
        <f t="shared" si="30"/>
        <v>89100000</v>
      </c>
      <c r="P120" s="78">
        <f t="shared" si="30"/>
        <v>89100000</v>
      </c>
      <c r="Q120" s="78">
        <f t="shared" ref="Q120" si="31">Q115</f>
        <v>35820000</v>
      </c>
    </row>
    <row r="121" spans="1:17" s="33" customFormat="1" outlineLevel="1" x14ac:dyDescent="0.15">
      <c r="A121" s="78" t="s">
        <v>200</v>
      </c>
      <c r="B121" s="78"/>
      <c r="C121" s="78"/>
      <c r="D121" s="79"/>
      <c r="E121" s="79"/>
      <c r="F121" s="79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</row>
    <row r="122" spans="1:17" s="33" customFormat="1" outlineLevel="1" x14ac:dyDescent="0.15">
      <c r="A122" s="78" t="s">
        <v>202</v>
      </c>
      <c r="B122" s="78" t="s">
        <v>141</v>
      </c>
      <c r="C122" s="78"/>
      <c r="D122" s="79" t="s">
        <v>173</v>
      </c>
      <c r="E122" s="150">
        <f>IFERROR(AVERAGE(G122:P122),"na")</f>
        <v>52477425</v>
      </c>
      <c r="F122" s="150">
        <f>SUM(G122:P122)</f>
        <v>524774250</v>
      </c>
      <c r="G122" s="78">
        <f>G120*$F$50</f>
        <v>68953500</v>
      </c>
      <c r="H122" s="78">
        <f t="shared" ref="H122:P122" si="32">H120*$F$50</f>
        <v>70166250</v>
      </c>
      <c r="I122" s="78">
        <f t="shared" si="32"/>
        <v>71725500</v>
      </c>
      <c r="J122" s="78">
        <f t="shared" si="32"/>
        <v>71725500</v>
      </c>
      <c r="K122" s="78">
        <f t="shared" si="32"/>
        <v>68953500</v>
      </c>
      <c r="L122" s="78">
        <f t="shared" si="32"/>
        <v>42273000</v>
      </c>
      <c r="M122" s="78">
        <f t="shared" si="32"/>
        <v>37422000</v>
      </c>
      <c r="N122" s="78">
        <f t="shared" si="32"/>
        <v>31184999.999999996</v>
      </c>
      <c r="O122" s="78">
        <f t="shared" si="32"/>
        <v>31184999.999999996</v>
      </c>
      <c r="P122" s="78">
        <f t="shared" si="32"/>
        <v>31184999.999999996</v>
      </c>
      <c r="Q122" s="78">
        <f t="shared" ref="Q122" si="33">Q120*$F$50</f>
        <v>12537000</v>
      </c>
    </row>
    <row r="123" spans="1:17" s="33" customFormat="1" outlineLevel="1" x14ac:dyDescent="0.15">
      <c r="A123" s="165"/>
      <c r="B123" s="165" t="s">
        <v>205</v>
      </c>
      <c r="C123" s="165"/>
      <c r="D123" s="166" t="s">
        <v>173</v>
      </c>
      <c r="E123" s="155">
        <f>IFERROR(AVERAGE(G123:P123),"na")</f>
        <v>52477425</v>
      </c>
      <c r="F123" s="155">
        <f>SUM(G123:P123)</f>
        <v>524774250</v>
      </c>
      <c r="G123" s="165">
        <f t="shared" ref="G123:P123" si="34">SUM(G122:G122)</f>
        <v>68953500</v>
      </c>
      <c r="H123" s="165">
        <f t="shared" si="34"/>
        <v>70166250</v>
      </c>
      <c r="I123" s="165">
        <f t="shared" si="34"/>
        <v>71725500</v>
      </c>
      <c r="J123" s="165">
        <f t="shared" si="34"/>
        <v>71725500</v>
      </c>
      <c r="K123" s="165">
        <f t="shared" si="34"/>
        <v>68953500</v>
      </c>
      <c r="L123" s="165">
        <f t="shared" si="34"/>
        <v>42273000</v>
      </c>
      <c r="M123" s="165">
        <f t="shared" si="34"/>
        <v>37422000</v>
      </c>
      <c r="N123" s="165">
        <f t="shared" si="34"/>
        <v>31184999.999999996</v>
      </c>
      <c r="O123" s="165">
        <f t="shared" si="34"/>
        <v>31184999.999999996</v>
      </c>
      <c r="P123" s="165">
        <f t="shared" si="34"/>
        <v>31184999.999999996</v>
      </c>
      <c r="Q123" s="165">
        <f t="shared" ref="Q123" si="35">SUM(Q122:Q122)</f>
        <v>12537000</v>
      </c>
    </row>
    <row r="124" spans="1:17" s="33" customFormat="1" outlineLevel="1" x14ac:dyDescent="0.15">
      <c r="A124" s="78"/>
      <c r="B124" s="78"/>
      <c r="C124" s="78"/>
      <c r="D124" s="79"/>
      <c r="E124" s="79"/>
      <c r="F124" s="79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</row>
    <row r="125" spans="1:17" s="33" customFormat="1" outlineLevel="1" x14ac:dyDescent="0.15">
      <c r="A125" s="37" t="s">
        <v>199</v>
      </c>
      <c r="B125" s="78"/>
      <c r="C125" s="78"/>
      <c r="D125" s="79"/>
      <c r="E125" s="150">
        <f>IFERROR(AVERAGE(G125:P125),"na")</f>
        <v>202412925</v>
      </c>
      <c r="F125" s="150">
        <f>SUM(G125:P125)</f>
        <v>2024129250</v>
      </c>
      <c r="G125" s="37">
        <f t="shared" ref="G125:P125" si="36">G120+G123</f>
        <v>265963500</v>
      </c>
      <c r="H125" s="37">
        <f t="shared" si="36"/>
        <v>270641250</v>
      </c>
      <c r="I125" s="37">
        <f t="shared" si="36"/>
        <v>276655500</v>
      </c>
      <c r="J125" s="37">
        <f t="shared" si="36"/>
        <v>276655500</v>
      </c>
      <c r="K125" s="37">
        <f t="shared" si="36"/>
        <v>265963500</v>
      </c>
      <c r="L125" s="37">
        <f t="shared" si="36"/>
        <v>163053000</v>
      </c>
      <c r="M125" s="37">
        <f t="shared" si="36"/>
        <v>144342000</v>
      </c>
      <c r="N125" s="37">
        <f t="shared" si="36"/>
        <v>120285000</v>
      </c>
      <c r="O125" s="37">
        <f t="shared" si="36"/>
        <v>120285000</v>
      </c>
      <c r="P125" s="37">
        <f t="shared" si="36"/>
        <v>120285000</v>
      </c>
      <c r="Q125" s="37">
        <f t="shared" ref="Q125" si="37">Q120+Q123</f>
        <v>48357000</v>
      </c>
    </row>
    <row r="126" spans="1:17" s="33" customFormat="1" outlineLevel="1" x14ac:dyDescent="0.15">
      <c r="A126" s="78"/>
      <c r="B126" s="78"/>
      <c r="C126" s="78"/>
      <c r="D126" s="79"/>
      <c r="E126" s="79"/>
      <c r="F126" s="79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</row>
    <row r="127" spans="1:17" s="33" customFormat="1" outlineLevel="1" x14ac:dyDescent="0.15">
      <c r="A127" s="37" t="s">
        <v>206</v>
      </c>
      <c r="B127" s="78"/>
      <c r="C127" s="78"/>
      <c r="D127" s="94">
        <f>F60</f>
        <v>9.8392945057971026E-2</v>
      </c>
      <c r="E127" s="163" t="s">
        <v>157</v>
      </c>
      <c r="F127" s="163" t="s">
        <v>157</v>
      </c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</row>
    <row r="128" spans="1:17" s="33" customFormat="1" outlineLevel="1" x14ac:dyDescent="0.15">
      <c r="A128" s="78"/>
      <c r="B128" s="78"/>
      <c r="C128" s="78"/>
      <c r="D128" s="79"/>
      <c r="E128" s="79"/>
      <c r="F128" s="79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</row>
    <row r="129" spans="1:17" s="33" customFormat="1" outlineLevel="1" x14ac:dyDescent="0.15">
      <c r="A129" s="37" t="s">
        <v>207</v>
      </c>
      <c r="B129" s="37"/>
      <c r="C129" s="37"/>
      <c r="D129" s="79" t="s">
        <v>173</v>
      </c>
      <c r="E129" s="3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</row>
    <row r="130" spans="1:17" s="33" customFormat="1" outlineLevel="1" x14ac:dyDescent="0.15">
      <c r="A130" s="113" t="s">
        <v>208</v>
      </c>
      <c r="B130" s="174"/>
      <c r="C130" s="175"/>
      <c r="D130" s="79"/>
      <c r="E130" s="108">
        <f>XNPV(D127,G130:P130,G1:P1)</f>
        <v>1487999970.3849792</v>
      </c>
      <c r="F130" s="37">
        <v>0</v>
      </c>
      <c r="G130" s="37">
        <f>G125</f>
        <v>265963500</v>
      </c>
      <c r="H130" s="37">
        <f t="shared" ref="H130:P130" si="38">H125</f>
        <v>270641250</v>
      </c>
      <c r="I130" s="37">
        <f t="shared" si="38"/>
        <v>276655500</v>
      </c>
      <c r="J130" s="37">
        <f t="shared" si="38"/>
        <v>276655500</v>
      </c>
      <c r="K130" s="37">
        <f t="shared" si="38"/>
        <v>265963500</v>
      </c>
      <c r="L130" s="37">
        <f t="shared" si="38"/>
        <v>163053000</v>
      </c>
      <c r="M130" s="37">
        <f t="shared" si="38"/>
        <v>144342000</v>
      </c>
      <c r="N130" s="37">
        <f t="shared" si="38"/>
        <v>120285000</v>
      </c>
      <c r="O130" s="37">
        <f t="shared" si="38"/>
        <v>120285000</v>
      </c>
      <c r="P130" s="37">
        <f t="shared" si="38"/>
        <v>120285000</v>
      </c>
      <c r="Q130" s="37">
        <f t="shared" ref="Q130" si="39">Q125</f>
        <v>48357000</v>
      </c>
    </row>
    <row r="131" spans="1:17" s="33" customFormat="1" outlineLevel="1" x14ac:dyDescent="0.15">
      <c r="A131" s="78" t="s">
        <v>209</v>
      </c>
      <c r="B131" s="78"/>
      <c r="C131" s="79"/>
      <c r="D131" s="79"/>
      <c r="E131" s="45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</row>
    <row r="132" spans="1:17" s="33" customFormat="1" outlineLevel="1" x14ac:dyDescent="0.15">
      <c r="A132" s="78"/>
      <c r="B132" s="78"/>
      <c r="C132" s="79"/>
      <c r="D132" s="79"/>
      <c r="E132" s="3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</row>
    <row r="133" spans="1:17" s="33" customFormat="1" outlineLevel="1" x14ac:dyDescent="0.15">
      <c r="A133" s="78" t="s">
        <v>210</v>
      </c>
      <c r="B133" s="78"/>
      <c r="C133" s="176" t="s">
        <v>211</v>
      </c>
      <c r="D133" s="79"/>
      <c r="E133" s="37"/>
      <c r="F133" s="37"/>
      <c r="G133" s="37"/>
      <c r="H133" s="78"/>
      <c r="I133" s="78"/>
      <c r="J133" s="78"/>
      <c r="K133" s="78"/>
      <c r="L133" s="78"/>
      <c r="M133" s="78"/>
      <c r="N133" s="78"/>
      <c r="O133" s="78"/>
      <c r="P133" s="78"/>
      <c r="Q133" s="78"/>
    </row>
    <row r="134" spans="1:17" s="33" customFormat="1" outlineLevel="1" x14ac:dyDescent="0.15">
      <c r="A134" s="78"/>
      <c r="B134" s="78"/>
      <c r="C134" s="176" t="s">
        <v>212</v>
      </c>
      <c r="D134" s="79"/>
      <c r="E134" s="44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 spans="1:17" s="33" customFormat="1" outlineLevel="1" x14ac:dyDescent="0.15">
      <c r="A135" s="165" t="s">
        <v>213</v>
      </c>
      <c r="B135" s="165"/>
      <c r="C135" s="177" t="s">
        <v>214</v>
      </c>
      <c r="D135" s="166"/>
      <c r="E135" s="11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 spans="1:17" s="33" customFormat="1" outlineLevel="1" x14ac:dyDescent="0.15">
      <c r="A136" s="78"/>
      <c r="B136" s="78"/>
      <c r="C136" s="78"/>
      <c r="D136" s="79"/>
      <c r="E136" s="79"/>
      <c r="F136" s="3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</row>
    <row r="137" spans="1:17" s="33" customFormat="1" outlineLevel="1" x14ac:dyDescent="0.15">
      <c r="A137" s="37" t="s">
        <v>215</v>
      </c>
      <c r="B137" s="78"/>
      <c r="C137" s="78"/>
      <c r="D137" s="79"/>
      <c r="E137" s="79"/>
      <c r="F137" s="79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</row>
    <row r="138" spans="1:17" s="33" customFormat="1" outlineLevel="1" x14ac:dyDescent="0.15">
      <c r="A138" s="78"/>
      <c r="B138" s="78" t="s">
        <v>211</v>
      </c>
      <c r="C138" s="78"/>
      <c r="D138" s="79"/>
      <c r="E138" s="79"/>
      <c r="F138" s="79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</row>
    <row r="139" spans="1:17" s="33" customFormat="1" outlineLevel="1" x14ac:dyDescent="0.15">
      <c r="A139" s="78"/>
      <c r="B139" s="78" t="s">
        <v>216</v>
      </c>
      <c r="C139" s="78"/>
      <c r="D139" s="79"/>
      <c r="E139" s="79"/>
      <c r="F139" s="79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</row>
    <row r="140" spans="1:17" s="33" customFormat="1" outlineLevel="1" x14ac:dyDescent="0.15">
      <c r="A140" s="165"/>
      <c r="B140" s="165" t="s">
        <v>64</v>
      </c>
      <c r="C140" s="165"/>
      <c r="D140" s="166"/>
      <c r="E140" s="166"/>
      <c r="F140" s="166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</row>
    <row r="141" spans="1:17" s="33" customFormat="1" outlineLevel="1" x14ac:dyDescent="0.15">
      <c r="A141" s="78"/>
      <c r="B141" s="78"/>
      <c r="C141" s="78"/>
      <c r="D141" s="79"/>
      <c r="E141" s="79"/>
      <c r="F141" s="79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</row>
    <row r="142" spans="1:17" s="33" customFormat="1" outlineLevel="1" x14ac:dyDescent="0.15">
      <c r="A142" s="78"/>
      <c r="B142" s="78" t="s">
        <v>217</v>
      </c>
      <c r="C142" s="78"/>
      <c r="D142" s="79"/>
      <c r="E142" s="79"/>
      <c r="F142" s="79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</row>
    <row r="143" spans="1:17" s="33" customFormat="1" outlineLevel="1" x14ac:dyDescent="0.15">
      <c r="A143" s="78"/>
      <c r="B143" s="78" t="s">
        <v>218</v>
      </c>
      <c r="C143" s="78"/>
      <c r="D143" s="79"/>
      <c r="E143" s="111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</row>
    <row r="144" spans="1:17" s="33" customFormat="1" outlineLevel="1" x14ac:dyDescent="0.15">
      <c r="A144" s="78"/>
      <c r="B144" s="78"/>
      <c r="C144" s="78"/>
      <c r="D144" s="79"/>
      <c r="E144" s="79"/>
      <c r="F144" s="79"/>
      <c r="G144" s="78"/>
      <c r="H144" s="78"/>
      <c r="I144" s="178"/>
      <c r="J144" s="178"/>
      <c r="K144" s="78"/>
      <c r="L144" s="78"/>
      <c r="M144" s="78"/>
      <c r="N144" s="78"/>
      <c r="O144" s="78"/>
      <c r="P144" s="78"/>
      <c r="Q144" s="78"/>
    </row>
    <row r="145" spans="1:17" s="33" customFormat="1" outlineLevel="1" x14ac:dyDescent="0.15">
      <c r="A145" s="37" t="s">
        <v>12</v>
      </c>
      <c r="B145" s="78"/>
      <c r="C145" s="78"/>
      <c r="D145" s="79"/>
      <c r="E145" s="79"/>
      <c r="F145" s="79"/>
      <c r="G145" s="78"/>
      <c r="H145" s="78"/>
      <c r="I145" s="178"/>
      <c r="J145" s="178"/>
      <c r="K145" s="78"/>
      <c r="L145" s="78"/>
      <c r="M145" s="78"/>
      <c r="N145" s="78"/>
      <c r="O145" s="78"/>
      <c r="P145" s="78"/>
      <c r="Q145" s="78"/>
    </row>
    <row r="146" spans="1:17" s="33" customFormat="1" outlineLevel="1" x14ac:dyDescent="0.15">
      <c r="A146" s="78" t="s">
        <v>219</v>
      </c>
      <c r="B146" s="78"/>
      <c r="C146" s="78"/>
      <c r="D146" s="79"/>
      <c r="E146" s="79">
        <f>E130</f>
        <v>1487999970.3849792</v>
      </c>
      <c r="F146" s="79"/>
      <c r="G146" s="78"/>
      <c r="H146" s="78"/>
      <c r="I146" s="178"/>
      <c r="J146" s="178"/>
      <c r="K146" s="78"/>
      <c r="L146" s="78"/>
      <c r="M146" s="78"/>
      <c r="N146" s="78"/>
      <c r="O146" s="78"/>
      <c r="P146" s="78"/>
      <c r="Q146" s="78"/>
    </row>
    <row r="147" spans="1:17" s="33" customFormat="1" outlineLevel="1" x14ac:dyDescent="0.15">
      <c r="A147" s="78" t="s">
        <v>220</v>
      </c>
      <c r="B147" s="78"/>
      <c r="C147" s="78"/>
      <c r="D147" s="79"/>
      <c r="E147" s="136">
        <v>0</v>
      </c>
      <c r="F147" s="79"/>
      <c r="G147" s="78"/>
      <c r="H147" s="78"/>
      <c r="I147" s="178"/>
      <c r="J147" s="178"/>
      <c r="K147" s="78"/>
      <c r="L147" s="78"/>
      <c r="M147" s="78"/>
      <c r="N147" s="78"/>
      <c r="O147" s="78"/>
      <c r="P147" s="78"/>
      <c r="Q147" s="78"/>
    </row>
    <row r="148" spans="1:17" s="33" customFormat="1" outlineLevel="1" x14ac:dyDescent="0.15">
      <c r="A148" s="78" t="s">
        <v>221</v>
      </c>
      <c r="B148" s="78"/>
      <c r="C148" s="78"/>
      <c r="D148" s="79"/>
      <c r="E148" s="136">
        <v>28900000</v>
      </c>
      <c r="F148" s="79"/>
      <c r="G148" s="78"/>
      <c r="H148" s="78"/>
      <c r="I148" s="178"/>
      <c r="J148" s="178"/>
      <c r="K148" s="78"/>
      <c r="L148" s="78"/>
      <c r="M148" s="78"/>
      <c r="N148" s="78"/>
      <c r="O148" s="78"/>
      <c r="P148" s="78"/>
      <c r="Q148" s="78"/>
    </row>
    <row r="149" spans="1:17" s="33" customFormat="1" outlineLevel="1" x14ac:dyDescent="0.15">
      <c r="A149" s="78" t="s">
        <v>222</v>
      </c>
      <c r="B149" s="78"/>
      <c r="C149" s="78"/>
      <c r="D149" s="79"/>
      <c r="E149" s="136">
        <v>29100000</v>
      </c>
      <c r="F149" s="79"/>
      <c r="G149" s="78"/>
      <c r="H149" s="78"/>
      <c r="I149" s="178"/>
      <c r="J149" s="178"/>
      <c r="K149" s="78"/>
      <c r="L149" s="78"/>
      <c r="M149" s="78"/>
      <c r="N149" s="78"/>
      <c r="O149" s="78"/>
      <c r="P149" s="78"/>
      <c r="Q149" s="78"/>
    </row>
    <row r="150" spans="1:17" s="33" customFormat="1" outlineLevel="1" x14ac:dyDescent="0.15">
      <c r="A150" s="37" t="s">
        <v>223</v>
      </c>
      <c r="B150" s="78"/>
      <c r="C150" s="78"/>
      <c r="D150" s="79"/>
      <c r="E150" s="109">
        <f>SUM(E146:E148)-E149</f>
        <v>1487799970.3849792</v>
      </c>
      <c r="F150" s="79"/>
      <c r="G150" s="78"/>
      <c r="H150" s="78"/>
      <c r="I150" s="178"/>
      <c r="J150" s="178"/>
      <c r="K150" s="78"/>
      <c r="L150" s="78"/>
      <c r="M150" s="78"/>
      <c r="N150" s="78"/>
      <c r="O150" s="78"/>
      <c r="P150" s="78"/>
      <c r="Q150" s="78"/>
    </row>
    <row r="151" spans="1:17" s="33" customFormat="1" outlineLevel="1" x14ac:dyDescent="0.15">
      <c r="A151" s="37"/>
      <c r="B151" s="78"/>
      <c r="C151" s="78"/>
      <c r="D151" s="79"/>
      <c r="E151" s="79"/>
      <c r="F151" s="79"/>
      <c r="G151" s="78"/>
      <c r="H151" s="78"/>
      <c r="I151" s="178"/>
      <c r="J151" s="178"/>
      <c r="K151" s="78"/>
      <c r="L151" s="78"/>
      <c r="M151" s="78"/>
      <c r="N151" s="78"/>
      <c r="O151" s="78"/>
      <c r="P151" s="78"/>
      <c r="Q151" s="78"/>
    </row>
    <row r="152" spans="1:17" s="33" customFormat="1" outlineLevel="1" x14ac:dyDescent="0.15">
      <c r="A152" s="78" t="s">
        <v>224</v>
      </c>
      <c r="B152" s="78"/>
      <c r="C152" s="78"/>
      <c r="D152" s="79"/>
      <c r="E152" s="79">
        <v>299700000</v>
      </c>
      <c r="F152" s="79"/>
      <c r="G152" s="78"/>
      <c r="H152" s="78"/>
      <c r="I152" s="178"/>
      <c r="J152" s="178"/>
      <c r="K152" s="78"/>
      <c r="L152" s="78"/>
      <c r="M152" s="78"/>
      <c r="N152" s="78"/>
      <c r="O152" s="78"/>
      <c r="P152" s="78"/>
      <c r="Q152" s="78"/>
    </row>
    <row r="153" spans="1:17" s="33" customFormat="1" outlineLevel="1" x14ac:dyDescent="0.15">
      <c r="A153" s="78" t="s">
        <v>225</v>
      </c>
      <c r="B153" s="78"/>
      <c r="C153" s="78"/>
      <c r="D153" s="79"/>
      <c r="E153" s="179">
        <f>E150/E152</f>
        <v>4.9642975321487466</v>
      </c>
      <c r="F153" s="79"/>
      <c r="G153" s="78"/>
      <c r="H153" s="78"/>
      <c r="I153" s="178"/>
      <c r="J153" s="178"/>
      <c r="K153" s="78"/>
      <c r="L153" s="78"/>
      <c r="M153" s="78"/>
      <c r="N153" s="78"/>
      <c r="O153" s="78"/>
      <c r="P153" s="78"/>
      <c r="Q153" s="78"/>
    </row>
    <row r="154" spans="1:17" s="33" customFormat="1" outlineLevel="1" x14ac:dyDescent="0.15">
      <c r="A154" s="37"/>
      <c r="B154" s="78"/>
      <c r="C154" s="78"/>
      <c r="D154" s="79"/>
      <c r="E154" s="79"/>
      <c r="F154" s="79"/>
      <c r="G154" s="78"/>
      <c r="H154" s="78"/>
      <c r="I154" s="178"/>
      <c r="J154" s="178"/>
      <c r="K154" s="78"/>
      <c r="L154" s="78"/>
      <c r="M154" s="78"/>
      <c r="N154" s="78"/>
      <c r="O154" s="78"/>
      <c r="P154" s="78"/>
      <c r="Q154" s="78"/>
    </row>
    <row r="155" spans="1:17" s="33" customFormat="1" outlineLevel="1" x14ac:dyDescent="0.15">
      <c r="A155" s="37" t="s">
        <v>15</v>
      </c>
      <c r="B155" s="78"/>
      <c r="C155" s="78"/>
      <c r="D155" s="79"/>
      <c r="E155" s="179">
        <f>$F$62</f>
        <v>0.84</v>
      </c>
      <c r="F155" s="79"/>
      <c r="G155" s="78"/>
      <c r="H155" s="78"/>
      <c r="I155" s="178"/>
      <c r="J155" s="178"/>
      <c r="K155" s="78"/>
      <c r="L155" s="78"/>
      <c r="M155" s="78"/>
      <c r="N155" s="78"/>
      <c r="O155" s="78"/>
      <c r="P155" s="78"/>
      <c r="Q155" s="78"/>
    </row>
    <row r="156" spans="1:17" s="33" customFormat="1" outlineLevel="1" x14ac:dyDescent="0.15">
      <c r="A156" s="37" t="s">
        <v>56</v>
      </c>
      <c r="B156" s="78"/>
      <c r="C156" s="78"/>
      <c r="D156" s="79"/>
      <c r="E156" s="110">
        <f>E155/E153</f>
        <v>0.16920823028035034</v>
      </c>
      <c r="F156" s="79"/>
      <c r="G156" s="78"/>
      <c r="H156" s="78"/>
      <c r="I156" s="178"/>
      <c r="J156" s="178"/>
      <c r="K156" s="78"/>
      <c r="L156" s="78"/>
      <c r="M156" s="78"/>
      <c r="N156" s="78"/>
      <c r="O156" s="78"/>
      <c r="P156" s="78"/>
      <c r="Q156" s="78"/>
    </row>
    <row r="157" spans="1:17" s="33" customFormat="1" x14ac:dyDescent="0.15">
      <c r="A157" s="78"/>
      <c r="B157" s="78"/>
      <c r="C157" s="78"/>
      <c r="D157" s="79"/>
      <c r="E157" s="79"/>
      <c r="F157" s="79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</row>
    <row r="158" spans="1:17" s="50" customFormat="1" ht="18.75" customHeight="1" x14ac:dyDescent="0.2">
      <c r="A158" s="107" t="s">
        <v>226</v>
      </c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</row>
    <row r="159" spans="1:17" ht="16.5" hidden="1" customHeight="1" outlineLevel="1" x14ac:dyDescent="0.15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</row>
    <row r="160" spans="1:17" hidden="1" outlineLevel="1" x14ac:dyDescent="0.15">
      <c r="A160" s="77"/>
      <c r="B160" s="77"/>
      <c r="C160" s="77"/>
      <c r="D160" s="77"/>
      <c r="E160" s="77"/>
      <c r="F160" s="77"/>
      <c r="G160" s="77" t="s">
        <v>227</v>
      </c>
      <c r="H160" s="180"/>
      <c r="I160" s="146"/>
      <c r="J160" s="77"/>
      <c r="K160" s="77"/>
      <c r="L160" s="77"/>
      <c r="M160" s="77"/>
      <c r="N160" s="77"/>
      <c r="O160" s="77"/>
      <c r="P160" s="77"/>
      <c r="Q160" s="77"/>
    </row>
    <row r="161" spans="1:17" hidden="1" outlineLevel="1" x14ac:dyDescent="0.15">
      <c r="A161" s="77"/>
      <c r="B161" s="77"/>
      <c r="C161" s="77"/>
      <c r="D161" s="77"/>
      <c r="E161" s="77"/>
      <c r="F161" s="77"/>
      <c r="G161" s="77" t="s">
        <v>210</v>
      </c>
      <c r="H161" s="148"/>
      <c r="I161" s="146"/>
      <c r="J161" s="77"/>
      <c r="K161" s="77"/>
      <c r="L161" s="77"/>
      <c r="M161" s="77"/>
      <c r="N161" s="77"/>
      <c r="O161" s="77"/>
      <c r="P161" s="77"/>
      <c r="Q161" s="77"/>
    </row>
    <row r="162" spans="1:17" hidden="1" outlineLevel="1" x14ac:dyDescent="0.15">
      <c r="A162" s="77"/>
      <c r="B162" s="77"/>
      <c r="C162" s="77"/>
      <c r="D162" s="77"/>
      <c r="E162" s="77"/>
      <c r="F162" s="77"/>
      <c r="G162" s="77" t="s">
        <v>228</v>
      </c>
      <c r="H162" s="60"/>
      <c r="I162" s="13"/>
      <c r="J162" s="77"/>
      <c r="K162" s="77"/>
      <c r="L162" s="77"/>
      <c r="M162" s="77"/>
      <c r="N162" s="77"/>
      <c r="O162" s="77"/>
      <c r="P162" s="77"/>
      <c r="Q162" s="77"/>
    </row>
    <row r="163" spans="1:17" hidden="1" outlineLevel="1" x14ac:dyDescent="0.15">
      <c r="A163" s="77"/>
      <c r="B163" s="77"/>
      <c r="C163" s="77"/>
      <c r="D163" s="77"/>
      <c r="E163" s="77"/>
      <c r="F163" s="77"/>
      <c r="G163" s="77" t="s">
        <v>229</v>
      </c>
      <c r="H163" s="181"/>
      <c r="I163" s="142"/>
      <c r="J163" s="77"/>
      <c r="K163" s="77"/>
      <c r="L163" s="77"/>
      <c r="M163" s="77"/>
      <c r="N163" s="77"/>
      <c r="O163" s="77"/>
      <c r="P163" s="77"/>
      <c r="Q163" s="77"/>
    </row>
    <row r="164" spans="1:17" hidden="1" outlineLevel="1" x14ac:dyDescent="0.15">
      <c r="A164" s="77"/>
      <c r="B164" s="77"/>
      <c r="C164" s="77"/>
      <c r="D164" s="77"/>
      <c r="E164" s="77"/>
      <c r="F164" s="77"/>
      <c r="G164" s="77"/>
      <c r="H164" s="142"/>
      <c r="I164" s="77"/>
      <c r="J164" s="77"/>
      <c r="K164" s="77"/>
      <c r="L164" s="77"/>
      <c r="M164" s="77"/>
      <c r="N164" s="77"/>
      <c r="O164" s="77"/>
      <c r="P164" s="77"/>
      <c r="Q164" s="77"/>
    </row>
    <row r="165" spans="1:17" ht="15.75" hidden="1" customHeight="1" outlineLevel="1" x14ac:dyDescent="0.15">
      <c r="A165" s="77"/>
      <c r="B165" s="77"/>
      <c r="C165" s="77"/>
      <c r="D165" s="77"/>
      <c r="E165" s="77"/>
      <c r="F165" s="77"/>
      <c r="G165" s="51" t="s">
        <v>229</v>
      </c>
      <c r="H165" s="52"/>
      <c r="I165" s="52"/>
      <c r="J165" s="52"/>
      <c r="K165" s="52"/>
      <c r="L165" s="52"/>
      <c r="M165" s="77"/>
      <c r="N165" s="77"/>
      <c r="O165" s="77"/>
      <c r="P165" s="77"/>
      <c r="Q165" s="77"/>
    </row>
    <row r="166" spans="1:17" hidden="1" outlineLevel="1" x14ac:dyDescent="0.15">
      <c r="A166" s="77"/>
      <c r="B166" s="77"/>
      <c r="C166" s="77"/>
      <c r="D166" s="77"/>
      <c r="E166" s="77"/>
      <c r="F166" s="77"/>
      <c r="G166" s="46"/>
      <c r="H166" s="182" t="s">
        <v>230</v>
      </c>
      <c r="I166" s="182"/>
      <c r="J166" s="182"/>
      <c r="K166" s="182"/>
      <c r="L166" s="182"/>
      <c r="M166" s="77"/>
      <c r="N166" s="77"/>
      <c r="O166" s="77"/>
      <c r="P166" s="77"/>
      <c r="Q166" s="77"/>
    </row>
    <row r="167" spans="1:17" hidden="1" outlineLevel="1" x14ac:dyDescent="0.15">
      <c r="G167" s="47">
        <f>E135</f>
        <v>0</v>
      </c>
      <c r="H167" s="62">
        <v>1000</v>
      </c>
      <c r="I167" s="183">
        <f>+H167+200</f>
        <v>1200</v>
      </c>
      <c r="J167" s="183">
        <f t="shared" ref="J167:L167" si="40">+I167+200</f>
        <v>1400</v>
      </c>
      <c r="K167" s="183">
        <f t="shared" si="40"/>
        <v>1600</v>
      </c>
      <c r="L167" s="183">
        <f t="shared" si="40"/>
        <v>1800</v>
      </c>
    </row>
    <row r="168" spans="1:17" hidden="1" outlineLevel="1" x14ac:dyDescent="0.15">
      <c r="G168" s="61">
        <v>12</v>
      </c>
      <c r="H168" s="184"/>
      <c r="I168" s="184"/>
      <c r="J168" s="184"/>
      <c r="K168" s="184"/>
      <c r="L168" s="184"/>
    </row>
    <row r="169" spans="1:17" hidden="1" outlineLevel="1" x14ac:dyDescent="0.15">
      <c r="G169" s="185">
        <f>+G168-1</f>
        <v>11</v>
      </c>
      <c r="H169" s="142"/>
      <c r="I169" s="142"/>
      <c r="J169" s="142"/>
      <c r="K169" s="142"/>
      <c r="L169" s="142"/>
    </row>
    <row r="170" spans="1:17" hidden="1" outlineLevel="1" x14ac:dyDescent="0.15">
      <c r="G170" s="185">
        <f t="shared" ref="G170:G176" si="41">+G169-1</f>
        <v>10</v>
      </c>
      <c r="H170" s="142"/>
      <c r="I170" s="142"/>
      <c r="J170" s="142"/>
      <c r="K170" s="142"/>
      <c r="L170" s="142"/>
    </row>
    <row r="171" spans="1:17" hidden="1" outlineLevel="1" x14ac:dyDescent="0.15">
      <c r="G171" s="185">
        <f t="shared" si="41"/>
        <v>9</v>
      </c>
      <c r="H171" s="142"/>
      <c r="I171" s="186"/>
      <c r="J171" s="186"/>
      <c r="K171" s="186"/>
      <c r="L171" s="142"/>
    </row>
    <row r="172" spans="1:17" hidden="1" outlineLevel="1" x14ac:dyDescent="0.15">
      <c r="G172" s="185">
        <f t="shared" si="41"/>
        <v>8</v>
      </c>
      <c r="H172" s="142"/>
      <c r="I172" s="186"/>
      <c r="J172" s="186"/>
      <c r="K172" s="186"/>
      <c r="L172" s="142"/>
    </row>
    <row r="173" spans="1:17" hidden="1" outlineLevel="1" x14ac:dyDescent="0.15">
      <c r="G173" s="185">
        <f t="shared" si="41"/>
        <v>7</v>
      </c>
      <c r="H173" s="142"/>
      <c r="I173" s="186"/>
      <c r="J173" s="186"/>
      <c r="K173" s="186"/>
      <c r="L173" s="142"/>
    </row>
    <row r="174" spans="1:17" hidden="1" outlineLevel="1" x14ac:dyDescent="0.15">
      <c r="G174" s="185">
        <f t="shared" si="41"/>
        <v>6</v>
      </c>
      <c r="H174" s="142"/>
      <c r="I174" s="142"/>
      <c r="J174" s="142"/>
      <c r="K174" s="142"/>
      <c r="L174" s="142"/>
    </row>
    <row r="175" spans="1:17" hidden="1" outlineLevel="1" x14ac:dyDescent="0.15">
      <c r="G175" s="185">
        <f t="shared" si="41"/>
        <v>5</v>
      </c>
      <c r="H175" s="142"/>
      <c r="I175" s="142"/>
      <c r="J175" s="142"/>
      <c r="K175" s="142"/>
      <c r="L175" s="142"/>
    </row>
    <row r="176" spans="1:17" hidden="1" outlineLevel="1" x14ac:dyDescent="0.15">
      <c r="G176" s="185">
        <f t="shared" si="41"/>
        <v>4</v>
      </c>
      <c r="H176" s="142"/>
      <c r="I176" s="142"/>
      <c r="J176" s="142"/>
      <c r="K176" s="142"/>
      <c r="L176" s="142"/>
    </row>
    <row r="177" spans="1:17" hidden="1" outlineLevel="1" x14ac:dyDescent="0.15">
      <c r="G177" s="77"/>
      <c r="H177" s="77"/>
      <c r="I177" s="77"/>
      <c r="J177" s="77"/>
      <c r="K177" s="77"/>
      <c r="L177" s="77"/>
    </row>
    <row r="178" spans="1:17" hidden="1" outlineLevel="1" x14ac:dyDescent="0.15">
      <c r="G178" s="77"/>
      <c r="H178" s="77"/>
      <c r="I178" s="77"/>
      <c r="J178" s="77"/>
      <c r="K178" s="77"/>
      <c r="L178" s="77"/>
    </row>
    <row r="179" spans="1:17" ht="15.75" hidden="1" customHeight="1" outlineLevel="1" x14ac:dyDescent="0.15">
      <c r="G179" s="51" t="s">
        <v>231</v>
      </c>
      <c r="H179" s="52"/>
      <c r="I179" s="52"/>
      <c r="J179" s="52"/>
      <c r="K179" s="52"/>
      <c r="L179" s="52"/>
    </row>
    <row r="180" spans="1:17" hidden="1" outlineLevel="1" x14ac:dyDescent="0.15">
      <c r="G180" s="77"/>
      <c r="H180" s="182" t="s">
        <v>230</v>
      </c>
      <c r="I180" s="182"/>
      <c r="J180" s="182"/>
      <c r="K180" s="182"/>
      <c r="L180" s="182"/>
    </row>
    <row r="181" spans="1:17" hidden="1" outlineLevel="1" x14ac:dyDescent="0.15">
      <c r="G181" s="54">
        <f>E133/1000000</f>
        <v>0</v>
      </c>
      <c r="H181" s="62">
        <v>1000</v>
      </c>
      <c r="I181" s="183">
        <f>+H181+200</f>
        <v>1200</v>
      </c>
      <c r="J181" s="183">
        <f t="shared" ref="J181:L181" si="42">+I181+200</f>
        <v>1400</v>
      </c>
      <c r="K181" s="183">
        <f t="shared" si="42"/>
        <v>1600</v>
      </c>
      <c r="L181" s="183">
        <f t="shared" si="42"/>
        <v>1800</v>
      </c>
    </row>
    <row r="182" spans="1:17" hidden="1" outlineLevel="1" x14ac:dyDescent="0.15">
      <c r="G182" s="63">
        <v>0.09</v>
      </c>
      <c r="H182" s="187"/>
      <c r="I182" s="144"/>
      <c r="J182" s="144"/>
      <c r="K182" s="144"/>
      <c r="L182" s="144"/>
    </row>
    <row r="183" spans="1:17" hidden="1" outlineLevel="1" x14ac:dyDescent="0.15">
      <c r="A183" s="77"/>
      <c r="B183" s="77"/>
      <c r="C183" s="77"/>
      <c r="D183" s="77"/>
      <c r="E183" s="77"/>
      <c r="F183" s="77"/>
      <c r="G183" s="188">
        <f>G182-0.01</f>
        <v>0.08</v>
      </c>
      <c r="H183" s="146"/>
      <c r="I183" s="146"/>
      <c r="J183" s="146"/>
      <c r="K183" s="146"/>
      <c r="L183" s="146"/>
      <c r="M183" s="77"/>
      <c r="N183" s="77"/>
      <c r="O183" s="77"/>
      <c r="P183" s="77"/>
      <c r="Q183" s="77"/>
    </row>
    <row r="184" spans="1:17" hidden="1" outlineLevel="1" x14ac:dyDescent="0.15">
      <c r="A184" s="77"/>
      <c r="B184" s="77"/>
      <c r="C184" s="77"/>
      <c r="D184" s="77"/>
      <c r="E184" s="77"/>
      <c r="F184" s="77"/>
      <c r="G184" s="188">
        <f t="shared" ref="G184:G190" si="43">G183-0.01</f>
        <v>7.0000000000000007E-2</v>
      </c>
      <c r="H184" s="146"/>
      <c r="I184" s="146"/>
      <c r="J184" s="146"/>
      <c r="K184" s="146"/>
      <c r="L184" s="146"/>
      <c r="M184" s="77"/>
      <c r="N184" s="77"/>
      <c r="O184" s="77"/>
      <c r="P184" s="77"/>
      <c r="Q184" s="77"/>
    </row>
    <row r="185" spans="1:17" hidden="1" outlineLevel="1" x14ac:dyDescent="0.15">
      <c r="A185" s="77"/>
      <c r="B185" s="77"/>
      <c r="C185" s="77"/>
      <c r="D185" s="77"/>
      <c r="E185" s="77"/>
      <c r="F185" s="77"/>
      <c r="G185" s="188">
        <f t="shared" si="43"/>
        <v>6.0000000000000005E-2</v>
      </c>
      <c r="H185" s="146"/>
      <c r="I185" s="189"/>
      <c r="J185" s="189"/>
      <c r="K185" s="189"/>
      <c r="L185" s="146"/>
      <c r="M185" s="77"/>
      <c r="N185" s="77"/>
      <c r="O185" s="77"/>
      <c r="P185" s="77"/>
      <c r="Q185" s="77"/>
    </row>
    <row r="186" spans="1:17" hidden="1" outlineLevel="1" x14ac:dyDescent="0.15">
      <c r="A186" s="77"/>
      <c r="B186" s="77"/>
      <c r="C186" s="77"/>
      <c r="D186" s="77"/>
      <c r="E186" s="77"/>
      <c r="F186" s="77"/>
      <c r="G186" s="188">
        <f t="shared" si="43"/>
        <v>0.05</v>
      </c>
      <c r="H186" s="146"/>
      <c r="I186" s="189"/>
      <c r="J186" s="189"/>
      <c r="K186" s="189"/>
      <c r="L186" s="146"/>
      <c r="M186" s="77"/>
      <c r="N186" s="77"/>
      <c r="O186" s="77"/>
      <c r="P186" s="77"/>
      <c r="Q186" s="77"/>
    </row>
    <row r="187" spans="1:17" hidden="1" outlineLevel="1" x14ac:dyDescent="0.15">
      <c r="A187" s="77"/>
      <c r="B187" s="77"/>
      <c r="C187" s="77"/>
      <c r="D187" s="77"/>
      <c r="E187" s="77"/>
      <c r="F187" s="77"/>
      <c r="G187" s="188">
        <f t="shared" si="43"/>
        <v>0.04</v>
      </c>
      <c r="H187" s="146"/>
      <c r="I187" s="189"/>
      <c r="J187" s="189"/>
      <c r="K187" s="189"/>
      <c r="L187" s="146"/>
      <c r="M187" s="77"/>
      <c r="N187" s="77"/>
      <c r="O187" s="77"/>
      <c r="P187" s="77"/>
      <c r="Q187" s="77"/>
    </row>
    <row r="188" spans="1:17" hidden="1" outlineLevel="1" x14ac:dyDescent="0.15">
      <c r="A188" s="77"/>
      <c r="B188" s="77"/>
      <c r="C188" s="77"/>
      <c r="D188" s="77"/>
      <c r="E188" s="77"/>
      <c r="F188" s="77"/>
      <c r="G188" s="188">
        <f t="shared" si="43"/>
        <v>0.03</v>
      </c>
      <c r="H188" s="146"/>
      <c r="I188" s="146"/>
      <c r="J188" s="146"/>
      <c r="K188" s="146"/>
      <c r="L188" s="146"/>
      <c r="M188" s="77"/>
      <c r="N188" s="77"/>
      <c r="O188" s="77"/>
      <c r="P188" s="77"/>
      <c r="Q188" s="77"/>
    </row>
    <row r="189" spans="1:17" hidden="1" outlineLevel="1" x14ac:dyDescent="0.15">
      <c r="A189" s="77"/>
      <c r="B189" s="77"/>
      <c r="C189" s="77"/>
      <c r="D189" s="77"/>
      <c r="E189" s="77"/>
      <c r="F189" s="77"/>
      <c r="G189" s="188">
        <f t="shared" si="43"/>
        <v>1.9999999999999997E-2</v>
      </c>
      <c r="H189" s="146"/>
      <c r="I189" s="146"/>
      <c r="J189" s="146"/>
      <c r="K189" s="146"/>
      <c r="L189" s="146"/>
      <c r="M189" s="77"/>
      <c r="N189" s="77"/>
      <c r="O189" s="77"/>
      <c r="P189" s="77"/>
      <c r="Q189" s="77"/>
    </row>
    <row r="190" spans="1:17" hidden="1" outlineLevel="1" x14ac:dyDescent="0.15">
      <c r="A190" s="77"/>
      <c r="B190" s="77"/>
      <c r="C190" s="77"/>
      <c r="D190" s="77"/>
      <c r="E190" s="77"/>
      <c r="F190" s="77"/>
      <c r="G190" s="188">
        <f t="shared" si="43"/>
        <v>9.9999999999999967E-3</v>
      </c>
      <c r="H190" s="146"/>
      <c r="I190" s="146"/>
      <c r="J190" s="146"/>
      <c r="K190" s="146"/>
      <c r="L190" s="146"/>
      <c r="M190" s="77"/>
      <c r="N190" s="77"/>
      <c r="O190" s="77"/>
      <c r="P190" s="77"/>
      <c r="Q190" s="77"/>
    </row>
    <row r="191" spans="1:17" hidden="1" outlineLevel="1" x14ac:dyDescent="0.15">
      <c r="A191" s="77"/>
      <c r="B191" s="77"/>
      <c r="C191" s="77"/>
      <c r="D191" s="77"/>
      <c r="E191" s="77"/>
      <c r="F191" s="77"/>
      <c r="G191" s="142"/>
      <c r="H191" s="146"/>
      <c r="I191" s="146"/>
      <c r="J191" s="146"/>
      <c r="K191" s="146"/>
      <c r="L191" s="146"/>
      <c r="M191" s="77"/>
      <c r="N191" s="77"/>
      <c r="O191" s="77"/>
      <c r="P191" s="77"/>
      <c r="Q191" s="77"/>
    </row>
    <row r="192" spans="1:17" collapsed="1" x14ac:dyDescent="0.1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</row>
    <row r="193" spans="1:17" s="50" customFormat="1" ht="18.75" customHeight="1" x14ac:dyDescent="0.2">
      <c r="A193" s="107" t="s">
        <v>232</v>
      </c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</row>
    <row r="194" spans="1:17" s="29" customFormat="1" ht="24" hidden="1" customHeight="1" outlineLevel="2" x14ac:dyDescent="0.2">
      <c r="A194" s="80"/>
      <c r="B194" s="80"/>
      <c r="C194" s="80"/>
      <c r="D194" s="80"/>
      <c r="E194" s="80"/>
      <c r="F194" s="80"/>
      <c r="G194" s="56">
        <f t="shared" ref="G194:P194" si="44">G2</f>
        <v>2024</v>
      </c>
      <c r="H194" s="56">
        <f t="shared" si="44"/>
        <v>2025</v>
      </c>
      <c r="I194" s="56">
        <f t="shared" si="44"/>
        <v>2026</v>
      </c>
      <c r="J194" s="56">
        <f t="shared" si="44"/>
        <v>2027</v>
      </c>
      <c r="K194" s="56">
        <f t="shared" si="44"/>
        <v>2028</v>
      </c>
      <c r="L194" s="56">
        <f t="shared" si="44"/>
        <v>2029</v>
      </c>
      <c r="M194" s="56">
        <f t="shared" si="44"/>
        <v>2030</v>
      </c>
      <c r="N194" s="56">
        <f t="shared" si="44"/>
        <v>2031</v>
      </c>
      <c r="O194" s="56">
        <f t="shared" si="44"/>
        <v>2032</v>
      </c>
      <c r="P194" s="56">
        <f t="shared" si="44"/>
        <v>2033</v>
      </c>
    </row>
    <row r="195" spans="1:17" s="29" customFormat="1" hidden="1" outlineLevel="2" x14ac:dyDescent="0.15">
      <c r="A195" s="153" t="s">
        <v>233</v>
      </c>
      <c r="B195" s="153"/>
      <c r="C195" s="153"/>
      <c r="D195" s="153"/>
      <c r="E195" s="153"/>
      <c r="F195" s="153"/>
      <c r="G195" s="57"/>
      <c r="H195" s="57"/>
      <c r="I195" s="57"/>
      <c r="J195" s="57"/>
      <c r="K195" s="57"/>
      <c r="L195" s="57"/>
      <c r="M195" s="57"/>
      <c r="N195" s="57"/>
      <c r="O195" s="57"/>
      <c r="P195" s="57"/>
    </row>
    <row r="196" spans="1:17" s="29" customFormat="1" hidden="1" outlineLevel="2" x14ac:dyDescent="0.15">
      <c r="A196" s="80" t="s">
        <v>203</v>
      </c>
      <c r="B196" s="80"/>
      <c r="C196" s="80"/>
      <c r="D196" s="80"/>
      <c r="E196" s="80"/>
      <c r="F196" s="8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1:17" s="29" customFormat="1" hidden="1" outlineLevel="2" x14ac:dyDescent="0.15">
      <c r="A197" s="153" t="s">
        <v>199</v>
      </c>
      <c r="B197" s="153"/>
      <c r="C197" s="153"/>
      <c r="D197" s="153"/>
      <c r="E197" s="153"/>
      <c r="F197" s="153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spans="1:17" s="29" customFormat="1" hidden="1" outlineLevel="2" x14ac:dyDescent="0.15">
      <c r="A198" s="80"/>
      <c r="B198" s="80"/>
      <c r="C198" s="80"/>
      <c r="D198" s="80"/>
      <c r="E198" s="80"/>
      <c r="F198" s="80"/>
      <c r="G198" s="55"/>
      <c r="H198" s="39"/>
      <c r="I198" s="39"/>
      <c r="J198" s="39"/>
      <c r="K198" s="39"/>
      <c r="L198" s="39"/>
      <c r="M198" s="39"/>
      <c r="N198" s="39"/>
      <c r="O198" s="39"/>
      <c r="P198" s="39"/>
    </row>
    <row r="199" spans="1:17" s="29" customFormat="1" hidden="1" outlineLevel="2" x14ac:dyDescent="0.15">
      <c r="A199" s="80" t="s">
        <v>215</v>
      </c>
      <c r="B199" s="80"/>
      <c r="C199" s="80"/>
      <c r="D199" s="80"/>
      <c r="E199" s="80"/>
      <c r="F199" s="80"/>
      <c r="G199" s="55"/>
      <c r="H199" s="55"/>
      <c r="I199" s="55"/>
      <c r="J199" s="55"/>
      <c r="K199" s="55"/>
      <c r="L199" s="55"/>
      <c r="M199" s="55"/>
      <c r="N199" s="55"/>
      <c r="O199" s="55"/>
      <c r="P199" s="55"/>
    </row>
    <row r="200" spans="1:17" s="29" customFormat="1" hidden="1" outlineLevel="2" x14ac:dyDescent="0.15">
      <c r="A200" s="80" t="s">
        <v>234</v>
      </c>
      <c r="B200" s="80"/>
      <c r="C200" s="80"/>
      <c r="D200" s="80"/>
      <c r="E200" s="80"/>
      <c r="F200" s="8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1:17" s="29" customFormat="1" hidden="1" outlineLevel="2" x14ac:dyDescent="0.15">
      <c r="A201" s="153" t="s">
        <v>199</v>
      </c>
      <c r="B201" s="153"/>
      <c r="C201" s="153"/>
      <c r="D201" s="153"/>
      <c r="E201" s="153"/>
      <c r="F201" s="153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spans="1:17" s="29" customFormat="1" hidden="1" outlineLevel="2" x14ac:dyDescent="0.15">
      <c r="A202" s="80"/>
      <c r="B202" s="80"/>
      <c r="C202" s="80"/>
      <c r="D202" s="80"/>
      <c r="E202" s="80"/>
      <c r="F202" s="80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 spans="1:17" s="29" customFormat="1" hidden="1" outlineLevel="2" x14ac:dyDescent="0.15">
      <c r="A203" s="80" t="s">
        <v>235</v>
      </c>
      <c r="B203" s="80"/>
      <c r="C203" s="80"/>
      <c r="D203" s="80"/>
      <c r="E203" s="80"/>
      <c r="F203" s="8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1:17" s="29" customFormat="1" hidden="1" outlineLevel="2" x14ac:dyDescent="0.15">
      <c r="A204" s="80" t="s">
        <v>236</v>
      </c>
      <c r="B204" s="80"/>
      <c r="C204" s="80"/>
      <c r="D204" s="80"/>
      <c r="E204" s="80"/>
      <c r="F204" s="8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1:17" s="29" customFormat="1" hidden="1" outlineLevel="2" x14ac:dyDescent="0.1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</row>
    <row r="206" spans="1:17" s="29" customFormat="1" hidden="1" outlineLevel="2" x14ac:dyDescent="0.15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</row>
    <row r="207" spans="1:17" s="29" customFormat="1" hidden="1" outlineLevel="2" x14ac:dyDescent="0.15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</row>
    <row r="208" spans="1:17" s="29" customFormat="1" hidden="1" outlineLevel="2" x14ac:dyDescent="0.15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</row>
    <row r="209" spans="1:16" s="29" customFormat="1" hidden="1" outlineLevel="2" x14ac:dyDescent="0.15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</row>
    <row r="210" spans="1:16" s="29" customFormat="1" hidden="1" outlineLevel="2" x14ac:dyDescent="0.15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</row>
    <row r="211" spans="1:16" s="29" customFormat="1" hidden="1" outlineLevel="2" x14ac:dyDescent="0.15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</row>
    <row r="212" spans="1:16" s="29" customFormat="1" hidden="1" outlineLevel="2" x14ac:dyDescent="0.1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</row>
    <row r="213" spans="1:16" s="29" customFormat="1" hidden="1" outlineLevel="2" x14ac:dyDescent="0.15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</row>
    <row r="214" spans="1:16" s="29" customFormat="1" hidden="1" outlineLevel="2" x14ac:dyDescent="0.15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</row>
    <row r="215" spans="1:16" s="29" customFormat="1" hidden="1" outlineLevel="2" x14ac:dyDescent="0.15"/>
    <row r="216" spans="1:16" s="29" customFormat="1" hidden="1" outlineLevel="2" x14ac:dyDescent="0.15"/>
    <row r="217" spans="1:16" s="29" customFormat="1" hidden="1" outlineLevel="2" x14ac:dyDescent="0.15"/>
    <row r="218" spans="1:16" s="29" customFormat="1" hidden="1" outlineLevel="2" x14ac:dyDescent="0.15"/>
    <row r="219" spans="1:16" s="29" customFormat="1" hidden="1" outlineLevel="2" x14ac:dyDescent="0.15"/>
    <row r="220" spans="1:16" s="29" customFormat="1" hidden="1" outlineLevel="2" x14ac:dyDescent="0.15"/>
    <row r="221" spans="1:16" s="29" customFormat="1" hidden="1" outlineLevel="2" x14ac:dyDescent="0.15"/>
    <row r="222" spans="1:16" s="29" customFormat="1" hidden="1" outlineLevel="2" x14ac:dyDescent="0.15"/>
    <row r="223" spans="1:16" s="29" customFormat="1" hidden="1" outlineLevel="2" x14ac:dyDescent="0.15"/>
    <row r="224" spans="1:16" s="29" customFormat="1" hidden="1" outlineLevel="2" x14ac:dyDescent="0.15"/>
    <row r="225" s="29" customFormat="1" hidden="1" outlineLevel="2" x14ac:dyDescent="0.15"/>
    <row r="226" s="29" customFormat="1" hidden="1" outlineLevel="2" x14ac:dyDescent="0.15"/>
    <row r="227" s="29" customFormat="1" hidden="1" outlineLevel="2" x14ac:dyDescent="0.15"/>
    <row r="228" hidden="1" outlineLevel="2" x14ac:dyDescent="0.15"/>
    <row r="229" collapsed="1" x14ac:dyDescent="0.15"/>
  </sheetData>
  <conditionalFormatting sqref="A2 C2">
    <cfRule type="containsText" dxfId="19" priority="3" operator="containsText" text="OK">
      <formula>NOT(ISERROR(SEARCH("OK",A2)))</formula>
    </cfRule>
    <cfRule type="containsText" dxfId="18" priority="4" operator="containsText" text="ERROR">
      <formula>NOT(ISERROR(SEARCH("ERROR",A2)))</formula>
    </cfRule>
  </conditionalFormatting>
  <conditionalFormatting sqref="E3:Q3">
    <cfRule type="containsText" dxfId="17" priority="1" operator="containsText" text="OK">
      <formula>NOT(ISERROR(SEARCH("OK",#REF!)))</formula>
    </cfRule>
    <cfRule type="containsText" dxfId="16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B30A35B5-8183-1D47-AB16-F61EA96CD83B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6353-EC80-2641-85D2-D9A99D2EEBE4}">
  <dimension ref="A1:AL242"/>
  <sheetViews>
    <sheetView showGridLines="0" topLeftCell="F27" zoomScaleNormal="100" workbookViewId="0">
      <selection activeCell="F64" sqref="F64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7" width="13.83203125" style="5" customWidth="1"/>
    <col min="8" max="8" width="15.83203125" style="5" bestFit="1" customWidth="1"/>
    <col min="9" max="16" width="13.83203125" style="5" customWidth="1"/>
    <col min="17" max="17" width="12.1640625" style="5" bestFit="1" customWidth="1"/>
    <col min="18" max="23" width="12.5" style="5" bestFit="1" customWidth="1"/>
    <col min="24" max="27" width="13.83203125" style="5" bestFit="1" customWidth="1"/>
    <col min="28" max="38" width="12.5" style="5" bestFit="1" customWidth="1"/>
    <col min="39" max="16384" width="11.1640625" style="5"/>
  </cols>
  <sheetData>
    <row r="1" spans="1:38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AL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  <c r="Q1" s="101">
        <f t="shared" si="0"/>
        <v>49309</v>
      </c>
      <c r="R1" s="101">
        <f t="shared" si="0"/>
        <v>49674</v>
      </c>
      <c r="S1" s="101">
        <f t="shared" si="0"/>
        <v>50040</v>
      </c>
      <c r="T1" s="101">
        <f t="shared" si="0"/>
        <v>50405</v>
      </c>
      <c r="U1" s="101">
        <f t="shared" si="0"/>
        <v>50770</v>
      </c>
      <c r="V1" s="101">
        <f t="shared" si="0"/>
        <v>51135</v>
      </c>
      <c r="W1" s="101">
        <f t="shared" si="0"/>
        <v>51501</v>
      </c>
      <c r="X1" s="101">
        <f t="shared" si="0"/>
        <v>51866</v>
      </c>
      <c r="Y1" s="101">
        <f t="shared" si="0"/>
        <v>52231</v>
      </c>
      <c r="Z1" s="101">
        <f t="shared" si="0"/>
        <v>52596</v>
      </c>
      <c r="AA1" s="101">
        <f t="shared" si="0"/>
        <v>52962</v>
      </c>
      <c r="AB1" s="101">
        <f t="shared" si="0"/>
        <v>53327</v>
      </c>
      <c r="AC1" s="101">
        <f t="shared" si="0"/>
        <v>53692</v>
      </c>
      <c r="AD1" s="101">
        <f t="shared" si="0"/>
        <v>54057</v>
      </c>
      <c r="AE1" s="101">
        <f t="shared" si="0"/>
        <v>54423</v>
      </c>
      <c r="AF1" s="101">
        <f t="shared" si="0"/>
        <v>54788</v>
      </c>
      <c r="AG1" s="101">
        <f t="shared" si="0"/>
        <v>55153</v>
      </c>
      <c r="AH1" s="101">
        <f t="shared" si="0"/>
        <v>55518</v>
      </c>
      <c r="AI1" s="101">
        <f t="shared" si="0"/>
        <v>55884</v>
      </c>
      <c r="AJ1" s="101">
        <f t="shared" si="0"/>
        <v>56249</v>
      </c>
      <c r="AK1" s="101">
        <f t="shared" si="0"/>
        <v>56614</v>
      </c>
      <c r="AL1" s="101">
        <f t="shared" si="0"/>
        <v>56979</v>
      </c>
    </row>
    <row r="2" spans="1:38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Q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  <c r="Q2" s="106">
        <f t="shared" si="1"/>
        <v>2034</v>
      </c>
      <c r="R2" s="106">
        <f t="shared" ref="R2" si="2">+Q2+1</f>
        <v>2035</v>
      </c>
      <c r="S2" s="106">
        <f t="shared" ref="S2" si="3">+R2+1</f>
        <v>2036</v>
      </c>
      <c r="T2" s="106">
        <f t="shared" ref="T2" si="4">+S2+1</f>
        <v>2037</v>
      </c>
      <c r="U2" s="106">
        <f t="shared" ref="U2" si="5">+T2+1</f>
        <v>2038</v>
      </c>
      <c r="V2" s="106">
        <f t="shared" ref="V2" si="6">+U2+1</f>
        <v>2039</v>
      </c>
      <c r="W2" s="106">
        <f t="shared" ref="W2" si="7">+V2+1</f>
        <v>2040</v>
      </c>
      <c r="X2" s="106">
        <f t="shared" ref="X2" si="8">+W2+1</f>
        <v>2041</v>
      </c>
      <c r="Y2" s="106">
        <f t="shared" ref="Y2" si="9">+X2+1</f>
        <v>2042</v>
      </c>
      <c r="Z2" s="106">
        <f t="shared" ref="Z2:AA2" si="10">+Y2+1</f>
        <v>2043</v>
      </c>
      <c r="AA2" s="106">
        <f t="shared" si="10"/>
        <v>2044</v>
      </c>
      <c r="AB2" s="106">
        <f t="shared" ref="AB2" si="11">+AA2+1</f>
        <v>2045</v>
      </c>
      <c r="AC2" s="106">
        <f t="shared" ref="AC2" si="12">+AB2+1</f>
        <v>2046</v>
      </c>
      <c r="AD2" s="106">
        <f t="shared" ref="AD2" si="13">+AC2+1</f>
        <v>2047</v>
      </c>
      <c r="AE2" s="106">
        <f t="shared" ref="AE2" si="14">+AD2+1</f>
        <v>2048</v>
      </c>
      <c r="AF2" s="106">
        <f t="shared" ref="AF2" si="15">+AE2+1</f>
        <v>2049</v>
      </c>
      <c r="AG2" s="106">
        <f t="shared" ref="AG2" si="16">+AF2+1</f>
        <v>2050</v>
      </c>
      <c r="AH2" s="106">
        <f t="shared" ref="AH2" si="17">+AG2+1</f>
        <v>2051</v>
      </c>
      <c r="AI2" s="106">
        <f t="shared" ref="AI2" si="18">+AH2+1</f>
        <v>2052</v>
      </c>
      <c r="AJ2" s="106">
        <f t="shared" ref="AJ2" si="19">+AI2+1</f>
        <v>2053</v>
      </c>
      <c r="AK2" s="106">
        <f t="shared" ref="AK2" si="20">+AJ2+1</f>
        <v>2054</v>
      </c>
      <c r="AL2" s="106">
        <f t="shared" ref="AL2" si="21">+AK2+1</f>
        <v>2055</v>
      </c>
    </row>
    <row r="3" spans="1:38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66</v>
      </c>
      <c r="AJ3" s="4" t="s">
        <v>66</v>
      </c>
      <c r="AK3" s="4" t="s">
        <v>66</v>
      </c>
      <c r="AL3" s="4" t="s">
        <v>66</v>
      </c>
    </row>
    <row r="5" spans="1:38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</row>
    <row r="6" spans="1:38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</row>
    <row r="8" spans="1:38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</row>
    <row r="12" spans="1:38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spans="1:38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</row>
    <row r="14" spans="1:38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Q14" si="22">+G14+1</f>
        <v>2025</v>
      </c>
      <c r="I14" s="121">
        <f t="shared" si="22"/>
        <v>2026</v>
      </c>
      <c r="J14" s="121">
        <f t="shared" si="22"/>
        <v>2027</v>
      </c>
      <c r="K14" s="121">
        <f t="shared" si="22"/>
        <v>2028</v>
      </c>
      <c r="L14" s="121">
        <f t="shared" si="22"/>
        <v>2029</v>
      </c>
      <c r="M14" s="121">
        <f t="shared" si="22"/>
        <v>2030</v>
      </c>
      <c r="N14" s="121">
        <f t="shared" si="22"/>
        <v>2031</v>
      </c>
      <c r="O14" s="121">
        <f t="shared" si="22"/>
        <v>2032</v>
      </c>
      <c r="P14" s="121">
        <f t="shared" si="22"/>
        <v>2033</v>
      </c>
      <c r="Q14" s="121">
        <f t="shared" si="22"/>
        <v>2034</v>
      </c>
      <c r="R14" s="121">
        <f t="shared" ref="R14" si="23">+Q14+1</f>
        <v>2035</v>
      </c>
      <c r="S14" s="121">
        <f t="shared" ref="S14" si="24">+R14+1</f>
        <v>2036</v>
      </c>
      <c r="T14" s="121">
        <f t="shared" ref="T14" si="25">+S14+1</f>
        <v>2037</v>
      </c>
      <c r="U14" s="121">
        <f t="shared" ref="U14" si="26">+T14+1</f>
        <v>2038</v>
      </c>
      <c r="V14" s="121">
        <f t="shared" ref="V14" si="27">+U14+1</f>
        <v>2039</v>
      </c>
      <c r="W14" s="121">
        <f t="shared" ref="W14" si="28">+V14+1</f>
        <v>2040</v>
      </c>
      <c r="X14" s="121">
        <f t="shared" ref="X14" si="29">+W14+1</f>
        <v>2041</v>
      </c>
      <c r="Y14" s="121">
        <f t="shared" ref="Y14" si="30">+X14+1</f>
        <v>2042</v>
      </c>
      <c r="Z14" s="121">
        <f t="shared" ref="Z14:AA14" si="31">+Y14+1</f>
        <v>2043</v>
      </c>
      <c r="AA14" s="121">
        <f t="shared" si="31"/>
        <v>2044</v>
      </c>
      <c r="AB14" s="121">
        <f t="shared" ref="AB14" si="32">+AA14+1</f>
        <v>2045</v>
      </c>
      <c r="AC14" s="121">
        <f t="shared" ref="AC14" si="33">+AB14+1</f>
        <v>2046</v>
      </c>
      <c r="AD14" s="121">
        <f t="shared" ref="AD14" si="34">+AC14+1</f>
        <v>2047</v>
      </c>
      <c r="AE14" s="121">
        <f t="shared" ref="AE14" si="35">+AD14+1</f>
        <v>2048</v>
      </c>
      <c r="AF14" s="121">
        <f t="shared" ref="AF14" si="36">+AE14+1</f>
        <v>2049</v>
      </c>
      <c r="AG14" s="121">
        <f t="shared" ref="AG14" si="37">+AF14+1</f>
        <v>2050</v>
      </c>
      <c r="AH14" s="121">
        <f t="shared" ref="AH14" si="38">+AG14+1</f>
        <v>2051</v>
      </c>
      <c r="AI14" s="121">
        <f t="shared" ref="AI14" si="39">+AH14+1</f>
        <v>2052</v>
      </c>
      <c r="AJ14" s="121">
        <f t="shared" ref="AJ14" si="40">+AI14+1</f>
        <v>2053</v>
      </c>
      <c r="AK14" s="121">
        <f t="shared" ref="AK14" si="41">+AJ14+1</f>
        <v>2054</v>
      </c>
      <c r="AL14" s="121">
        <f t="shared" ref="AL14" si="42">+AK14+1</f>
        <v>2055</v>
      </c>
    </row>
    <row r="15" spans="1:38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  <c r="Q16" s="13">
        <v>1700</v>
      </c>
      <c r="R16" s="13">
        <v>1700</v>
      </c>
      <c r="S16" s="13">
        <v>1700</v>
      </c>
      <c r="T16" s="13">
        <v>1700</v>
      </c>
      <c r="U16" s="13">
        <v>1700</v>
      </c>
      <c r="V16" s="13">
        <v>1700</v>
      </c>
      <c r="W16" s="13">
        <v>1700</v>
      </c>
      <c r="X16" s="13">
        <v>1700</v>
      </c>
      <c r="Y16" s="13">
        <v>1700</v>
      </c>
      <c r="Z16" s="13">
        <v>1700</v>
      </c>
      <c r="AA16" s="13">
        <v>1700</v>
      </c>
      <c r="AB16" s="13">
        <v>1700</v>
      </c>
      <c r="AC16" s="13">
        <v>1700</v>
      </c>
      <c r="AD16" s="13">
        <v>1700</v>
      </c>
      <c r="AE16" s="13">
        <v>1700</v>
      </c>
      <c r="AF16" s="13">
        <v>1700</v>
      </c>
      <c r="AG16" s="13">
        <v>1700</v>
      </c>
      <c r="AH16" s="13">
        <v>1700</v>
      </c>
      <c r="AI16" s="13">
        <v>1700</v>
      </c>
      <c r="AJ16" s="13">
        <v>1700</v>
      </c>
      <c r="AK16" s="13">
        <v>1700</v>
      </c>
      <c r="AL16" s="13">
        <v>1700</v>
      </c>
    </row>
    <row r="17" spans="1:38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</row>
    <row r="18" spans="1:38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  <c r="Q18" s="13">
        <v>2100</v>
      </c>
      <c r="R18" s="13">
        <v>2100</v>
      </c>
      <c r="S18" s="13">
        <v>2100</v>
      </c>
      <c r="T18" s="13">
        <v>2100</v>
      </c>
      <c r="U18" s="13">
        <v>2100</v>
      </c>
      <c r="V18" s="13">
        <v>2100</v>
      </c>
      <c r="W18" s="13">
        <v>2100</v>
      </c>
      <c r="X18" s="13">
        <v>2100</v>
      </c>
      <c r="Y18" s="13">
        <v>2100</v>
      </c>
      <c r="Z18" s="13">
        <v>2100</v>
      </c>
      <c r="AA18" s="13">
        <v>2100</v>
      </c>
      <c r="AB18" s="13">
        <v>2100</v>
      </c>
      <c r="AC18" s="13">
        <v>2100</v>
      </c>
      <c r="AD18" s="13">
        <v>2100</v>
      </c>
      <c r="AE18" s="13">
        <v>2100</v>
      </c>
      <c r="AF18" s="13">
        <v>2100</v>
      </c>
      <c r="AG18" s="13">
        <v>2100</v>
      </c>
      <c r="AH18" s="13">
        <v>2100</v>
      </c>
      <c r="AI18" s="13">
        <v>2100</v>
      </c>
      <c r="AJ18" s="13">
        <v>2100</v>
      </c>
      <c r="AK18" s="13">
        <v>2100</v>
      </c>
      <c r="AL18" s="13">
        <v>2100</v>
      </c>
    </row>
    <row r="19" spans="1:38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</row>
    <row r="20" spans="1:38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  <c r="Q20" s="13">
        <v>2748</v>
      </c>
      <c r="R20" s="13">
        <v>2748</v>
      </c>
      <c r="S20" s="13">
        <v>2748</v>
      </c>
      <c r="T20" s="13">
        <v>2748</v>
      </c>
      <c r="U20" s="13">
        <v>2748</v>
      </c>
      <c r="V20" s="13">
        <v>2748</v>
      </c>
      <c r="W20" s="13">
        <v>2748</v>
      </c>
      <c r="X20" s="13">
        <v>2748</v>
      </c>
      <c r="Y20" s="13">
        <v>2748</v>
      </c>
      <c r="Z20" s="13">
        <v>2748</v>
      </c>
      <c r="AA20" s="13">
        <v>2748</v>
      </c>
      <c r="AB20" s="13">
        <v>2748</v>
      </c>
      <c r="AC20" s="13">
        <v>2748</v>
      </c>
      <c r="AD20" s="13">
        <v>2748</v>
      </c>
      <c r="AE20" s="13">
        <v>2748</v>
      </c>
      <c r="AF20" s="13">
        <v>2748</v>
      </c>
      <c r="AG20" s="13">
        <v>2748</v>
      </c>
      <c r="AH20" s="13">
        <v>2748</v>
      </c>
      <c r="AI20" s="13">
        <v>2748</v>
      </c>
      <c r="AJ20" s="13">
        <v>2748</v>
      </c>
      <c r="AK20" s="13">
        <v>2748</v>
      </c>
      <c r="AL20" s="13">
        <v>2748</v>
      </c>
    </row>
    <row r="21" spans="1:38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</row>
    <row r="22" spans="1:38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Q22" si="43">CHOOSE($F$22,G16,G18,G20)</f>
        <v>2100</v>
      </c>
      <c r="H22" s="14">
        <f t="shared" si="43"/>
        <v>2100</v>
      </c>
      <c r="I22" s="14">
        <f t="shared" si="43"/>
        <v>2100</v>
      </c>
      <c r="J22" s="14">
        <f t="shared" si="43"/>
        <v>2100</v>
      </c>
      <c r="K22" s="14">
        <f t="shared" si="43"/>
        <v>2100</v>
      </c>
      <c r="L22" s="14">
        <f t="shared" si="43"/>
        <v>2100</v>
      </c>
      <c r="M22" s="14">
        <f t="shared" si="43"/>
        <v>2100</v>
      </c>
      <c r="N22" s="14">
        <f t="shared" si="43"/>
        <v>2100</v>
      </c>
      <c r="O22" s="14">
        <f t="shared" si="43"/>
        <v>2100</v>
      </c>
      <c r="P22" s="14">
        <f t="shared" si="43"/>
        <v>2100</v>
      </c>
      <c r="Q22" s="14">
        <f t="shared" si="43"/>
        <v>2100</v>
      </c>
      <c r="R22" s="14">
        <f t="shared" ref="R22:AA22" si="44">CHOOSE($F$22,R16,R18,R20)</f>
        <v>2100</v>
      </c>
      <c r="S22" s="14">
        <f t="shared" si="44"/>
        <v>2100</v>
      </c>
      <c r="T22" s="14">
        <f t="shared" si="44"/>
        <v>2100</v>
      </c>
      <c r="U22" s="14">
        <f t="shared" si="44"/>
        <v>2100</v>
      </c>
      <c r="V22" s="14">
        <f t="shared" si="44"/>
        <v>2100</v>
      </c>
      <c r="W22" s="14">
        <f t="shared" si="44"/>
        <v>2100</v>
      </c>
      <c r="X22" s="14">
        <f t="shared" si="44"/>
        <v>2100</v>
      </c>
      <c r="Y22" s="14">
        <f t="shared" si="44"/>
        <v>2100</v>
      </c>
      <c r="Z22" s="14">
        <f t="shared" si="44"/>
        <v>2100</v>
      </c>
      <c r="AA22" s="14">
        <f t="shared" si="44"/>
        <v>2100</v>
      </c>
      <c r="AB22" s="14">
        <f t="shared" ref="AB22:AL22" si="45">CHOOSE($F$22,AB16,AB18,AB20)</f>
        <v>2100</v>
      </c>
      <c r="AC22" s="14">
        <f t="shared" si="45"/>
        <v>2100</v>
      </c>
      <c r="AD22" s="14">
        <f t="shared" si="45"/>
        <v>2100</v>
      </c>
      <c r="AE22" s="14">
        <f t="shared" si="45"/>
        <v>2100</v>
      </c>
      <c r="AF22" s="14">
        <f t="shared" si="45"/>
        <v>2100</v>
      </c>
      <c r="AG22" s="14">
        <f t="shared" si="45"/>
        <v>2100</v>
      </c>
      <c r="AH22" s="14">
        <f t="shared" si="45"/>
        <v>2100</v>
      </c>
      <c r="AI22" s="14">
        <f t="shared" si="45"/>
        <v>2100</v>
      </c>
      <c r="AJ22" s="14">
        <f t="shared" si="45"/>
        <v>2100</v>
      </c>
      <c r="AK22" s="14">
        <f t="shared" si="45"/>
        <v>2100</v>
      </c>
      <c r="AL22" s="14">
        <f t="shared" si="45"/>
        <v>2100</v>
      </c>
    </row>
    <row r="23" spans="1:38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</row>
    <row r="25" spans="1:38" ht="17" customHeight="1" outlineLevel="1" x14ac:dyDescent="0.15">
      <c r="A25" s="77" t="s">
        <v>272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Q25" si="46">+G25+1</f>
        <v>2025</v>
      </c>
      <c r="I25" s="121">
        <f t="shared" si="46"/>
        <v>2026</v>
      </c>
      <c r="J25" s="121">
        <f t="shared" si="46"/>
        <v>2027</v>
      </c>
      <c r="K25" s="121">
        <f t="shared" si="46"/>
        <v>2028</v>
      </c>
      <c r="L25" s="121">
        <f t="shared" si="46"/>
        <v>2029</v>
      </c>
      <c r="M25" s="121">
        <f t="shared" si="46"/>
        <v>2030</v>
      </c>
      <c r="N25" s="121">
        <f t="shared" si="46"/>
        <v>2031</v>
      </c>
      <c r="O25" s="121">
        <f t="shared" si="46"/>
        <v>2032</v>
      </c>
      <c r="P25" s="121">
        <f t="shared" si="46"/>
        <v>2033</v>
      </c>
      <c r="Q25" s="121">
        <f t="shared" si="46"/>
        <v>2034</v>
      </c>
      <c r="R25" s="121">
        <f t="shared" ref="R25" si="47">+Q25+1</f>
        <v>2035</v>
      </c>
      <c r="S25" s="121">
        <f t="shared" ref="S25" si="48">+R25+1</f>
        <v>2036</v>
      </c>
      <c r="T25" s="121">
        <f t="shared" ref="T25" si="49">+S25+1</f>
        <v>2037</v>
      </c>
      <c r="U25" s="121">
        <f t="shared" ref="U25" si="50">+T25+1</f>
        <v>2038</v>
      </c>
      <c r="V25" s="121">
        <f t="shared" ref="V25" si="51">+U25+1</f>
        <v>2039</v>
      </c>
      <c r="W25" s="121">
        <f t="shared" ref="W25" si="52">+V25+1</f>
        <v>2040</v>
      </c>
      <c r="X25" s="121">
        <f t="shared" ref="X25" si="53">+W25+1</f>
        <v>2041</v>
      </c>
      <c r="Y25" s="121">
        <f t="shared" ref="Y25" si="54">+X25+1</f>
        <v>2042</v>
      </c>
      <c r="Z25" s="121">
        <f t="shared" ref="Z25:AA25" si="55">+Y25+1</f>
        <v>2043</v>
      </c>
      <c r="AA25" s="121">
        <f t="shared" si="55"/>
        <v>2044</v>
      </c>
      <c r="AB25" s="121">
        <f t="shared" ref="AB25" si="56">+AA25+1</f>
        <v>2045</v>
      </c>
      <c r="AC25" s="121">
        <f t="shared" ref="AC25" si="57">+AB25+1</f>
        <v>2046</v>
      </c>
      <c r="AD25" s="121">
        <f t="shared" ref="AD25" si="58">+AC25+1</f>
        <v>2047</v>
      </c>
      <c r="AE25" s="121">
        <f t="shared" ref="AE25" si="59">+AD25+1</f>
        <v>2048</v>
      </c>
      <c r="AF25" s="121">
        <f t="shared" ref="AF25" si="60">+AE25+1</f>
        <v>2049</v>
      </c>
      <c r="AG25" s="121">
        <f t="shared" ref="AG25" si="61">+AF25+1</f>
        <v>2050</v>
      </c>
      <c r="AH25" s="121">
        <f t="shared" ref="AH25" si="62">+AG25+1</f>
        <v>2051</v>
      </c>
      <c r="AI25" s="121">
        <f t="shared" ref="AI25" si="63">+AH25+1</f>
        <v>2052</v>
      </c>
      <c r="AJ25" s="121">
        <f t="shared" ref="AJ25" si="64">+AI25+1</f>
        <v>2053</v>
      </c>
      <c r="AK25" s="121">
        <f t="shared" ref="AK25" si="65">+AJ25+1</f>
        <v>2054</v>
      </c>
      <c r="AL25" s="121">
        <f t="shared" ref="AL25" si="66">+AK25+1</f>
        <v>2055</v>
      </c>
    </row>
    <row r="26" spans="1:38" ht="16.5" customHeight="1" outlineLevel="1" x14ac:dyDescent="0.15">
      <c r="A26" s="89">
        <v>45474</v>
      </c>
      <c r="B26" s="77"/>
      <c r="C26" s="77"/>
      <c r="D26" s="114" t="s">
        <v>284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</row>
    <row r="27" spans="1:38" ht="16.5" customHeight="1" outlineLevel="1" x14ac:dyDescent="0.15">
      <c r="A27" s="77"/>
      <c r="B27" s="77"/>
      <c r="C27" s="77"/>
      <c r="D27" s="77" t="s">
        <v>87</v>
      </c>
      <c r="E27" s="77" t="s">
        <v>88</v>
      </c>
      <c r="F27" s="148">
        <f>F47</f>
        <v>9410000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7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7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ht="16.5" customHeight="1" outlineLevel="1" x14ac:dyDescent="0.15">
      <c r="A30" s="77"/>
      <c r="B30" s="77"/>
      <c r="C30" s="77"/>
      <c r="D30" s="77" t="s">
        <v>94</v>
      </c>
      <c r="E30" s="77"/>
      <c r="F30" s="7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ht="16.5" customHeight="1" outlineLevel="1" x14ac:dyDescent="0.15">
      <c r="A31" s="77"/>
      <c r="B31" s="77"/>
      <c r="C31" s="77"/>
      <c r="D31" s="114" t="s">
        <v>285</v>
      </c>
      <c r="E31" s="77"/>
      <c r="F31" s="7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 ht="16.5" customHeight="1" outlineLevel="1" x14ac:dyDescent="0.15">
      <c r="A32" s="77"/>
      <c r="B32" s="77"/>
      <c r="C32" s="77"/>
      <c r="D32" s="77" t="s">
        <v>87</v>
      </c>
      <c r="E32" s="77" t="s">
        <v>88</v>
      </c>
      <c r="F32" s="148">
        <f>F55</f>
        <v>108320000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 ht="16.5" customHeight="1" outlineLevel="1" x14ac:dyDescent="0.15">
      <c r="A33" s="77"/>
      <c r="B33" s="77"/>
      <c r="C33" s="77"/>
      <c r="D33" s="77" t="s">
        <v>90</v>
      </c>
      <c r="E33" s="77" t="s">
        <v>91</v>
      </c>
      <c r="F33" s="77"/>
      <c r="G33" s="16"/>
      <c r="H33" s="16"/>
      <c r="I33" s="16"/>
      <c r="J33" s="16"/>
      <c r="K33" s="16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</row>
    <row r="34" spans="1:38" ht="16.5" customHeight="1" outlineLevel="1" x14ac:dyDescent="0.15">
      <c r="A34" s="77"/>
      <c r="B34" s="77"/>
      <c r="C34" s="77"/>
      <c r="D34" s="77" t="s">
        <v>92</v>
      </c>
      <c r="E34" s="77" t="s">
        <v>93</v>
      </c>
      <c r="F34" s="77"/>
      <c r="G34" s="118"/>
      <c r="H34" s="118"/>
      <c r="I34" s="118"/>
      <c r="J34" s="118"/>
      <c r="K34" s="118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</row>
    <row r="35" spans="1:38" ht="16.5" customHeight="1" outlineLevel="1" x14ac:dyDescent="0.15">
      <c r="A35" s="77"/>
      <c r="B35" s="77"/>
      <c r="C35" s="77"/>
      <c r="D35" s="77" t="s">
        <v>94</v>
      </c>
      <c r="E35" s="77"/>
      <c r="F35" s="77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</row>
    <row r="36" spans="1:38" ht="16.5" customHeight="1" outlineLevel="1" x14ac:dyDescent="0.15">
      <c r="A36" s="77"/>
      <c r="B36" s="77"/>
      <c r="C36" s="77"/>
      <c r="D36" s="114" t="s">
        <v>286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</row>
    <row r="37" spans="1:38" ht="16.5" customHeight="1" outlineLevel="1" x14ac:dyDescent="0.15">
      <c r="A37" s="77"/>
      <c r="B37" s="77"/>
      <c r="C37" s="77"/>
      <c r="D37" s="77" t="s">
        <v>87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</row>
    <row r="38" spans="1:38" ht="16.5" customHeight="1" outlineLevel="1" x14ac:dyDescent="0.15">
      <c r="A38" s="77"/>
      <c r="B38" s="77"/>
      <c r="C38" s="77"/>
      <c r="D38" s="77" t="s">
        <v>90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</row>
    <row r="39" spans="1:38" ht="16.5" customHeight="1" outlineLevel="1" x14ac:dyDescent="0.15">
      <c r="A39" s="77"/>
      <c r="B39" s="77"/>
      <c r="C39" s="77"/>
      <c r="D39" s="77" t="s">
        <v>92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</row>
    <row r="40" spans="1:38" ht="16.5" customHeight="1" outlineLevel="1" x14ac:dyDescent="0.15">
      <c r="A40" s="77"/>
      <c r="B40" s="77"/>
      <c r="C40" s="77"/>
      <c r="D40" s="77" t="s">
        <v>94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</row>
    <row r="41" spans="1:38" ht="16.5" customHeight="1" outlineLevel="1" x14ac:dyDescent="0.1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</row>
    <row r="42" spans="1:38" ht="16.5" customHeight="1" outlineLevel="1" x14ac:dyDescent="0.15">
      <c r="A42" s="77" t="s">
        <v>272</v>
      </c>
      <c r="B42" s="77"/>
      <c r="C42" s="77"/>
      <c r="D42" s="6" t="s">
        <v>95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</row>
    <row r="43" spans="1:38" ht="16.5" customHeight="1" outlineLevel="1" x14ac:dyDescent="0.15">
      <c r="A43" s="89">
        <v>45474</v>
      </c>
      <c r="B43" s="77"/>
      <c r="C43" s="77"/>
      <c r="D43" s="121" t="s">
        <v>81</v>
      </c>
      <c r="E43" s="121"/>
      <c r="F43" s="97" t="s">
        <v>96</v>
      </c>
      <c r="G43" s="97" t="s">
        <v>97</v>
      </c>
      <c r="H43" s="97" t="s">
        <v>98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</row>
    <row r="44" spans="1:38" ht="16.5" customHeight="1" outlineLevel="1" x14ac:dyDescent="0.15">
      <c r="A44" s="77"/>
      <c r="B44" s="77"/>
      <c r="C44" s="77"/>
      <c r="D44" s="114" t="s">
        <v>284</v>
      </c>
      <c r="E44" s="77"/>
      <c r="F44" s="96"/>
      <c r="G44" s="206"/>
      <c r="H44" s="9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</row>
    <row r="45" spans="1:38" ht="16.5" customHeight="1" outlineLevel="1" x14ac:dyDescent="0.15">
      <c r="A45" s="77"/>
      <c r="B45" s="77"/>
      <c r="C45" s="77"/>
      <c r="D45" s="77" t="s">
        <v>100</v>
      </c>
      <c r="E45" s="77"/>
      <c r="F45" s="82">
        <f>4210000</f>
        <v>4210000</v>
      </c>
      <c r="G45" s="115">
        <v>5.08</v>
      </c>
      <c r="H45" s="81">
        <f>F45*G45*$F$10</f>
        <v>687601.5867139328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</row>
    <row r="46" spans="1:38" ht="16.5" customHeight="1" outlineLevel="1" x14ac:dyDescent="0.15">
      <c r="A46" s="143"/>
      <c r="B46" s="143"/>
      <c r="C46" s="143"/>
      <c r="D46" s="77" t="s">
        <v>101</v>
      </c>
      <c r="E46" s="77"/>
      <c r="F46" s="13">
        <v>5200000</v>
      </c>
      <c r="G46" s="115">
        <v>3.54</v>
      </c>
      <c r="H46" s="81">
        <f>F46*G46*$F$10</f>
        <v>591830.94283530384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</row>
    <row r="47" spans="1:38" ht="16.5" customHeight="1" outlineLevel="1" x14ac:dyDescent="0.15">
      <c r="A47" s="77"/>
      <c r="B47" s="77"/>
      <c r="C47" s="77"/>
      <c r="D47" s="77" t="s">
        <v>102</v>
      </c>
      <c r="E47" s="77"/>
      <c r="F47" s="144">
        <f>SUM(F45:F46)</f>
        <v>9410000</v>
      </c>
      <c r="G47" s="19">
        <f>H47*$F$12/F47</f>
        <v>4.2289904357066943</v>
      </c>
      <c r="H47" s="12">
        <f>SUM(H45:H46)</f>
        <v>1279432.5295492366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</row>
    <row r="48" spans="1:38" ht="16.5" customHeight="1" outlineLevel="1" x14ac:dyDescent="0.15">
      <c r="A48" s="77"/>
      <c r="B48" s="77"/>
      <c r="C48" s="77"/>
      <c r="D48" s="114" t="s">
        <v>285</v>
      </c>
      <c r="E48" s="77"/>
      <c r="F48" s="123"/>
      <c r="G48" s="117"/>
      <c r="H48" s="81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</row>
    <row r="49" spans="1:38" ht="16.5" customHeight="1" outlineLevel="1" x14ac:dyDescent="0.15">
      <c r="A49" s="77"/>
      <c r="B49" s="77"/>
      <c r="C49" s="77"/>
      <c r="D49" s="77" t="s">
        <v>100</v>
      </c>
      <c r="E49" s="77"/>
      <c r="F49" s="82">
        <v>33790000</v>
      </c>
      <c r="G49" s="115">
        <v>0.56999999999999995</v>
      </c>
      <c r="H49" s="81">
        <f>F49*G49*$F$10</f>
        <v>619233.02413574548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</row>
    <row r="50" spans="1:38" ht="16.5" customHeight="1" outlineLevel="1" x14ac:dyDescent="0.15">
      <c r="A50" s="77"/>
      <c r="B50" s="77"/>
      <c r="C50" s="77"/>
      <c r="D50" s="77" t="s">
        <v>101</v>
      </c>
      <c r="E50" s="77"/>
      <c r="F50" s="13">
        <v>127930000</v>
      </c>
      <c r="G50" s="16">
        <v>2.11</v>
      </c>
      <c r="H50" s="81">
        <f>F50*G50*$F$10</f>
        <v>8678524.9679868575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</row>
    <row r="51" spans="1:38" ht="16.5" customHeight="1" outlineLevel="1" x14ac:dyDescent="0.15">
      <c r="A51" s="77"/>
      <c r="B51" s="77"/>
      <c r="C51" s="77"/>
      <c r="D51" s="77" t="s">
        <v>102</v>
      </c>
      <c r="E51" s="77"/>
      <c r="F51" s="144">
        <f>SUM(F49:F50)</f>
        <v>161720000</v>
      </c>
      <c r="G51" s="19">
        <f>H51*$F$12/F51</f>
        <v>1.7882302745486025</v>
      </c>
      <c r="H51" s="12">
        <f>SUM(H49:H50)</f>
        <v>9297757.9921226036</v>
      </c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</row>
    <row r="52" spans="1:38" ht="16.5" customHeight="1" outlineLevel="1" x14ac:dyDescent="0.15">
      <c r="A52" s="77"/>
      <c r="B52" s="77"/>
      <c r="C52" s="77"/>
      <c r="D52" s="114" t="s">
        <v>286</v>
      </c>
      <c r="E52" s="77"/>
      <c r="F52" s="123"/>
      <c r="G52" s="117"/>
      <c r="H52" s="81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</row>
    <row r="53" spans="1:38" ht="16.5" customHeight="1" outlineLevel="1" x14ac:dyDescent="0.15">
      <c r="A53" s="77"/>
      <c r="B53" s="77"/>
      <c r="C53" s="77"/>
      <c r="D53" s="77" t="s">
        <v>100</v>
      </c>
      <c r="E53" s="77"/>
      <c r="F53" s="82"/>
      <c r="G53" s="115"/>
      <c r="H53" s="81"/>
    </row>
    <row r="54" spans="1:38" ht="16.5" customHeight="1" outlineLevel="1" x14ac:dyDescent="0.15">
      <c r="A54" s="77"/>
      <c r="B54" s="77"/>
      <c r="C54" s="77"/>
      <c r="D54" s="77" t="s">
        <v>101</v>
      </c>
      <c r="E54" s="77"/>
      <c r="F54" s="13">
        <v>108320000</v>
      </c>
      <c r="G54" s="16">
        <v>0.28000000000000003</v>
      </c>
      <c r="H54" s="81">
        <f>F54*G54*$F$10</f>
        <v>975119.28312785923</v>
      </c>
    </row>
    <row r="55" spans="1:38" ht="16.5" customHeight="1" outlineLevel="1" x14ac:dyDescent="0.15">
      <c r="A55" s="77"/>
      <c r="B55" s="77"/>
      <c r="C55" s="77"/>
      <c r="D55" s="77" t="s">
        <v>102</v>
      </c>
      <c r="E55" s="77"/>
      <c r="F55" s="144">
        <f>SUM(F53:F54)</f>
        <v>108320000</v>
      </c>
      <c r="G55" s="19">
        <f>H55*$F$12/F55</f>
        <v>0.28000000000000003</v>
      </c>
      <c r="H55" s="12">
        <f>SUM(H53:H54)</f>
        <v>975119.28312785923</v>
      </c>
    </row>
    <row r="56" spans="1:38" ht="16.5" customHeight="1" outlineLevel="1" x14ac:dyDescent="0.15">
      <c r="A56" s="77"/>
      <c r="B56" s="77"/>
      <c r="C56" s="77"/>
      <c r="D56" s="10" t="s">
        <v>64</v>
      </c>
      <c r="E56" s="92"/>
      <c r="F56" s="144">
        <f>F47+F55+F51</f>
        <v>279450000</v>
      </c>
      <c r="G56" s="19">
        <f>H56*$F$12/F56</f>
        <v>1.2858006799069599</v>
      </c>
      <c r="H56" s="12">
        <f>H47+H55+H51</f>
        <v>11552309.804799698</v>
      </c>
    </row>
    <row r="57" spans="1:38" ht="16.5" customHeight="1" outlineLevel="1" x14ac:dyDescent="0.15">
      <c r="A57" s="77"/>
      <c r="B57" s="77"/>
      <c r="C57" s="77"/>
      <c r="D57" s="77"/>
      <c r="E57" s="77"/>
      <c r="F57" s="77"/>
      <c r="G57" s="77"/>
      <c r="H57" s="77"/>
    </row>
    <row r="58" spans="1:38" ht="16.5" customHeight="1" outlineLevel="1" x14ac:dyDescent="0.15">
      <c r="A58" s="77" t="s">
        <v>273</v>
      </c>
      <c r="B58" s="77"/>
      <c r="C58" s="77"/>
      <c r="D58" s="86" t="s">
        <v>137</v>
      </c>
      <c r="E58" s="121"/>
      <c r="F58" s="121"/>
      <c r="G58" s="77"/>
      <c r="H58" s="77"/>
      <c r="I58" s="77"/>
    </row>
    <row r="59" spans="1:38" ht="16.5" customHeight="1" outlineLevel="1" x14ac:dyDescent="0.15">
      <c r="A59" s="89"/>
      <c r="B59" s="77"/>
      <c r="C59" s="77"/>
      <c r="D59" s="77" t="s">
        <v>141</v>
      </c>
      <c r="E59" s="77"/>
      <c r="F59" s="26">
        <v>0.3</v>
      </c>
      <c r="G59" s="77"/>
      <c r="H59" s="77"/>
      <c r="I59" s="77"/>
    </row>
    <row r="60" spans="1:38" outlineLevel="1" x14ac:dyDescent="0.15">
      <c r="A60" s="77"/>
      <c r="B60" s="77"/>
      <c r="C60" s="77"/>
      <c r="D60" s="77"/>
      <c r="E60" s="77"/>
      <c r="F60" s="77"/>
      <c r="G60" s="77"/>
      <c r="H60" s="77"/>
      <c r="I60" s="77"/>
    </row>
    <row r="61" spans="1:38" outlineLevel="1" x14ac:dyDescent="0.15">
      <c r="A61" s="77"/>
      <c r="B61" s="77"/>
      <c r="C61" s="77"/>
      <c r="D61" s="77" t="s">
        <v>262</v>
      </c>
      <c r="E61" s="77"/>
      <c r="F61" s="83">
        <v>3.1E-2</v>
      </c>
      <c r="G61" s="77"/>
      <c r="H61" s="77"/>
      <c r="I61" s="77"/>
    </row>
    <row r="62" spans="1:38" outlineLevel="1" x14ac:dyDescent="0.15">
      <c r="A62" s="77"/>
      <c r="B62" s="77"/>
      <c r="C62" s="77"/>
      <c r="D62" s="77" t="s">
        <v>263</v>
      </c>
      <c r="E62" s="77"/>
      <c r="F62" s="95">
        <v>0.89</v>
      </c>
      <c r="G62" s="77"/>
      <c r="H62" s="77"/>
      <c r="I62" s="77"/>
    </row>
    <row r="63" spans="1:38" outlineLevel="1" x14ac:dyDescent="0.15">
      <c r="A63" s="77"/>
      <c r="B63" s="77"/>
      <c r="C63" s="77"/>
      <c r="D63" s="77" t="s">
        <v>264</v>
      </c>
      <c r="E63" s="77"/>
      <c r="F63" s="83">
        <v>0.09</v>
      </c>
      <c r="G63" s="77"/>
      <c r="H63" s="77"/>
      <c r="I63" s="77"/>
    </row>
    <row r="64" spans="1:38" outlineLevel="1" x14ac:dyDescent="0.15">
      <c r="A64" s="77"/>
      <c r="B64" s="77"/>
      <c r="C64" s="77"/>
      <c r="D64" s="77" t="s">
        <v>265</v>
      </c>
      <c r="E64" s="77"/>
      <c r="F64" s="83">
        <f>F61+F62*F63</f>
        <v>0.1111</v>
      </c>
      <c r="G64" s="77"/>
      <c r="H64" s="77"/>
      <c r="I64" s="77"/>
    </row>
    <row r="65" spans="1:38" outlineLevel="1" x14ac:dyDescent="0.15">
      <c r="A65" s="77"/>
      <c r="B65" s="77"/>
      <c r="C65" s="77"/>
      <c r="D65" s="77" t="s">
        <v>266</v>
      </c>
      <c r="E65" s="77"/>
      <c r="F65" s="83">
        <f>26.5%</f>
        <v>0.26500000000000001</v>
      </c>
      <c r="G65" s="77"/>
      <c r="H65" s="77"/>
      <c r="I65" s="77"/>
    </row>
    <row r="66" spans="1:38" outlineLevel="1" x14ac:dyDescent="0.15">
      <c r="A66" s="77"/>
      <c r="B66" s="77"/>
      <c r="C66" s="77"/>
      <c r="D66" s="77" t="s">
        <v>267</v>
      </c>
      <c r="E66" s="77"/>
      <c r="F66" s="83">
        <f>9.5/56.8</f>
        <v>0.16725352112676056</v>
      </c>
      <c r="G66" s="77"/>
      <c r="H66" s="77"/>
      <c r="I66" s="77"/>
    </row>
    <row r="67" spans="1:38" outlineLevel="1" x14ac:dyDescent="0.15">
      <c r="A67" s="77"/>
      <c r="B67" s="77"/>
      <c r="C67" s="77"/>
      <c r="D67" s="77" t="s">
        <v>147</v>
      </c>
      <c r="E67" s="77"/>
      <c r="F67" s="83">
        <f>F66*F65*(1-F59)+F64*(1-F65)</f>
        <v>0.11268402816901407</v>
      </c>
      <c r="G67" s="77"/>
      <c r="H67" s="77"/>
      <c r="I67" s="77"/>
    </row>
    <row r="68" spans="1:38" outlineLevel="1" x14ac:dyDescent="0.15">
      <c r="A68" s="77"/>
      <c r="B68" s="77"/>
      <c r="C68" s="77"/>
      <c r="D68" s="77" t="s">
        <v>148</v>
      </c>
      <c r="E68" s="77"/>
      <c r="F68" s="83">
        <v>2.4E-2</v>
      </c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</row>
    <row r="69" spans="1:38" outlineLevel="1" x14ac:dyDescent="0.15">
      <c r="A69" s="77"/>
      <c r="B69" s="77"/>
      <c r="C69" s="77"/>
      <c r="D69" s="6" t="s">
        <v>149</v>
      </c>
      <c r="E69" s="77"/>
      <c r="F69" s="83">
        <f>F67-F68</f>
        <v>8.8684028169014079E-2</v>
      </c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</row>
    <row r="70" spans="1:38" outlineLevel="1" x14ac:dyDescent="0.15">
      <c r="A70" s="77"/>
      <c r="B70" s="77"/>
      <c r="C70" s="77"/>
      <c r="D70" s="6"/>
      <c r="E70" s="77"/>
      <c r="F70" s="83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</row>
    <row r="71" spans="1:38" outlineLevel="1" x14ac:dyDescent="0.15">
      <c r="A71" s="77"/>
      <c r="B71" s="77"/>
      <c r="C71" s="77"/>
      <c r="D71" s="6" t="s">
        <v>150</v>
      </c>
      <c r="E71" s="77"/>
      <c r="F71" s="95">
        <v>0.47</v>
      </c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</row>
    <row r="72" spans="1:38" outlineLevel="1" x14ac:dyDescent="0.15">
      <c r="A72" s="77"/>
      <c r="B72" s="77"/>
      <c r="C72" s="77"/>
      <c r="D72" s="6"/>
      <c r="E72" s="77"/>
      <c r="F72" s="83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</row>
    <row r="73" spans="1:38" outlineLevel="1" x14ac:dyDescent="0.15">
      <c r="A73" s="77"/>
      <c r="B73" s="77"/>
      <c r="C73" s="77"/>
      <c r="D73" s="6" t="s">
        <v>151</v>
      </c>
      <c r="E73" s="77"/>
      <c r="F73" s="53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</row>
    <row r="74" spans="1:38" ht="13.5" customHeight="1" x14ac:dyDescent="0.15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</row>
    <row r="75" spans="1:38" s="50" customFormat="1" ht="18.75" customHeight="1" x14ac:dyDescent="0.2">
      <c r="A75" s="107" t="s">
        <v>152</v>
      </c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</row>
    <row r="76" spans="1:38" s="33" customFormat="1" outlineLevel="1" x14ac:dyDescent="0.15">
      <c r="A76" s="73" t="s">
        <v>166</v>
      </c>
      <c r="B76" s="74"/>
      <c r="C76" s="74"/>
      <c r="D76" s="75"/>
      <c r="E76" s="75"/>
      <c r="F76" s="74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</row>
    <row r="77" spans="1:38" s="33" customFormat="1" outlineLevel="1" x14ac:dyDescent="0.15">
      <c r="A77" s="78"/>
      <c r="B77" s="78"/>
      <c r="C77" s="78"/>
      <c r="D77" s="79"/>
      <c r="E77" s="150"/>
      <c r="F77" s="15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</row>
    <row r="78" spans="1:38" s="33" customFormat="1" outlineLevel="1" x14ac:dyDescent="0.15">
      <c r="A78" s="78" t="s">
        <v>167</v>
      </c>
      <c r="B78" s="78"/>
      <c r="C78" s="78"/>
      <c r="D78" s="79"/>
      <c r="E78" s="150"/>
      <c r="F78" s="15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</row>
    <row r="79" spans="1:38" s="33" customFormat="1" outlineLevel="1" x14ac:dyDescent="0.15">
      <c r="A79" s="78"/>
      <c r="B79" s="114" t="s">
        <v>284</v>
      </c>
      <c r="C79" s="78"/>
      <c r="D79" s="79" t="s">
        <v>156</v>
      </c>
      <c r="E79" s="150">
        <f>IFERROR(AVERAGE(G79:P79),"na")</f>
        <v>0</v>
      </c>
      <c r="F79" s="152">
        <f>SUM(G79:P79)</f>
        <v>0</v>
      </c>
      <c r="G79" s="78">
        <f t="shared" ref="G79:Q79" si="67">G27</f>
        <v>0</v>
      </c>
      <c r="H79" s="78">
        <f t="shared" si="67"/>
        <v>0</v>
      </c>
      <c r="I79" s="78">
        <f t="shared" si="67"/>
        <v>0</v>
      </c>
      <c r="J79" s="78">
        <f t="shared" si="67"/>
        <v>0</v>
      </c>
      <c r="K79" s="78">
        <f t="shared" si="67"/>
        <v>0</v>
      </c>
      <c r="L79" s="78">
        <f t="shared" si="67"/>
        <v>0</v>
      </c>
      <c r="M79" s="78">
        <f t="shared" si="67"/>
        <v>0</v>
      </c>
      <c r="N79" s="78">
        <f t="shared" si="67"/>
        <v>0</v>
      </c>
      <c r="O79" s="78">
        <f t="shared" si="67"/>
        <v>0</v>
      </c>
      <c r="P79" s="78">
        <f t="shared" si="67"/>
        <v>0</v>
      </c>
      <c r="Q79" s="78">
        <f t="shared" si="67"/>
        <v>0</v>
      </c>
      <c r="R79" s="78">
        <f t="shared" ref="R79:Z79" si="68">R27</f>
        <v>0</v>
      </c>
      <c r="S79" s="78">
        <f t="shared" si="68"/>
        <v>0</v>
      </c>
      <c r="T79" s="78">
        <f t="shared" si="68"/>
        <v>0</v>
      </c>
      <c r="U79" s="78">
        <f t="shared" si="68"/>
        <v>0</v>
      </c>
      <c r="V79" s="78">
        <f t="shared" si="68"/>
        <v>0</v>
      </c>
      <c r="W79" s="78">
        <f t="shared" si="68"/>
        <v>0</v>
      </c>
      <c r="X79" s="78">
        <f t="shared" si="68"/>
        <v>0</v>
      </c>
      <c r="Y79" s="78">
        <f t="shared" si="68"/>
        <v>0</v>
      </c>
      <c r="Z79" s="78">
        <f t="shared" si="68"/>
        <v>0</v>
      </c>
      <c r="AA79" s="78">
        <f>AA27</f>
        <v>0</v>
      </c>
      <c r="AB79" s="78">
        <f t="shared" ref="AB79:AL79" si="69">AB27</f>
        <v>0</v>
      </c>
      <c r="AC79" s="78">
        <f t="shared" si="69"/>
        <v>0</v>
      </c>
      <c r="AD79" s="78">
        <f t="shared" si="69"/>
        <v>0</v>
      </c>
      <c r="AE79" s="78">
        <f t="shared" si="69"/>
        <v>0</v>
      </c>
      <c r="AF79" s="78">
        <f t="shared" si="69"/>
        <v>0</v>
      </c>
      <c r="AG79" s="78">
        <f t="shared" si="69"/>
        <v>0</v>
      </c>
      <c r="AH79" s="78">
        <f t="shared" si="69"/>
        <v>0</v>
      </c>
      <c r="AI79" s="78">
        <f t="shared" si="69"/>
        <v>0</v>
      </c>
      <c r="AJ79" s="78">
        <f t="shared" si="69"/>
        <v>0</v>
      </c>
      <c r="AK79" s="78">
        <f t="shared" si="69"/>
        <v>0</v>
      </c>
      <c r="AL79" s="78">
        <f t="shared" si="69"/>
        <v>0</v>
      </c>
    </row>
    <row r="80" spans="1:38" s="33" customFormat="1" outlineLevel="1" x14ac:dyDescent="0.15">
      <c r="A80" s="78"/>
      <c r="B80" s="114" t="s">
        <v>285</v>
      </c>
      <c r="C80" s="78"/>
      <c r="D80" s="79" t="s">
        <v>156</v>
      </c>
      <c r="E80" s="150">
        <f>IFERROR(AVERAGE(G80:P80),"na")</f>
        <v>0</v>
      </c>
      <c r="F80" s="152">
        <f>SUM(G80:P80)</f>
        <v>0</v>
      </c>
      <c r="G80" s="78">
        <f t="shared" ref="G80:Q80" si="70">G32</f>
        <v>0</v>
      </c>
      <c r="H80" s="78">
        <f t="shared" si="70"/>
        <v>0</v>
      </c>
      <c r="I80" s="78">
        <f t="shared" si="70"/>
        <v>0</v>
      </c>
      <c r="J80" s="78">
        <f t="shared" si="70"/>
        <v>0</v>
      </c>
      <c r="K80" s="78">
        <f t="shared" si="70"/>
        <v>0</v>
      </c>
      <c r="L80" s="78">
        <f t="shared" si="70"/>
        <v>0</v>
      </c>
      <c r="M80" s="78">
        <f t="shared" si="70"/>
        <v>0</v>
      </c>
      <c r="N80" s="78">
        <f t="shared" si="70"/>
        <v>0</v>
      </c>
      <c r="O80" s="78">
        <f t="shared" si="70"/>
        <v>0</v>
      </c>
      <c r="P80" s="78">
        <f t="shared" si="70"/>
        <v>0</v>
      </c>
      <c r="Q80" s="78">
        <f t="shared" si="70"/>
        <v>0</v>
      </c>
      <c r="R80" s="78">
        <f t="shared" ref="R80:Z80" si="71">R32</f>
        <v>0</v>
      </c>
      <c r="S80" s="78">
        <f t="shared" si="71"/>
        <v>0</v>
      </c>
      <c r="T80" s="78">
        <f t="shared" si="71"/>
        <v>0</v>
      </c>
      <c r="U80" s="78">
        <f t="shared" si="71"/>
        <v>0</v>
      </c>
      <c r="V80" s="78">
        <f t="shared" si="71"/>
        <v>0</v>
      </c>
      <c r="W80" s="78">
        <f t="shared" si="71"/>
        <v>0</v>
      </c>
      <c r="X80" s="78">
        <f t="shared" si="71"/>
        <v>0</v>
      </c>
      <c r="Y80" s="78">
        <f t="shared" si="71"/>
        <v>0</v>
      </c>
      <c r="Z80" s="78">
        <f t="shared" si="71"/>
        <v>0</v>
      </c>
      <c r="AA80" s="78">
        <f>AA32</f>
        <v>0</v>
      </c>
      <c r="AB80" s="78">
        <f t="shared" ref="AB80:AL80" si="72">AB32</f>
        <v>0</v>
      </c>
      <c r="AC80" s="78">
        <f t="shared" si="72"/>
        <v>0</v>
      </c>
      <c r="AD80" s="78">
        <f t="shared" si="72"/>
        <v>0</v>
      </c>
      <c r="AE80" s="78">
        <f t="shared" si="72"/>
        <v>0</v>
      </c>
      <c r="AF80" s="78">
        <f t="shared" si="72"/>
        <v>0</v>
      </c>
      <c r="AG80" s="78">
        <f t="shared" si="72"/>
        <v>0</v>
      </c>
      <c r="AH80" s="78">
        <f t="shared" si="72"/>
        <v>0</v>
      </c>
      <c r="AI80" s="78">
        <f t="shared" si="72"/>
        <v>0</v>
      </c>
      <c r="AJ80" s="78">
        <f t="shared" si="72"/>
        <v>0</v>
      </c>
      <c r="AK80" s="78">
        <f t="shared" si="72"/>
        <v>0</v>
      </c>
      <c r="AL80" s="78">
        <f t="shared" si="72"/>
        <v>0</v>
      </c>
    </row>
    <row r="81" spans="1:38" s="33" customFormat="1" outlineLevel="1" x14ac:dyDescent="0.15">
      <c r="A81" s="78"/>
      <c r="B81" s="114" t="s">
        <v>286</v>
      </c>
      <c r="C81" s="78"/>
      <c r="D81" s="79"/>
      <c r="E81" s="150"/>
      <c r="F81" s="152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</row>
    <row r="82" spans="1:38" s="33" customFormat="1" outlineLevel="1" x14ac:dyDescent="0.15">
      <c r="A82" s="78" t="s">
        <v>92</v>
      </c>
      <c r="B82" s="78"/>
      <c r="C82" s="78"/>
      <c r="D82" s="79"/>
      <c r="E82" s="79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</row>
    <row r="83" spans="1:38" s="33" customFormat="1" outlineLevel="1" x14ac:dyDescent="0.15">
      <c r="A83" s="78"/>
      <c r="B83" s="114" t="s">
        <v>284</v>
      </c>
      <c r="C83" s="78"/>
      <c r="D83" s="79" t="s">
        <v>93</v>
      </c>
      <c r="E83" s="159" t="str">
        <f>IFERROR(AVERAGE(G83:P83),"na")</f>
        <v>na</v>
      </c>
      <c r="F83" s="160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33" customFormat="1" outlineLevel="1" x14ac:dyDescent="0.15">
      <c r="A84" s="78"/>
      <c r="B84" s="114" t="s">
        <v>285</v>
      </c>
      <c r="C84" s="78"/>
      <c r="D84" s="79" t="s">
        <v>93</v>
      </c>
      <c r="E84" s="159" t="str">
        <f>IFERROR(AVERAGE(G84:P84),"na")</f>
        <v>na</v>
      </c>
      <c r="F84" s="160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33" customFormat="1" outlineLevel="1" x14ac:dyDescent="0.15">
      <c r="A85" s="78"/>
      <c r="B85" s="114" t="s">
        <v>286</v>
      </c>
      <c r="C85" s="78"/>
      <c r="D85" s="79"/>
      <c r="E85" s="150"/>
      <c r="F85" s="78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:38" s="33" customFormat="1" outlineLevel="1" x14ac:dyDescent="0.15">
      <c r="A86" s="78" t="s">
        <v>168</v>
      </c>
      <c r="B86" s="78"/>
      <c r="C86" s="78"/>
      <c r="D86" s="78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</row>
    <row r="87" spans="1:38" s="33" customFormat="1" outlineLevel="1" x14ac:dyDescent="0.15">
      <c r="A87" s="78"/>
      <c r="B87" s="114" t="s">
        <v>284</v>
      </c>
      <c r="C87" s="78"/>
      <c r="D87" s="79" t="s">
        <v>165</v>
      </c>
      <c r="E87" s="150">
        <f>IFERROR(AVERAGE(G87:AL87),"na")</f>
        <v>63350</v>
      </c>
      <c r="F87" s="152">
        <f>SUM(G87:AA87)</f>
        <v>1267000</v>
      </c>
      <c r="G87" s="13">
        <f>13000+25000+40000</f>
        <v>78000</v>
      </c>
      <c r="H87" s="13">
        <f>10000+30000+40000</f>
        <v>80000</v>
      </c>
      <c r="I87" s="13">
        <f>12000+33000+20000</f>
        <v>65000</v>
      </c>
      <c r="J87" s="13">
        <f>15000+39000+35000</f>
        <v>89000</v>
      </c>
      <c r="K87" s="13">
        <f>13000+28000+30000</f>
        <v>71000</v>
      </c>
      <c r="L87" s="13">
        <f>11000+21000+41000</f>
        <v>73000</v>
      </c>
      <c r="M87" s="13">
        <f>25000+46000+20000</f>
        <v>91000</v>
      </c>
      <c r="N87" s="13">
        <f>49000+50000</f>
        <v>99000</v>
      </c>
      <c r="O87" s="13">
        <f>65000+40000</f>
        <v>105000</v>
      </c>
      <c r="P87" s="13">
        <f>44000+40000</f>
        <v>84000</v>
      </c>
      <c r="Q87" s="13">
        <f>71000</f>
        <v>71000</v>
      </c>
      <c r="R87" s="13">
        <f>70000</f>
        <v>70000</v>
      </c>
      <c r="S87" s="13">
        <f>60000</f>
        <v>60000</v>
      </c>
      <c r="T87" s="13">
        <f>40000</f>
        <v>40000</v>
      </c>
      <c r="U87" s="13">
        <f>40000</f>
        <v>40000</v>
      </c>
      <c r="V87" s="13">
        <f>30000</f>
        <v>30000</v>
      </c>
      <c r="W87" s="13">
        <f>31000</f>
        <v>31000</v>
      </c>
      <c r="X87" s="13">
        <f>30000</f>
        <v>30000</v>
      </c>
      <c r="Y87" s="13">
        <f>30000</f>
        <v>30000</v>
      </c>
      <c r="Z87" s="13">
        <f>30000</f>
        <v>30000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spans="1:38" s="33" customFormat="1" outlineLevel="1" x14ac:dyDescent="0.15">
      <c r="A88" s="78"/>
      <c r="B88" s="114" t="s">
        <v>285</v>
      </c>
      <c r="C88" s="78"/>
      <c r="D88" s="79" t="s">
        <v>165</v>
      </c>
      <c r="E88" s="150">
        <f>IFERROR(AVERAGE(G88:AL88),"na")</f>
        <v>266375</v>
      </c>
      <c r="F88" s="152">
        <f>SUM(G88:AL88)</f>
        <v>8524000</v>
      </c>
      <c r="G88" s="13">
        <f>40000+50000</f>
        <v>90000</v>
      </c>
      <c r="H88" s="13">
        <f>55000+47000</f>
        <v>102000</v>
      </c>
      <c r="I88" s="13">
        <f>69000+40000</f>
        <v>109000</v>
      </c>
      <c r="J88" s="13">
        <f>73000+47000+2000</f>
        <v>122000</v>
      </c>
      <c r="K88" s="13">
        <f>79000+50000+41000</f>
        <v>170000</v>
      </c>
      <c r="L88" s="13">
        <f>70000+40000+120000</f>
        <v>230000</v>
      </c>
      <c r="M88" s="13">
        <f>61000+40000+120000</f>
        <v>221000</v>
      </c>
      <c r="N88" s="13">
        <f>58000+55000+106000</f>
        <v>219000</v>
      </c>
      <c r="O88" s="13">
        <f>59000+55000+90000</f>
        <v>204000</v>
      </c>
      <c r="P88" s="13">
        <f>120000+15000</f>
        <v>135000</v>
      </c>
      <c r="Q88" s="13">
        <f>90000</f>
        <v>90000</v>
      </c>
      <c r="R88" s="13">
        <f>17000+100000</f>
        <v>117000</v>
      </c>
      <c r="S88" s="13">
        <f>200000+100000</f>
        <v>300000</v>
      </c>
      <c r="T88" s="13">
        <f>200000</f>
        <v>200000</v>
      </c>
      <c r="U88" s="13">
        <f>300000</f>
        <v>300000</v>
      </c>
      <c r="V88" s="13">
        <f>425000</f>
        <v>425000</v>
      </c>
      <c r="W88" s="13">
        <f>440000</f>
        <v>440000</v>
      </c>
      <c r="X88" s="13">
        <v>480000</v>
      </c>
      <c r="Y88" s="13">
        <v>480000</v>
      </c>
      <c r="Z88" s="13">
        <f>480000</f>
        <v>480000</v>
      </c>
      <c r="AA88" s="13">
        <v>520000</v>
      </c>
      <c r="AB88" s="13">
        <f>410000</f>
        <v>410000</v>
      </c>
      <c r="AC88" s="13">
        <v>300000</v>
      </c>
      <c r="AD88" s="13">
        <f>300000</f>
        <v>300000</v>
      </c>
      <c r="AE88" s="13">
        <f>300000</f>
        <v>300000</v>
      </c>
      <c r="AF88" s="13">
        <v>300000</v>
      </c>
      <c r="AG88" s="13">
        <v>300000</v>
      </c>
      <c r="AH88" s="13">
        <v>250000</v>
      </c>
      <c r="AI88" s="13">
        <f>250000</f>
        <v>250000</v>
      </c>
      <c r="AJ88" s="13">
        <f>260000</f>
        <v>260000</v>
      </c>
      <c r="AK88" s="13">
        <f>300000</f>
        <v>300000</v>
      </c>
      <c r="AL88" s="13">
        <f>120000</f>
        <v>120000</v>
      </c>
    </row>
    <row r="89" spans="1:38" s="37" customFormat="1" outlineLevel="1" x14ac:dyDescent="0.15">
      <c r="B89" s="114" t="s">
        <v>286</v>
      </c>
      <c r="D89" s="79" t="s">
        <v>165</v>
      </c>
      <c r="E89" s="203">
        <f>IFERROR(AVERAGE(G89:P89),"na")</f>
        <v>82750</v>
      </c>
      <c r="F89" s="204">
        <f>SUM(G89:AL89)</f>
        <v>926500</v>
      </c>
      <c r="G89" s="13">
        <f>22000+21000</f>
        <v>43000</v>
      </c>
      <c r="H89" s="13">
        <f>54000+54000</f>
        <v>108000</v>
      </c>
      <c r="I89" s="13">
        <f>54000+50000</f>
        <v>104000</v>
      </c>
      <c r="J89" s="13">
        <f>59000+58000</f>
        <v>117000</v>
      </c>
      <c r="K89" s="13">
        <f>60000+60000</f>
        <v>120000</v>
      </c>
      <c r="L89" s="13">
        <f>54000+48000</f>
        <v>102000</v>
      </c>
      <c r="M89" s="13">
        <f>50000+10000</f>
        <v>60000</v>
      </c>
      <c r="N89" s="13">
        <f>55000</f>
        <v>55000</v>
      </c>
      <c r="O89" s="13">
        <f>59000</f>
        <v>59000</v>
      </c>
      <c r="P89" s="13">
        <f>59500</f>
        <v>59500</v>
      </c>
      <c r="Q89" s="13">
        <f>36000</f>
        <v>36000</v>
      </c>
      <c r="R89" s="13">
        <f>42000</f>
        <v>42000</v>
      </c>
      <c r="S89" s="13">
        <f>11000</f>
        <v>11000</v>
      </c>
      <c r="T89" s="13">
        <f>10000</f>
        <v>10000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1:38" s="37" customFormat="1" outlineLevel="1" x14ac:dyDescent="0.15">
      <c r="B90" s="10" t="s">
        <v>64</v>
      </c>
      <c r="C90" s="42"/>
      <c r="D90" s="166" t="s">
        <v>165</v>
      </c>
      <c r="E90" s="150">
        <f>IFERROR(AVERAGE(G90:P90),"na")</f>
        <v>326450</v>
      </c>
      <c r="F90" s="152">
        <f>SUM(G90:AL90)</f>
        <v>10717500</v>
      </c>
      <c r="G90" s="42">
        <f>SUM(G87:G89)</f>
        <v>211000</v>
      </c>
      <c r="H90" s="42">
        <f t="shared" ref="H90:AC90" si="73">SUM(H87:H89)</f>
        <v>290000</v>
      </c>
      <c r="I90" s="42">
        <f t="shared" si="73"/>
        <v>278000</v>
      </c>
      <c r="J90" s="42">
        <f t="shared" si="73"/>
        <v>328000</v>
      </c>
      <c r="K90" s="42">
        <f t="shared" si="73"/>
        <v>361000</v>
      </c>
      <c r="L90" s="42">
        <f t="shared" si="73"/>
        <v>405000</v>
      </c>
      <c r="M90" s="42">
        <f t="shared" si="73"/>
        <v>372000</v>
      </c>
      <c r="N90" s="42">
        <f t="shared" si="73"/>
        <v>373000</v>
      </c>
      <c r="O90" s="42">
        <f t="shared" si="73"/>
        <v>368000</v>
      </c>
      <c r="P90" s="42">
        <f t="shared" si="73"/>
        <v>278500</v>
      </c>
      <c r="Q90" s="42">
        <f t="shared" si="73"/>
        <v>197000</v>
      </c>
      <c r="R90" s="42">
        <f t="shared" si="73"/>
        <v>229000</v>
      </c>
      <c r="S90" s="42">
        <f t="shared" si="73"/>
        <v>371000</v>
      </c>
      <c r="T90" s="42">
        <f t="shared" si="73"/>
        <v>250000</v>
      </c>
      <c r="U90" s="42">
        <f t="shared" si="73"/>
        <v>340000</v>
      </c>
      <c r="V90" s="42">
        <f t="shared" si="73"/>
        <v>455000</v>
      </c>
      <c r="W90" s="42">
        <f t="shared" si="73"/>
        <v>471000</v>
      </c>
      <c r="X90" s="42">
        <f t="shared" si="73"/>
        <v>510000</v>
      </c>
      <c r="Y90" s="42">
        <f t="shared" si="73"/>
        <v>510000</v>
      </c>
      <c r="Z90" s="42">
        <f t="shared" si="73"/>
        <v>510000</v>
      </c>
      <c r="AA90" s="42">
        <f t="shared" si="73"/>
        <v>520000</v>
      </c>
      <c r="AB90" s="42">
        <f t="shared" si="73"/>
        <v>410000</v>
      </c>
      <c r="AC90" s="42">
        <f t="shared" si="73"/>
        <v>300000</v>
      </c>
      <c r="AD90" s="42">
        <f>SUM(AD87:AD89)</f>
        <v>300000</v>
      </c>
      <c r="AE90" s="42">
        <f t="shared" ref="AE90" si="74">SUM(AE87:AE89)</f>
        <v>300000</v>
      </c>
      <c r="AF90" s="42">
        <f t="shared" ref="AF90" si="75">SUM(AF87:AF89)</f>
        <v>300000</v>
      </c>
      <c r="AG90" s="42">
        <f t="shared" ref="AG90" si="76">SUM(AG87:AG89)</f>
        <v>300000</v>
      </c>
      <c r="AH90" s="42">
        <f t="shared" ref="AH90" si="77">SUM(AH87:AH89)</f>
        <v>250000</v>
      </c>
      <c r="AI90" s="42">
        <f t="shared" ref="AI90" si="78">SUM(AI87:AI89)</f>
        <v>250000</v>
      </c>
      <c r="AJ90" s="42">
        <f t="shared" ref="AJ90" si="79">SUM(AJ87:AJ89)</f>
        <v>260000</v>
      </c>
      <c r="AK90" s="42">
        <f t="shared" ref="AK90" si="80">SUM(AK87:AK89)</f>
        <v>300000</v>
      </c>
      <c r="AL90" s="42">
        <f t="shared" ref="AL90" si="81">SUM(AL87:AL89)</f>
        <v>120000</v>
      </c>
    </row>
    <row r="91" spans="1:38" s="37" customFormat="1" outlineLevel="1" x14ac:dyDescent="0.15">
      <c r="B91" s="114"/>
      <c r="D91" s="79"/>
      <c r="E91" s="150"/>
      <c r="F91" s="152"/>
    </row>
    <row r="92" spans="1:38" s="37" customFormat="1" outlineLevel="1" x14ac:dyDescent="0.15">
      <c r="A92" s="78" t="s">
        <v>114</v>
      </c>
      <c r="E92" s="38"/>
    </row>
    <row r="93" spans="1:38" s="33" customFormat="1" outlineLevel="1" x14ac:dyDescent="0.15">
      <c r="A93" s="78"/>
      <c r="B93" s="78" t="s">
        <v>81</v>
      </c>
      <c r="C93" s="78"/>
      <c r="D93" s="79" t="s">
        <v>165</v>
      </c>
      <c r="E93" s="161">
        <f>IFERROR(AVERAGE(G93:P93),"na")</f>
        <v>0.99</v>
      </c>
      <c r="F93" s="162" t="s">
        <v>157</v>
      </c>
      <c r="G93" s="85">
        <v>0.99</v>
      </c>
      <c r="H93" s="85">
        <v>0.99</v>
      </c>
      <c r="I93" s="85">
        <v>0.99</v>
      </c>
      <c r="J93" s="85">
        <v>0.99</v>
      </c>
      <c r="K93" s="85">
        <v>0.99</v>
      </c>
      <c r="L93" s="85">
        <v>0.99</v>
      </c>
      <c r="M93" s="85">
        <v>0.99</v>
      </c>
      <c r="N93" s="85">
        <v>0.99</v>
      </c>
      <c r="O93" s="85">
        <v>0.99</v>
      </c>
      <c r="P93" s="85">
        <v>0.99</v>
      </c>
      <c r="Q93" s="85">
        <v>0.99</v>
      </c>
      <c r="R93" s="85">
        <v>0.99</v>
      </c>
      <c r="S93" s="85">
        <v>0.99</v>
      </c>
      <c r="T93" s="85">
        <v>0.99</v>
      </c>
      <c r="U93" s="85">
        <v>0.99</v>
      </c>
      <c r="V93" s="85">
        <v>0.99</v>
      </c>
      <c r="W93" s="85">
        <v>0.99</v>
      </c>
      <c r="X93" s="85">
        <v>0.99</v>
      </c>
      <c r="Y93" s="85">
        <v>0.99</v>
      </c>
      <c r="Z93" s="85">
        <v>0.99</v>
      </c>
      <c r="AA93" s="85">
        <v>0.99</v>
      </c>
      <c r="AB93" s="85">
        <v>0.99</v>
      </c>
      <c r="AC93" s="85">
        <v>0.99</v>
      </c>
      <c r="AD93" s="85">
        <v>0.99</v>
      </c>
      <c r="AE93" s="85">
        <v>0.99</v>
      </c>
      <c r="AF93" s="85">
        <v>0.99</v>
      </c>
      <c r="AG93" s="85">
        <v>0.99</v>
      </c>
      <c r="AH93" s="85">
        <v>0.99</v>
      </c>
      <c r="AI93" s="85">
        <v>0.99</v>
      </c>
      <c r="AJ93" s="85">
        <v>0.99</v>
      </c>
      <c r="AK93" s="85">
        <v>0.99</v>
      </c>
      <c r="AL93" s="85">
        <v>0.99</v>
      </c>
    </row>
    <row r="94" spans="1:38" s="33" customFormat="1" outlineLevel="1" x14ac:dyDescent="0.15">
      <c r="A94" s="78"/>
      <c r="B94" s="78"/>
      <c r="C94" s="78"/>
      <c r="D94" s="79"/>
      <c r="E94" s="79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</row>
    <row r="95" spans="1:38" s="33" customFormat="1" outlineLevel="1" x14ac:dyDescent="0.15">
      <c r="A95" s="78" t="s">
        <v>169</v>
      </c>
      <c r="B95" s="78"/>
      <c r="C95" s="78"/>
      <c r="D95" s="79"/>
      <c r="E95" s="79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</row>
    <row r="96" spans="1:38" s="33" customFormat="1" outlineLevel="1" x14ac:dyDescent="0.15">
      <c r="A96" s="78"/>
      <c r="B96" s="78" t="s">
        <v>81</v>
      </c>
      <c r="C96" s="78"/>
      <c r="D96" s="79" t="s">
        <v>165</v>
      </c>
      <c r="E96" s="150">
        <f>IFERROR(AVERAGE(G96:P96),"na")</f>
        <v>323185.5</v>
      </c>
      <c r="F96" s="152">
        <f>SUM(G96:P96)</f>
        <v>3231855</v>
      </c>
      <c r="G96" s="78" cm="1">
        <f t="array" ref="G96">SUM(G87:G89*G93)</f>
        <v>208890</v>
      </c>
      <c r="H96" s="78" cm="1">
        <f t="array" ref="H96">SUM(H87:H89*H93)</f>
        <v>287100</v>
      </c>
      <c r="I96" s="78" cm="1">
        <f t="array" ref="I96">SUM(I87:I89*I93)</f>
        <v>275220</v>
      </c>
      <c r="J96" s="78" cm="1">
        <f t="array" ref="J96">SUM(J87:J89*J93)</f>
        <v>324720</v>
      </c>
      <c r="K96" s="78" cm="1">
        <f t="array" ref="K96">SUM(K87:K89*K93)</f>
        <v>357390</v>
      </c>
      <c r="L96" s="78" cm="1">
        <f t="array" ref="L96">SUM(L87:L89*L93)</f>
        <v>400950</v>
      </c>
      <c r="M96" s="78" cm="1">
        <f t="array" ref="M96">SUM(M87:M89*M93)</f>
        <v>368280</v>
      </c>
      <c r="N96" s="78" cm="1">
        <f t="array" ref="N96">SUM(N87:N89*N93)</f>
        <v>369270</v>
      </c>
      <c r="O96" s="78" cm="1">
        <f t="array" ref="O96">SUM(O87:O89*O93)</f>
        <v>364320</v>
      </c>
      <c r="P96" s="78" cm="1">
        <f t="array" ref="P96">SUM(P87:P89*P93)</f>
        <v>275715</v>
      </c>
      <c r="Q96" s="78" cm="1">
        <f t="array" ref="Q96">SUM(Q87:Q89*Q93)</f>
        <v>195030</v>
      </c>
      <c r="R96" s="78" cm="1">
        <f t="array" ref="R96">SUM(R87:R89*R93)</f>
        <v>226710</v>
      </c>
      <c r="S96" s="78" cm="1">
        <f t="array" ref="S96">SUM(S87:S89*S93)</f>
        <v>367290</v>
      </c>
      <c r="T96" s="78" cm="1">
        <f t="array" ref="T96">SUM(T87:T89*T93)</f>
        <v>247500</v>
      </c>
      <c r="U96" s="78" cm="1">
        <f t="array" ref="U96">SUM(U87:U89*U93)</f>
        <v>336600</v>
      </c>
      <c r="V96" s="78" cm="1">
        <f t="array" ref="V96">SUM(V87:V89*V93)</f>
        <v>450450</v>
      </c>
      <c r="W96" s="78" cm="1">
        <f t="array" ref="W96">SUM(W87:W89*W93)</f>
        <v>466290</v>
      </c>
      <c r="X96" s="78" cm="1">
        <f t="array" ref="X96">SUM(X87:X89*X93)</f>
        <v>504900</v>
      </c>
      <c r="Y96" s="78" cm="1">
        <f t="array" ref="Y96">SUM(Y87:Y89*Y93)</f>
        <v>504900</v>
      </c>
      <c r="Z96" s="78" cm="1">
        <f t="array" ref="Z96">SUM(Z87:Z89*Z93)</f>
        <v>504900</v>
      </c>
      <c r="AA96" s="78" cm="1">
        <f t="array" ref="AA96">SUM(AA87:AA89*AA93)</f>
        <v>514800</v>
      </c>
      <c r="AB96" s="78" cm="1">
        <f t="array" ref="AB96">SUM(AB87:AB89*AB93)</f>
        <v>405900</v>
      </c>
      <c r="AC96" s="78" cm="1">
        <f t="array" ref="AC96">SUM(AC87:AC89*AC93)</f>
        <v>297000</v>
      </c>
      <c r="AD96" s="78" cm="1">
        <f t="array" ref="AD96">SUM(AD87:AD89*AD93)</f>
        <v>297000</v>
      </c>
      <c r="AE96" s="78" cm="1">
        <f t="array" ref="AE96">SUM(AE87:AE89*AE93)</f>
        <v>297000</v>
      </c>
      <c r="AF96" s="78" cm="1">
        <f t="array" ref="AF96">SUM(AF87:AF89*AF93)</f>
        <v>297000</v>
      </c>
      <c r="AG96" s="78" cm="1">
        <f t="array" ref="AG96">SUM(AG87:AG89*AG93)</f>
        <v>297000</v>
      </c>
      <c r="AH96" s="78" cm="1">
        <f t="array" ref="AH96">SUM(AH87:AH89*AH93)</f>
        <v>247500</v>
      </c>
      <c r="AI96" s="78" cm="1">
        <f t="array" ref="AI96">SUM(AI87:AI89*AI93)</f>
        <v>247500</v>
      </c>
      <c r="AJ96" s="78" cm="1">
        <f t="array" ref="AJ96">SUM(AJ87:AJ89*AJ93)</f>
        <v>257400</v>
      </c>
      <c r="AK96" s="78" cm="1">
        <f t="array" ref="AK96">SUM(AK87:AK89*AK93)</f>
        <v>297000</v>
      </c>
      <c r="AL96" s="78" cm="1">
        <f t="array" ref="AL96">SUM(AL87:AL89*AL93)</f>
        <v>118800</v>
      </c>
    </row>
    <row r="97" spans="1:38" s="33" customFormat="1" outlineLevel="1" x14ac:dyDescent="0.15">
      <c r="A97" s="78"/>
      <c r="B97" s="78"/>
      <c r="C97" s="78"/>
      <c r="D97" s="79"/>
      <c r="E97" s="79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</row>
    <row r="98" spans="1:38" s="33" customFormat="1" x14ac:dyDescent="0.15">
      <c r="A98" s="78"/>
      <c r="B98" s="78"/>
      <c r="C98" s="78"/>
      <c r="D98" s="79"/>
      <c r="E98" s="79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</row>
    <row r="99" spans="1:38" s="50" customFormat="1" ht="18.75" customHeight="1" x14ac:dyDescent="0.2">
      <c r="A99" s="107" t="s">
        <v>4</v>
      </c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</row>
    <row r="100" spans="1:38" s="39" customFormat="1" ht="16.5" customHeight="1" outlineLevel="1" x14ac:dyDescent="0.15">
      <c r="D100" s="40"/>
      <c r="E100" s="40"/>
      <c r="F100" s="4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</row>
    <row r="101" spans="1:38" s="29" customFormat="1" outlineLevel="1" x14ac:dyDescent="0.15">
      <c r="A101" s="28" t="s">
        <v>78</v>
      </c>
      <c r="B101" s="80"/>
      <c r="C101" s="80"/>
      <c r="D101" s="149"/>
      <c r="E101" s="149"/>
      <c r="F101" s="149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</row>
    <row r="102" spans="1:38" s="29" customFormat="1" outlineLevel="1" x14ac:dyDescent="0.15">
      <c r="A102" s="80"/>
      <c r="B102" s="80" t="s">
        <v>81</v>
      </c>
      <c r="C102" s="80"/>
      <c r="D102" s="149" t="s">
        <v>125</v>
      </c>
      <c r="E102" s="150">
        <f>IFERROR(AVERAGE(G102:P102),"na")</f>
        <v>2100</v>
      </c>
      <c r="F102" s="163" t="s">
        <v>157</v>
      </c>
      <c r="G102" s="164">
        <f t="shared" ref="G102:Q102" si="82">G22</f>
        <v>2100</v>
      </c>
      <c r="H102" s="164">
        <f t="shared" si="82"/>
        <v>2100</v>
      </c>
      <c r="I102" s="164">
        <f t="shared" si="82"/>
        <v>2100</v>
      </c>
      <c r="J102" s="164">
        <f t="shared" si="82"/>
        <v>2100</v>
      </c>
      <c r="K102" s="164">
        <f t="shared" si="82"/>
        <v>2100</v>
      </c>
      <c r="L102" s="164">
        <f t="shared" si="82"/>
        <v>2100</v>
      </c>
      <c r="M102" s="164">
        <f t="shared" si="82"/>
        <v>2100</v>
      </c>
      <c r="N102" s="164">
        <f t="shared" si="82"/>
        <v>2100</v>
      </c>
      <c r="O102" s="164">
        <f t="shared" si="82"/>
        <v>2100</v>
      </c>
      <c r="P102" s="164">
        <f t="shared" si="82"/>
        <v>2100</v>
      </c>
      <c r="Q102" s="164">
        <f t="shared" si="82"/>
        <v>2100</v>
      </c>
      <c r="R102" s="164">
        <f t="shared" ref="R102:Z102" si="83">R22</f>
        <v>2100</v>
      </c>
      <c r="S102" s="164">
        <f t="shared" si="83"/>
        <v>2100</v>
      </c>
      <c r="T102" s="164">
        <f t="shared" si="83"/>
        <v>2100</v>
      </c>
      <c r="U102" s="164">
        <f t="shared" si="83"/>
        <v>2100</v>
      </c>
      <c r="V102" s="164">
        <f t="shared" si="83"/>
        <v>2100</v>
      </c>
      <c r="W102" s="164">
        <f t="shared" si="83"/>
        <v>2100</v>
      </c>
      <c r="X102" s="164">
        <f t="shared" si="83"/>
        <v>2100</v>
      </c>
      <c r="Y102" s="164">
        <f t="shared" si="83"/>
        <v>2100</v>
      </c>
      <c r="Z102" s="164">
        <f t="shared" si="83"/>
        <v>2100</v>
      </c>
      <c r="AA102" s="164">
        <f>AA22</f>
        <v>2100</v>
      </c>
      <c r="AB102" s="164">
        <f t="shared" ref="AB102:AL102" si="84">AB22</f>
        <v>2100</v>
      </c>
      <c r="AC102" s="164">
        <f t="shared" si="84"/>
        <v>2100</v>
      </c>
      <c r="AD102" s="164">
        <f t="shared" si="84"/>
        <v>2100</v>
      </c>
      <c r="AE102" s="164">
        <f t="shared" si="84"/>
        <v>2100</v>
      </c>
      <c r="AF102" s="164">
        <f t="shared" si="84"/>
        <v>2100</v>
      </c>
      <c r="AG102" s="164">
        <f t="shared" si="84"/>
        <v>2100</v>
      </c>
      <c r="AH102" s="164">
        <f t="shared" si="84"/>
        <v>2100</v>
      </c>
      <c r="AI102" s="164">
        <f t="shared" si="84"/>
        <v>2100</v>
      </c>
      <c r="AJ102" s="164">
        <f t="shared" si="84"/>
        <v>2100</v>
      </c>
      <c r="AK102" s="164">
        <f t="shared" si="84"/>
        <v>2100</v>
      </c>
      <c r="AL102" s="164">
        <f t="shared" si="84"/>
        <v>2100</v>
      </c>
    </row>
    <row r="103" spans="1:38" s="29" customFormat="1" outlineLevel="1" x14ac:dyDescent="0.15">
      <c r="A103" s="80"/>
      <c r="B103" s="80"/>
      <c r="C103" s="80"/>
      <c r="D103" s="149"/>
      <c r="E103" s="149"/>
      <c r="F103" s="149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</row>
    <row r="104" spans="1:38" s="33" customFormat="1" outlineLevel="1" x14ac:dyDescent="0.15">
      <c r="A104" s="28" t="s">
        <v>169</v>
      </c>
      <c r="B104" s="78"/>
      <c r="C104" s="78"/>
      <c r="D104" s="78"/>
      <c r="E104" s="79"/>
      <c r="F104" s="79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</row>
    <row r="105" spans="1:38" s="37" customFormat="1" outlineLevel="1" x14ac:dyDescent="0.15">
      <c r="B105" s="80" t="s">
        <v>81</v>
      </c>
      <c r="D105" s="79" t="s">
        <v>165</v>
      </c>
      <c r="E105" s="150">
        <f>IFERROR(AVERAGE(G105:P105),"na")</f>
        <v>323185.5</v>
      </c>
      <c r="F105" s="150">
        <f>SUM(G105:P105)</f>
        <v>3231855</v>
      </c>
      <c r="G105" s="164">
        <f t="shared" ref="G105:Q105" si="85">G96</f>
        <v>208890</v>
      </c>
      <c r="H105" s="164">
        <f t="shared" si="85"/>
        <v>287100</v>
      </c>
      <c r="I105" s="164">
        <f t="shared" si="85"/>
        <v>275220</v>
      </c>
      <c r="J105" s="164">
        <f t="shared" si="85"/>
        <v>324720</v>
      </c>
      <c r="K105" s="164">
        <f t="shared" si="85"/>
        <v>357390</v>
      </c>
      <c r="L105" s="164">
        <f t="shared" si="85"/>
        <v>400950</v>
      </c>
      <c r="M105" s="164">
        <f t="shared" si="85"/>
        <v>368280</v>
      </c>
      <c r="N105" s="164">
        <f t="shared" si="85"/>
        <v>369270</v>
      </c>
      <c r="O105" s="164">
        <f t="shared" si="85"/>
        <v>364320</v>
      </c>
      <c r="P105" s="164">
        <f t="shared" si="85"/>
        <v>275715</v>
      </c>
      <c r="Q105" s="164">
        <f t="shared" si="85"/>
        <v>195030</v>
      </c>
      <c r="R105" s="164">
        <f t="shared" ref="R105:AA105" si="86">R96</f>
        <v>226710</v>
      </c>
      <c r="S105" s="164">
        <f t="shared" si="86"/>
        <v>367290</v>
      </c>
      <c r="T105" s="164">
        <f t="shared" si="86"/>
        <v>247500</v>
      </c>
      <c r="U105" s="164">
        <f t="shared" si="86"/>
        <v>336600</v>
      </c>
      <c r="V105" s="164">
        <f t="shared" si="86"/>
        <v>450450</v>
      </c>
      <c r="W105" s="164">
        <f t="shared" si="86"/>
        <v>466290</v>
      </c>
      <c r="X105" s="164">
        <f t="shared" si="86"/>
        <v>504900</v>
      </c>
      <c r="Y105" s="164">
        <f t="shared" si="86"/>
        <v>504900</v>
      </c>
      <c r="Z105" s="164">
        <f t="shared" si="86"/>
        <v>504900</v>
      </c>
      <c r="AA105" s="164">
        <f t="shared" si="86"/>
        <v>514800</v>
      </c>
      <c r="AB105" s="164">
        <f t="shared" ref="AB105:AL105" si="87">AB96</f>
        <v>405900</v>
      </c>
      <c r="AC105" s="164">
        <f t="shared" si="87"/>
        <v>297000</v>
      </c>
      <c r="AD105" s="164">
        <f t="shared" si="87"/>
        <v>297000</v>
      </c>
      <c r="AE105" s="164">
        <f t="shared" si="87"/>
        <v>297000</v>
      </c>
      <c r="AF105" s="164">
        <f t="shared" si="87"/>
        <v>297000</v>
      </c>
      <c r="AG105" s="164">
        <f t="shared" si="87"/>
        <v>297000</v>
      </c>
      <c r="AH105" s="164">
        <f t="shared" si="87"/>
        <v>247500</v>
      </c>
      <c r="AI105" s="164">
        <f t="shared" si="87"/>
        <v>247500</v>
      </c>
      <c r="AJ105" s="164">
        <f t="shared" si="87"/>
        <v>257400</v>
      </c>
      <c r="AK105" s="164">
        <f t="shared" si="87"/>
        <v>297000</v>
      </c>
      <c r="AL105" s="164">
        <f t="shared" si="87"/>
        <v>118800</v>
      </c>
    </row>
    <row r="106" spans="1:38" s="29" customFormat="1" outlineLevel="1" x14ac:dyDescent="0.15">
      <c r="A106" s="80"/>
      <c r="B106" s="80"/>
      <c r="C106" s="80"/>
      <c r="D106" s="149"/>
      <c r="E106" s="150"/>
      <c r="F106" s="163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:38" s="29" customFormat="1" outlineLevel="1" x14ac:dyDescent="0.15">
      <c r="A107" s="28" t="s">
        <v>170</v>
      </c>
      <c r="B107" s="80"/>
      <c r="C107" s="80"/>
      <c r="D107" s="149"/>
      <c r="E107" s="150"/>
      <c r="F107" s="163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1:38" s="29" customFormat="1" outlineLevel="1" x14ac:dyDescent="0.15">
      <c r="A108" s="80"/>
      <c r="B108" s="80" t="s">
        <v>167</v>
      </c>
      <c r="C108" s="80"/>
      <c r="D108" s="149" t="s">
        <v>156</v>
      </c>
      <c r="E108" s="150">
        <f>IFERROR(AVERAGE(G108:P108),"na")</f>
        <v>0</v>
      </c>
      <c r="F108" s="150">
        <f>SUM(G108:P108)</f>
        <v>0</v>
      </c>
      <c r="G108" s="164">
        <f t="shared" ref="G108:Q108" si="88">SUM(G79:G80)</f>
        <v>0</v>
      </c>
      <c r="H108" s="164">
        <f t="shared" si="88"/>
        <v>0</v>
      </c>
      <c r="I108" s="164">
        <f t="shared" si="88"/>
        <v>0</v>
      </c>
      <c r="J108" s="164">
        <f t="shared" si="88"/>
        <v>0</v>
      </c>
      <c r="K108" s="164">
        <f t="shared" si="88"/>
        <v>0</v>
      </c>
      <c r="L108" s="164">
        <f t="shared" si="88"/>
        <v>0</v>
      </c>
      <c r="M108" s="164">
        <f t="shared" si="88"/>
        <v>0</v>
      </c>
      <c r="N108" s="164">
        <f t="shared" si="88"/>
        <v>0</v>
      </c>
      <c r="O108" s="164">
        <f t="shared" si="88"/>
        <v>0</v>
      </c>
      <c r="P108" s="164">
        <f t="shared" si="88"/>
        <v>0</v>
      </c>
      <c r="Q108" s="164">
        <f t="shared" si="88"/>
        <v>0</v>
      </c>
      <c r="R108" s="164">
        <f t="shared" ref="R108:AA108" si="89">SUM(R79:R80)</f>
        <v>0</v>
      </c>
      <c r="S108" s="164">
        <f t="shared" si="89"/>
        <v>0</v>
      </c>
      <c r="T108" s="164">
        <f t="shared" si="89"/>
        <v>0</v>
      </c>
      <c r="U108" s="164">
        <f t="shared" si="89"/>
        <v>0</v>
      </c>
      <c r="V108" s="164">
        <f t="shared" si="89"/>
        <v>0</v>
      </c>
      <c r="W108" s="164">
        <f t="shared" si="89"/>
        <v>0</v>
      </c>
      <c r="X108" s="164">
        <f t="shared" si="89"/>
        <v>0</v>
      </c>
      <c r="Y108" s="164">
        <f t="shared" si="89"/>
        <v>0</v>
      </c>
      <c r="Z108" s="164">
        <f t="shared" si="89"/>
        <v>0</v>
      </c>
      <c r="AA108" s="164">
        <f t="shared" si="89"/>
        <v>0</v>
      </c>
      <c r="AB108" s="164">
        <f t="shared" ref="AB108:AL108" si="90">SUM(AB79:AB80)</f>
        <v>0</v>
      </c>
      <c r="AC108" s="164">
        <f t="shared" si="90"/>
        <v>0</v>
      </c>
      <c r="AD108" s="164">
        <f t="shared" si="90"/>
        <v>0</v>
      </c>
      <c r="AE108" s="164">
        <f t="shared" si="90"/>
        <v>0</v>
      </c>
      <c r="AF108" s="164">
        <f t="shared" si="90"/>
        <v>0</v>
      </c>
      <c r="AG108" s="164">
        <f t="shared" si="90"/>
        <v>0</v>
      </c>
      <c r="AH108" s="164">
        <f t="shared" si="90"/>
        <v>0</v>
      </c>
      <c r="AI108" s="164">
        <f t="shared" si="90"/>
        <v>0</v>
      </c>
      <c r="AJ108" s="164">
        <f t="shared" si="90"/>
        <v>0</v>
      </c>
      <c r="AK108" s="164">
        <f t="shared" si="90"/>
        <v>0</v>
      </c>
      <c r="AL108" s="164">
        <f t="shared" si="90"/>
        <v>0</v>
      </c>
    </row>
    <row r="109" spans="1:38" s="37" customFormat="1" outlineLevel="1" x14ac:dyDescent="0.15">
      <c r="E109" s="38"/>
      <c r="F109" s="150"/>
    </row>
    <row r="110" spans="1:38" s="37" customFormat="1" outlineLevel="1" x14ac:dyDescent="0.15">
      <c r="E110" s="38"/>
      <c r="F110" s="38"/>
    </row>
    <row r="111" spans="1:38" s="33" customFormat="1" outlineLevel="1" x14ac:dyDescent="0.15">
      <c r="A111" s="70" t="s">
        <v>171</v>
      </c>
      <c r="B111" s="71"/>
      <c r="C111" s="71"/>
      <c r="D111" s="72"/>
      <c r="E111" s="72"/>
      <c r="F111" s="72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</row>
    <row r="112" spans="1:38" s="33" customFormat="1" outlineLevel="1" x14ac:dyDescent="0.15">
      <c r="A112" s="37"/>
      <c r="B112" s="78"/>
      <c r="C112" s="78"/>
      <c r="D112" s="79"/>
      <c r="E112" s="79"/>
      <c r="F112" s="79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</row>
    <row r="113" spans="1:38" s="33" customFormat="1" outlineLevel="1" x14ac:dyDescent="0.15">
      <c r="A113" s="78" t="s">
        <v>172</v>
      </c>
      <c r="B113" s="78"/>
      <c r="C113" s="78"/>
      <c r="D113" s="79"/>
      <c r="E113" s="79"/>
      <c r="F113" s="79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</row>
    <row r="114" spans="1:38" s="33" customFormat="1" outlineLevel="1" x14ac:dyDescent="0.15">
      <c r="A114" s="78"/>
      <c r="B114" s="78" t="s">
        <v>81</v>
      </c>
      <c r="C114" s="78"/>
      <c r="D114" s="79" t="s">
        <v>173</v>
      </c>
      <c r="E114" s="150">
        <f>IFERROR(AVERAGE(G114:P114),"na")</f>
        <v>678689550</v>
      </c>
      <c r="F114" s="150">
        <f>SUM(G114:P114)</f>
        <v>6786895500</v>
      </c>
      <c r="G114" s="78">
        <f>G105*G102</f>
        <v>438669000</v>
      </c>
      <c r="H114" s="78">
        <f t="shared" ref="H114:Q114" si="91">H105*H102</f>
        <v>602910000</v>
      </c>
      <c r="I114" s="78">
        <f t="shared" si="91"/>
        <v>577962000</v>
      </c>
      <c r="J114" s="78">
        <f t="shared" si="91"/>
        <v>681912000</v>
      </c>
      <c r="K114" s="78">
        <f t="shared" si="91"/>
        <v>750519000</v>
      </c>
      <c r="L114" s="78">
        <f t="shared" si="91"/>
        <v>841995000</v>
      </c>
      <c r="M114" s="78">
        <f t="shared" si="91"/>
        <v>773388000</v>
      </c>
      <c r="N114" s="78">
        <f t="shared" si="91"/>
        <v>775467000</v>
      </c>
      <c r="O114" s="78">
        <f t="shared" si="91"/>
        <v>765072000</v>
      </c>
      <c r="P114" s="78">
        <f t="shared" si="91"/>
        <v>579001500</v>
      </c>
      <c r="Q114" s="78">
        <f t="shared" si="91"/>
        <v>409563000</v>
      </c>
      <c r="R114" s="78">
        <f>R105*R102</f>
        <v>476091000</v>
      </c>
      <c r="S114" s="78">
        <f t="shared" ref="S114:AA114" si="92">S105*S102</f>
        <v>771309000</v>
      </c>
      <c r="T114" s="78">
        <f t="shared" si="92"/>
        <v>519750000</v>
      </c>
      <c r="U114" s="78">
        <f t="shared" si="92"/>
        <v>706860000</v>
      </c>
      <c r="V114" s="78">
        <f t="shared" si="92"/>
        <v>945945000</v>
      </c>
      <c r="W114" s="78">
        <f t="shared" si="92"/>
        <v>979209000</v>
      </c>
      <c r="X114" s="78">
        <f t="shared" si="92"/>
        <v>1060290000</v>
      </c>
      <c r="Y114" s="78">
        <f t="shared" si="92"/>
        <v>1060290000</v>
      </c>
      <c r="Z114" s="78">
        <f t="shared" si="92"/>
        <v>1060290000</v>
      </c>
      <c r="AA114" s="78">
        <f t="shared" si="92"/>
        <v>1081080000</v>
      </c>
      <c r="AB114" s="78">
        <f t="shared" ref="AB114:AL114" si="93">AB105*AB102</f>
        <v>852390000</v>
      </c>
      <c r="AC114" s="78">
        <f t="shared" si="93"/>
        <v>623700000</v>
      </c>
      <c r="AD114" s="78">
        <f t="shared" si="93"/>
        <v>623700000</v>
      </c>
      <c r="AE114" s="78">
        <f t="shared" si="93"/>
        <v>623700000</v>
      </c>
      <c r="AF114" s="78">
        <f t="shared" si="93"/>
        <v>623700000</v>
      </c>
      <c r="AG114" s="78">
        <f t="shared" si="93"/>
        <v>623700000</v>
      </c>
      <c r="AH114" s="78">
        <f t="shared" si="93"/>
        <v>519750000</v>
      </c>
      <c r="AI114" s="78">
        <f t="shared" si="93"/>
        <v>519750000</v>
      </c>
      <c r="AJ114" s="78">
        <f t="shared" si="93"/>
        <v>540540000</v>
      </c>
      <c r="AK114" s="78">
        <f t="shared" si="93"/>
        <v>623700000</v>
      </c>
      <c r="AL114" s="78">
        <f t="shared" si="93"/>
        <v>249480000</v>
      </c>
    </row>
    <row r="115" spans="1:38" s="33" customFormat="1" outlineLevel="1" x14ac:dyDescent="0.15">
      <c r="A115" s="42" t="s">
        <v>174</v>
      </c>
      <c r="B115" s="165"/>
      <c r="C115" s="165"/>
      <c r="D115" s="166"/>
      <c r="E115" s="65">
        <f>IFERROR(AVERAGE(G115:P115),"na")</f>
        <v>678689550</v>
      </c>
      <c r="F115" s="65">
        <f>SUM(G115:P115)</f>
        <v>6786895500</v>
      </c>
      <c r="G115" s="42">
        <f t="shared" ref="G115:Q115" si="94">SUM(G114:G114)</f>
        <v>438669000</v>
      </c>
      <c r="H115" s="42">
        <f t="shared" si="94"/>
        <v>602910000</v>
      </c>
      <c r="I115" s="42">
        <f t="shared" si="94"/>
        <v>577962000</v>
      </c>
      <c r="J115" s="42">
        <f t="shared" si="94"/>
        <v>681912000</v>
      </c>
      <c r="K115" s="42">
        <f t="shared" si="94"/>
        <v>750519000</v>
      </c>
      <c r="L115" s="42">
        <f t="shared" si="94"/>
        <v>841995000</v>
      </c>
      <c r="M115" s="42">
        <f t="shared" si="94"/>
        <v>773388000</v>
      </c>
      <c r="N115" s="42">
        <f t="shared" si="94"/>
        <v>775467000</v>
      </c>
      <c r="O115" s="42">
        <f t="shared" si="94"/>
        <v>765072000</v>
      </c>
      <c r="P115" s="42">
        <f t="shared" si="94"/>
        <v>579001500</v>
      </c>
      <c r="Q115" s="42">
        <f t="shared" si="94"/>
        <v>409563000</v>
      </c>
      <c r="R115" s="42">
        <f t="shared" ref="R115:AA115" si="95">SUM(R114:R114)</f>
        <v>476091000</v>
      </c>
      <c r="S115" s="42">
        <f t="shared" si="95"/>
        <v>771309000</v>
      </c>
      <c r="T115" s="42">
        <f t="shared" si="95"/>
        <v>519750000</v>
      </c>
      <c r="U115" s="42">
        <f t="shared" si="95"/>
        <v>706860000</v>
      </c>
      <c r="V115" s="42">
        <f t="shared" si="95"/>
        <v>945945000</v>
      </c>
      <c r="W115" s="42">
        <f t="shared" si="95"/>
        <v>979209000</v>
      </c>
      <c r="X115" s="42">
        <f t="shared" si="95"/>
        <v>1060290000</v>
      </c>
      <c r="Y115" s="42">
        <f t="shared" si="95"/>
        <v>1060290000</v>
      </c>
      <c r="Z115" s="42">
        <f t="shared" si="95"/>
        <v>1060290000</v>
      </c>
      <c r="AA115" s="42">
        <f t="shared" si="95"/>
        <v>1081080000</v>
      </c>
      <c r="AB115" s="42">
        <f t="shared" ref="AB115:AL115" si="96">SUM(AB114:AB114)</f>
        <v>852390000</v>
      </c>
      <c r="AC115" s="42">
        <f t="shared" si="96"/>
        <v>623700000</v>
      </c>
      <c r="AD115" s="42">
        <f t="shared" si="96"/>
        <v>623700000</v>
      </c>
      <c r="AE115" s="42">
        <f t="shared" si="96"/>
        <v>623700000</v>
      </c>
      <c r="AF115" s="42">
        <f t="shared" si="96"/>
        <v>623700000</v>
      </c>
      <c r="AG115" s="42">
        <f t="shared" si="96"/>
        <v>623700000</v>
      </c>
      <c r="AH115" s="42">
        <f t="shared" si="96"/>
        <v>519750000</v>
      </c>
      <c r="AI115" s="42">
        <f t="shared" si="96"/>
        <v>519750000</v>
      </c>
      <c r="AJ115" s="42">
        <f t="shared" si="96"/>
        <v>540540000</v>
      </c>
      <c r="AK115" s="42">
        <f t="shared" si="96"/>
        <v>623700000</v>
      </c>
      <c r="AL115" s="42">
        <f t="shared" si="96"/>
        <v>249480000</v>
      </c>
    </row>
    <row r="116" spans="1:38" s="33" customFormat="1" outlineLevel="1" x14ac:dyDescent="0.15">
      <c r="A116" s="173"/>
      <c r="B116" s="173"/>
      <c r="C116" s="173"/>
      <c r="D116" s="207"/>
      <c r="E116" s="207"/>
      <c r="F116" s="150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</row>
    <row r="117" spans="1:38" s="33" customFormat="1" outlineLevel="1" x14ac:dyDescent="0.15">
      <c r="A117" s="173" t="s">
        <v>271</v>
      </c>
      <c r="B117" s="173"/>
      <c r="C117" s="173"/>
      <c r="D117" s="131"/>
      <c r="E117" s="41"/>
      <c r="F117" s="132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</row>
    <row r="118" spans="1:38" s="33" customFormat="1" outlineLevel="1" x14ac:dyDescent="0.15">
      <c r="A118" s="130"/>
      <c r="B118" s="114" t="s">
        <v>284</v>
      </c>
      <c r="C118" s="173"/>
      <c r="D118" s="207" t="s">
        <v>125</v>
      </c>
      <c r="E118" s="150">
        <f t="shared" ref="E118:E120" si="97">IFERROR(AVERAGE(G118:P118),"na")</f>
        <v>1290.415838169811</v>
      </c>
      <c r="F118" s="163"/>
      <c r="G118" s="208">
        <f>1400*(660000/$H$47)+2200*(120000/$H$47)+3000*(110000/$H$47)+700*(190000/$H$47)</f>
        <v>1290.4158381698112</v>
      </c>
      <c r="H118" s="208">
        <f t="shared" ref="H118:AL118" si="98">1400*(660000/$H$47)+2200*(120000/$H$47)+3000*(110000/$H$47)+700*(190000/$H$47)</f>
        <v>1290.4158381698112</v>
      </c>
      <c r="I118" s="208">
        <f t="shared" si="98"/>
        <v>1290.4158381698112</v>
      </c>
      <c r="J118" s="208">
        <f t="shared" si="98"/>
        <v>1290.4158381698112</v>
      </c>
      <c r="K118" s="208">
        <f t="shared" si="98"/>
        <v>1290.4158381698112</v>
      </c>
      <c r="L118" s="208">
        <f t="shared" si="98"/>
        <v>1290.4158381698112</v>
      </c>
      <c r="M118" s="208">
        <f t="shared" si="98"/>
        <v>1290.4158381698112</v>
      </c>
      <c r="N118" s="208">
        <f t="shared" si="98"/>
        <v>1290.4158381698112</v>
      </c>
      <c r="O118" s="208">
        <f t="shared" si="98"/>
        <v>1290.4158381698112</v>
      </c>
      <c r="P118" s="208">
        <f t="shared" si="98"/>
        <v>1290.4158381698112</v>
      </c>
      <c r="Q118" s="208">
        <f t="shared" si="98"/>
        <v>1290.4158381698112</v>
      </c>
      <c r="R118" s="208">
        <f t="shared" si="98"/>
        <v>1290.4158381698112</v>
      </c>
      <c r="S118" s="208">
        <f t="shared" si="98"/>
        <v>1290.4158381698112</v>
      </c>
      <c r="T118" s="208">
        <f t="shared" si="98"/>
        <v>1290.4158381698112</v>
      </c>
      <c r="U118" s="208">
        <f t="shared" si="98"/>
        <v>1290.4158381698112</v>
      </c>
      <c r="V118" s="208">
        <f t="shared" si="98"/>
        <v>1290.4158381698112</v>
      </c>
      <c r="W118" s="208">
        <f t="shared" si="98"/>
        <v>1290.4158381698112</v>
      </c>
      <c r="X118" s="208">
        <f t="shared" si="98"/>
        <v>1290.4158381698112</v>
      </c>
      <c r="Y118" s="208">
        <f t="shared" si="98"/>
        <v>1290.4158381698112</v>
      </c>
      <c r="Z118" s="208">
        <f t="shared" si="98"/>
        <v>1290.4158381698112</v>
      </c>
      <c r="AA118" s="208">
        <f t="shared" si="98"/>
        <v>1290.4158381698112</v>
      </c>
      <c r="AB118" s="208">
        <f t="shared" si="98"/>
        <v>1290.4158381698112</v>
      </c>
      <c r="AC118" s="208">
        <f t="shared" si="98"/>
        <v>1290.4158381698112</v>
      </c>
      <c r="AD118" s="208">
        <f t="shared" si="98"/>
        <v>1290.4158381698112</v>
      </c>
      <c r="AE118" s="208">
        <f t="shared" si="98"/>
        <v>1290.4158381698112</v>
      </c>
      <c r="AF118" s="208">
        <f t="shared" si="98"/>
        <v>1290.4158381698112</v>
      </c>
      <c r="AG118" s="208">
        <f t="shared" si="98"/>
        <v>1290.4158381698112</v>
      </c>
      <c r="AH118" s="208">
        <f t="shared" si="98"/>
        <v>1290.4158381698112</v>
      </c>
      <c r="AI118" s="208">
        <f t="shared" si="98"/>
        <v>1290.4158381698112</v>
      </c>
      <c r="AJ118" s="208">
        <f t="shared" si="98"/>
        <v>1290.4158381698112</v>
      </c>
      <c r="AK118" s="208">
        <f t="shared" si="98"/>
        <v>1290.4158381698112</v>
      </c>
      <c r="AL118" s="208">
        <f t="shared" si="98"/>
        <v>1290.4158381698112</v>
      </c>
    </row>
    <row r="119" spans="1:38" s="33" customFormat="1" outlineLevel="1" x14ac:dyDescent="0.15">
      <c r="A119" s="130"/>
      <c r="B119" s="114" t="s">
        <v>285</v>
      </c>
      <c r="C119" s="173"/>
      <c r="D119" s="207"/>
      <c r="E119" s="150"/>
      <c r="F119" s="163"/>
      <c r="G119" s="208">
        <v>1300</v>
      </c>
      <c r="H119" s="208">
        <v>1300</v>
      </c>
      <c r="I119" s="208">
        <v>1300</v>
      </c>
      <c r="J119" s="208">
        <v>1300</v>
      </c>
      <c r="K119" s="208">
        <v>1300</v>
      </c>
      <c r="L119" s="208">
        <v>1300</v>
      </c>
      <c r="M119" s="208">
        <v>1300</v>
      </c>
      <c r="N119" s="208">
        <v>1300</v>
      </c>
      <c r="O119" s="208">
        <v>1300</v>
      </c>
      <c r="P119" s="208">
        <v>1300</v>
      </c>
      <c r="Q119" s="208">
        <v>1300</v>
      </c>
      <c r="R119" s="208">
        <v>1300</v>
      </c>
      <c r="S119" s="208">
        <v>1300</v>
      </c>
      <c r="T119" s="208">
        <v>1300</v>
      </c>
      <c r="U119" s="208">
        <v>1300</v>
      </c>
      <c r="V119" s="208">
        <v>1300</v>
      </c>
      <c r="W119" s="208">
        <v>1300</v>
      </c>
      <c r="X119" s="208">
        <v>1300</v>
      </c>
      <c r="Y119" s="208">
        <v>1300</v>
      </c>
      <c r="Z119" s="208">
        <v>1300</v>
      </c>
      <c r="AA119" s="208">
        <v>1300</v>
      </c>
      <c r="AB119" s="208">
        <v>1300</v>
      </c>
      <c r="AC119" s="208">
        <v>1300</v>
      </c>
      <c r="AD119" s="208">
        <v>1300</v>
      </c>
      <c r="AE119" s="208">
        <v>1300</v>
      </c>
      <c r="AF119" s="208">
        <v>1300</v>
      </c>
      <c r="AG119" s="208">
        <v>1300</v>
      </c>
      <c r="AH119" s="208">
        <v>1300</v>
      </c>
      <c r="AI119" s="208">
        <v>1300</v>
      </c>
      <c r="AJ119" s="208">
        <v>1300</v>
      </c>
      <c r="AK119" s="208">
        <v>1300</v>
      </c>
      <c r="AL119" s="208">
        <v>1300</v>
      </c>
    </row>
    <row r="120" spans="1:38" s="33" customFormat="1" outlineLevel="1" x14ac:dyDescent="0.15">
      <c r="A120" s="130"/>
      <c r="B120" s="114" t="s">
        <v>286</v>
      </c>
      <c r="C120" s="173"/>
      <c r="D120" s="207" t="s">
        <v>125</v>
      </c>
      <c r="E120" s="150">
        <f t="shared" si="97"/>
        <v>1400</v>
      </c>
      <c r="F120" s="163"/>
      <c r="G120" s="208">
        <v>1400</v>
      </c>
      <c r="H120" s="208">
        <v>1400</v>
      </c>
      <c r="I120" s="208">
        <v>1400</v>
      </c>
      <c r="J120" s="208">
        <v>1400</v>
      </c>
      <c r="K120" s="208">
        <v>1400</v>
      </c>
      <c r="L120" s="208">
        <v>1400</v>
      </c>
      <c r="M120" s="208">
        <v>1400</v>
      </c>
      <c r="N120" s="208">
        <v>1400</v>
      </c>
      <c r="O120" s="208">
        <v>1400</v>
      </c>
      <c r="P120" s="208">
        <v>1400</v>
      </c>
      <c r="Q120" s="208">
        <v>1400</v>
      </c>
      <c r="R120" s="208">
        <v>1400</v>
      </c>
      <c r="S120" s="208">
        <v>1400</v>
      </c>
      <c r="T120" s="208">
        <v>1400</v>
      </c>
      <c r="U120" s="208">
        <v>1400</v>
      </c>
      <c r="V120" s="208">
        <v>1400</v>
      </c>
      <c r="W120" s="208">
        <v>1400</v>
      </c>
      <c r="X120" s="208">
        <v>1400</v>
      </c>
      <c r="Y120" s="208">
        <v>1400</v>
      </c>
      <c r="Z120" s="208">
        <v>1400</v>
      </c>
      <c r="AA120" s="208">
        <v>1400</v>
      </c>
      <c r="AB120" s="208">
        <v>1400</v>
      </c>
      <c r="AC120" s="208">
        <v>1400</v>
      </c>
      <c r="AD120" s="208">
        <v>1400</v>
      </c>
      <c r="AE120" s="208">
        <v>1400</v>
      </c>
      <c r="AF120" s="208">
        <v>1400</v>
      </c>
      <c r="AG120" s="208">
        <v>1400</v>
      </c>
      <c r="AH120" s="208">
        <v>1400</v>
      </c>
      <c r="AI120" s="208">
        <v>1400</v>
      </c>
      <c r="AJ120" s="208">
        <v>1400</v>
      </c>
      <c r="AK120" s="208">
        <v>1400</v>
      </c>
      <c r="AL120" s="208">
        <v>1400</v>
      </c>
    </row>
    <row r="121" spans="1:38" s="33" customFormat="1" outlineLevel="1" x14ac:dyDescent="0.15">
      <c r="A121" s="130"/>
      <c r="B121" s="173"/>
      <c r="C121" s="173"/>
      <c r="D121" s="207"/>
      <c r="E121" s="150"/>
      <c r="F121" s="207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</row>
    <row r="122" spans="1:38" s="33" customFormat="1" outlineLevel="1" x14ac:dyDescent="0.15">
      <c r="A122" s="173" t="s">
        <v>181</v>
      </c>
      <c r="B122" s="173"/>
      <c r="C122" s="173"/>
      <c r="D122" s="131"/>
      <c r="E122" s="41"/>
      <c r="F122" s="132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</row>
    <row r="123" spans="1:38" s="33" customFormat="1" outlineLevel="1" x14ac:dyDescent="0.15">
      <c r="A123" s="130"/>
      <c r="B123" s="114" t="s">
        <v>284</v>
      </c>
      <c r="C123" s="173"/>
      <c r="D123" s="207" t="s">
        <v>173</v>
      </c>
      <c r="E123" s="150">
        <f>IFERROR(AVERAGE(G123:AL123),"na")</f>
        <v>50581478.071610592</v>
      </c>
      <c r="F123" s="163">
        <f>SUM(G123:AL123)</f>
        <v>1618607298.291539</v>
      </c>
      <c r="G123" s="173">
        <f>G118*G87*$G$93</f>
        <v>99645911.023472831</v>
      </c>
      <c r="H123" s="173">
        <f t="shared" ref="H123:AL125" si="99">H118*H87*$G$93</f>
        <v>102200934.38304904</v>
      </c>
      <c r="I123" s="173">
        <f t="shared" si="99"/>
        <v>83038259.186227337</v>
      </c>
      <c r="J123" s="173">
        <f t="shared" si="99"/>
        <v>113698539.50114205</v>
      </c>
      <c r="K123" s="173">
        <f t="shared" si="99"/>
        <v>90703329.264956027</v>
      </c>
      <c r="L123" s="173">
        <f t="shared" si="99"/>
        <v>93258352.624532253</v>
      </c>
      <c r="M123" s="173">
        <f t="shared" si="99"/>
        <v>116253562.86071829</v>
      </c>
      <c r="N123" s="173">
        <f t="shared" si="99"/>
        <v>126473656.2990232</v>
      </c>
      <c r="O123" s="173">
        <f t="shared" si="99"/>
        <v>134138726.37775187</v>
      </c>
      <c r="P123" s="173">
        <f t="shared" si="99"/>
        <v>107310981.10220149</v>
      </c>
      <c r="Q123" s="173">
        <f t="shared" si="99"/>
        <v>90703329.264956027</v>
      </c>
      <c r="R123" s="173">
        <f t="shared" si="99"/>
        <v>89425817.585167915</v>
      </c>
      <c r="S123" s="173">
        <f t="shared" si="99"/>
        <v>76650700.787286788</v>
      </c>
      <c r="T123" s="173">
        <f t="shared" si="99"/>
        <v>51100467.191524521</v>
      </c>
      <c r="U123" s="173">
        <f t="shared" si="99"/>
        <v>51100467.191524521</v>
      </c>
      <c r="V123" s="173">
        <f t="shared" si="99"/>
        <v>38325350.393643394</v>
      </c>
      <c r="W123" s="173">
        <f t="shared" si="99"/>
        <v>39602862.073431507</v>
      </c>
      <c r="X123" s="173">
        <f t="shared" si="99"/>
        <v>38325350.393643394</v>
      </c>
      <c r="Y123" s="173">
        <f t="shared" si="99"/>
        <v>38325350.393643394</v>
      </c>
      <c r="Z123" s="173">
        <f t="shared" si="99"/>
        <v>38325350.393643394</v>
      </c>
      <c r="AA123" s="173">
        <f t="shared" si="99"/>
        <v>0</v>
      </c>
      <c r="AB123" s="173">
        <f t="shared" si="99"/>
        <v>0</v>
      </c>
      <c r="AC123" s="173">
        <f t="shared" si="99"/>
        <v>0</v>
      </c>
      <c r="AD123" s="173">
        <f t="shared" si="99"/>
        <v>0</v>
      </c>
      <c r="AE123" s="173">
        <f t="shared" si="99"/>
        <v>0</v>
      </c>
      <c r="AF123" s="173">
        <f t="shared" si="99"/>
        <v>0</v>
      </c>
      <c r="AG123" s="173">
        <f t="shared" si="99"/>
        <v>0</v>
      </c>
      <c r="AH123" s="173">
        <f t="shared" si="99"/>
        <v>0</v>
      </c>
      <c r="AI123" s="173">
        <f t="shared" si="99"/>
        <v>0</v>
      </c>
      <c r="AJ123" s="173">
        <f t="shared" si="99"/>
        <v>0</v>
      </c>
      <c r="AK123" s="173">
        <f t="shared" si="99"/>
        <v>0</v>
      </c>
      <c r="AL123" s="173">
        <f t="shared" si="99"/>
        <v>0</v>
      </c>
    </row>
    <row r="124" spans="1:38" s="33" customFormat="1" outlineLevel="1" x14ac:dyDescent="0.15">
      <c r="A124" s="130"/>
      <c r="B124" s="114" t="s">
        <v>285</v>
      </c>
      <c r="C124" s="173"/>
      <c r="D124" s="207" t="s">
        <v>173</v>
      </c>
      <c r="E124" s="150">
        <f t="shared" ref="E124:E126" si="100">IFERROR(AVERAGE(G124:AL124),"na")</f>
        <v>342824625</v>
      </c>
      <c r="F124" s="163">
        <f t="shared" ref="F124:F126" si="101">SUM(G124:AL124)</f>
        <v>10970388000</v>
      </c>
      <c r="G124" s="173">
        <f t="shared" ref="G124:V125" si="102">G119*G88*$G$93</f>
        <v>115830000</v>
      </c>
      <c r="H124" s="173">
        <f t="shared" si="102"/>
        <v>131274000</v>
      </c>
      <c r="I124" s="173">
        <f t="shared" si="102"/>
        <v>140283000</v>
      </c>
      <c r="J124" s="173">
        <f t="shared" si="102"/>
        <v>157014000</v>
      </c>
      <c r="K124" s="173">
        <f t="shared" si="102"/>
        <v>218790000</v>
      </c>
      <c r="L124" s="173">
        <f t="shared" si="102"/>
        <v>296010000</v>
      </c>
      <c r="M124" s="173">
        <f t="shared" si="102"/>
        <v>284427000</v>
      </c>
      <c r="N124" s="173">
        <f t="shared" si="102"/>
        <v>281853000</v>
      </c>
      <c r="O124" s="173">
        <f t="shared" si="102"/>
        <v>262548000</v>
      </c>
      <c r="P124" s="173">
        <f t="shared" si="102"/>
        <v>173745000</v>
      </c>
      <c r="Q124" s="173">
        <f t="shared" si="102"/>
        <v>115830000</v>
      </c>
      <c r="R124" s="173">
        <f t="shared" si="102"/>
        <v>150579000</v>
      </c>
      <c r="S124" s="173">
        <f t="shared" si="102"/>
        <v>386100000</v>
      </c>
      <c r="T124" s="173">
        <f t="shared" si="102"/>
        <v>257400000</v>
      </c>
      <c r="U124" s="173">
        <f t="shared" si="102"/>
        <v>386100000</v>
      </c>
      <c r="V124" s="173">
        <f t="shared" si="102"/>
        <v>546975000</v>
      </c>
      <c r="W124" s="173">
        <f t="shared" si="99"/>
        <v>566280000</v>
      </c>
      <c r="X124" s="173">
        <f t="shared" si="99"/>
        <v>617760000</v>
      </c>
      <c r="Y124" s="173">
        <f t="shared" si="99"/>
        <v>617760000</v>
      </c>
      <c r="Z124" s="173">
        <f t="shared" si="99"/>
        <v>617760000</v>
      </c>
      <c r="AA124" s="173">
        <f t="shared" si="99"/>
        <v>669240000</v>
      </c>
      <c r="AB124" s="173">
        <f t="shared" si="99"/>
        <v>527670000</v>
      </c>
      <c r="AC124" s="173">
        <f t="shared" si="99"/>
        <v>386100000</v>
      </c>
      <c r="AD124" s="173">
        <f t="shared" si="99"/>
        <v>386100000</v>
      </c>
      <c r="AE124" s="173">
        <f t="shared" si="99"/>
        <v>386100000</v>
      </c>
      <c r="AF124" s="173">
        <f t="shared" si="99"/>
        <v>386100000</v>
      </c>
      <c r="AG124" s="173">
        <f t="shared" si="99"/>
        <v>386100000</v>
      </c>
      <c r="AH124" s="173">
        <f t="shared" si="99"/>
        <v>321750000</v>
      </c>
      <c r="AI124" s="173">
        <f t="shared" si="99"/>
        <v>321750000</v>
      </c>
      <c r="AJ124" s="173">
        <f t="shared" si="99"/>
        <v>334620000</v>
      </c>
      <c r="AK124" s="173">
        <f t="shared" si="99"/>
        <v>386100000</v>
      </c>
      <c r="AL124" s="173">
        <f t="shared" si="99"/>
        <v>154440000</v>
      </c>
    </row>
    <row r="125" spans="1:38" s="33" customFormat="1" outlineLevel="1" x14ac:dyDescent="0.15">
      <c r="A125" s="213"/>
      <c r="B125" s="214" t="s">
        <v>286</v>
      </c>
      <c r="C125" s="201"/>
      <c r="D125" s="202" t="s">
        <v>173</v>
      </c>
      <c r="E125" s="203">
        <f t="shared" si="100"/>
        <v>40129031.25</v>
      </c>
      <c r="F125" s="211">
        <f t="shared" si="101"/>
        <v>1284129000</v>
      </c>
      <c r="G125" s="201">
        <f t="shared" si="102"/>
        <v>59598000</v>
      </c>
      <c r="H125" s="201">
        <f t="shared" si="99"/>
        <v>149688000</v>
      </c>
      <c r="I125" s="201">
        <f t="shared" si="99"/>
        <v>144144000</v>
      </c>
      <c r="J125" s="201">
        <f t="shared" si="99"/>
        <v>162162000</v>
      </c>
      <c r="K125" s="201">
        <f t="shared" si="99"/>
        <v>166320000</v>
      </c>
      <c r="L125" s="201">
        <f t="shared" si="99"/>
        <v>141372000</v>
      </c>
      <c r="M125" s="201">
        <f t="shared" si="99"/>
        <v>83160000</v>
      </c>
      <c r="N125" s="201">
        <f t="shared" si="99"/>
        <v>76230000</v>
      </c>
      <c r="O125" s="201">
        <f t="shared" si="99"/>
        <v>81774000</v>
      </c>
      <c r="P125" s="201">
        <f t="shared" si="99"/>
        <v>82467000</v>
      </c>
      <c r="Q125" s="201">
        <f t="shared" si="99"/>
        <v>49896000</v>
      </c>
      <c r="R125" s="201">
        <f t="shared" si="99"/>
        <v>58212000</v>
      </c>
      <c r="S125" s="201">
        <f t="shared" si="99"/>
        <v>15246000</v>
      </c>
      <c r="T125" s="201">
        <f t="shared" si="99"/>
        <v>13860000</v>
      </c>
      <c r="U125" s="201">
        <f t="shared" si="99"/>
        <v>0</v>
      </c>
      <c r="V125" s="201">
        <f t="shared" si="99"/>
        <v>0</v>
      </c>
      <c r="W125" s="201">
        <f t="shared" si="99"/>
        <v>0</v>
      </c>
      <c r="X125" s="201">
        <f t="shared" si="99"/>
        <v>0</v>
      </c>
      <c r="Y125" s="201">
        <f t="shared" si="99"/>
        <v>0</v>
      </c>
      <c r="Z125" s="201">
        <f t="shared" si="99"/>
        <v>0</v>
      </c>
      <c r="AA125" s="201">
        <f t="shared" si="99"/>
        <v>0</v>
      </c>
      <c r="AB125" s="201">
        <f t="shared" si="99"/>
        <v>0</v>
      </c>
      <c r="AC125" s="201">
        <f t="shared" si="99"/>
        <v>0</v>
      </c>
      <c r="AD125" s="201">
        <f t="shared" si="99"/>
        <v>0</v>
      </c>
      <c r="AE125" s="201">
        <f t="shared" si="99"/>
        <v>0</v>
      </c>
      <c r="AF125" s="201">
        <f t="shared" si="99"/>
        <v>0</v>
      </c>
      <c r="AG125" s="201">
        <f t="shared" si="99"/>
        <v>0</v>
      </c>
      <c r="AH125" s="201">
        <f t="shared" si="99"/>
        <v>0</v>
      </c>
      <c r="AI125" s="201">
        <f t="shared" si="99"/>
        <v>0</v>
      </c>
      <c r="AJ125" s="201">
        <f t="shared" si="99"/>
        <v>0</v>
      </c>
      <c r="AK125" s="201">
        <f t="shared" si="99"/>
        <v>0</v>
      </c>
      <c r="AL125" s="201">
        <f t="shared" si="99"/>
        <v>0</v>
      </c>
    </row>
    <row r="126" spans="1:38" s="33" customFormat="1" outlineLevel="1" x14ac:dyDescent="0.15">
      <c r="A126" s="130" t="s">
        <v>64</v>
      </c>
      <c r="B126" s="173"/>
      <c r="C126" s="173"/>
      <c r="D126" s="207" t="s">
        <v>173</v>
      </c>
      <c r="E126" s="150">
        <f t="shared" si="100"/>
        <v>433535134.32161057</v>
      </c>
      <c r="F126" s="163">
        <f t="shared" si="101"/>
        <v>13873124298.291538</v>
      </c>
      <c r="G126" s="78">
        <f>SUM(G123:G125)</f>
        <v>275073911.02347285</v>
      </c>
      <c r="H126" s="78">
        <f t="shared" ref="H126:AL126" si="103">SUM(H123:H125)</f>
        <v>383162934.38304901</v>
      </c>
      <c r="I126" s="78">
        <f t="shared" si="103"/>
        <v>367465259.18622732</v>
      </c>
      <c r="J126" s="78">
        <f t="shared" si="103"/>
        <v>432874539.50114202</v>
      </c>
      <c r="K126" s="78">
        <f t="shared" si="103"/>
        <v>475813329.264956</v>
      </c>
      <c r="L126" s="78">
        <f t="shared" si="103"/>
        <v>530640352.62453222</v>
      </c>
      <c r="M126" s="78">
        <f t="shared" si="103"/>
        <v>483840562.86071831</v>
      </c>
      <c r="N126" s="78">
        <f t="shared" si="103"/>
        <v>484556656.29902321</v>
      </c>
      <c r="O126" s="78">
        <f t="shared" si="103"/>
        <v>478460726.37775189</v>
      </c>
      <c r="P126" s="78">
        <f t="shared" si="103"/>
        <v>363522981.10220146</v>
      </c>
      <c r="Q126" s="78">
        <f t="shared" si="103"/>
        <v>256429329.26495603</v>
      </c>
      <c r="R126" s="78">
        <f t="shared" si="103"/>
        <v>298216817.58516788</v>
      </c>
      <c r="S126" s="78">
        <f t="shared" si="103"/>
        <v>477996700.78728676</v>
      </c>
      <c r="T126" s="78">
        <f t="shared" si="103"/>
        <v>322360467.19152451</v>
      </c>
      <c r="U126" s="78">
        <f t="shared" si="103"/>
        <v>437200467.19152451</v>
      </c>
      <c r="V126" s="78">
        <f t="shared" si="103"/>
        <v>585300350.39364338</v>
      </c>
      <c r="W126" s="78">
        <f t="shared" si="103"/>
        <v>605882862.07343149</v>
      </c>
      <c r="X126" s="78">
        <f t="shared" si="103"/>
        <v>656085350.39364338</v>
      </c>
      <c r="Y126" s="78">
        <f t="shared" si="103"/>
        <v>656085350.39364338</v>
      </c>
      <c r="Z126" s="78">
        <f t="shared" si="103"/>
        <v>656085350.39364338</v>
      </c>
      <c r="AA126" s="78">
        <f t="shared" si="103"/>
        <v>669240000</v>
      </c>
      <c r="AB126" s="78">
        <f t="shared" si="103"/>
        <v>527670000</v>
      </c>
      <c r="AC126" s="78">
        <f t="shared" si="103"/>
        <v>386100000</v>
      </c>
      <c r="AD126" s="78">
        <f t="shared" si="103"/>
        <v>386100000</v>
      </c>
      <c r="AE126" s="78">
        <f t="shared" si="103"/>
        <v>386100000</v>
      </c>
      <c r="AF126" s="78">
        <f t="shared" si="103"/>
        <v>386100000</v>
      </c>
      <c r="AG126" s="78">
        <f t="shared" si="103"/>
        <v>386100000</v>
      </c>
      <c r="AH126" s="78">
        <f t="shared" si="103"/>
        <v>321750000</v>
      </c>
      <c r="AI126" s="78">
        <f t="shared" si="103"/>
        <v>321750000</v>
      </c>
      <c r="AJ126" s="78">
        <f t="shared" si="103"/>
        <v>334620000</v>
      </c>
      <c r="AK126" s="78">
        <f t="shared" si="103"/>
        <v>386100000</v>
      </c>
      <c r="AL126" s="78">
        <f t="shared" si="103"/>
        <v>154440000</v>
      </c>
    </row>
    <row r="127" spans="1:38" s="33" customFormat="1" outlineLevel="1" x14ac:dyDescent="0.15">
      <c r="A127" s="130"/>
      <c r="B127" s="173"/>
      <c r="C127" s="173"/>
      <c r="D127" s="207"/>
      <c r="E127" s="150"/>
      <c r="F127" s="163" t="s">
        <v>287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</row>
    <row r="128" spans="1:38" s="33" customFormat="1" ht="16" customHeight="1" outlineLevel="1" x14ac:dyDescent="0.15">
      <c r="A128" s="37" t="s">
        <v>281</v>
      </c>
      <c r="B128" s="78"/>
      <c r="C128" s="78"/>
      <c r="D128" s="38" t="s">
        <v>173</v>
      </c>
      <c r="E128" s="41">
        <f>IFERROR(AVERAGE(G128:P128),"na")</f>
        <v>251148424.73769259</v>
      </c>
      <c r="F128" s="41">
        <f t="shared" ref="F128:Q128" si="104">F115-F126</f>
        <v>-7086228798.2915382</v>
      </c>
      <c r="G128" s="41">
        <f>G115-G126</f>
        <v>163595088.97652715</v>
      </c>
      <c r="H128" s="41">
        <f t="shared" si="104"/>
        <v>219747065.61695099</v>
      </c>
      <c r="I128" s="41">
        <f t="shared" si="104"/>
        <v>210496740.81377268</v>
      </c>
      <c r="J128" s="41">
        <f t="shared" si="104"/>
        <v>249037460.49885798</v>
      </c>
      <c r="K128" s="41">
        <f t="shared" si="104"/>
        <v>274705670.735044</v>
      </c>
      <c r="L128" s="41">
        <f t="shared" si="104"/>
        <v>311354647.37546778</v>
      </c>
      <c r="M128" s="41">
        <f t="shared" si="104"/>
        <v>289547437.13928169</v>
      </c>
      <c r="N128" s="41">
        <f t="shared" si="104"/>
        <v>290910343.70097679</v>
      </c>
      <c r="O128" s="41">
        <f t="shared" si="104"/>
        <v>286611273.62224811</v>
      </c>
      <c r="P128" s="41">
        <f t="shared" si="104"/>
        <v>215478518.89779854</v>
      </c>
      <c r="Q128" s="41">
        <f t="shared" si="104"/>
        <v>153133670.73504397</v>
      </c>
      <c r="R128" s="41">
        <f t="shared" ref="R128:Z128" si="105">R115-R126</f>
        <v>177874182.41483212</v>
      </c>
      <c r="S128" s="41">
        <f t="shared" si="105"/>
        <v>293312299.21271324</v>
      </c>
      <c r="T128" s="41">
        <f t="shared" si="105"/>
        <v>197389532.80847549</v>
      </c>
      <c r="U128" s="41">
        <f t="shared" si="105"/>
        <v>269659532.80847549</v>
      </c>
      <c r="V128" s="41">
        <f t="shared" si="105"/>
        <v>360644649.60635662</v>
      </c>
      <c r="W128" s="41">
        <f t="shared" si="105"/>
        <v>373326137.92656851</v>
      </c>
      <c r="X128" s="41">
        <f t="shared" si="105"/>
        <v>404204649.60635662</v>
      </c>
      <c r="Y128" s="41">
        <f t="shared" si="105"/>
        <v>404204649.60635662</v>
      </c>
      <c r="Z128" s="41">
        <f t="shared" si="105"/>
        <v>404204649.60635662</v>
      </c>
      <c r="AA128" s="41">
        <f>AA115-AA126</f>
        <v>411840000</v>
      </c>
      <c r="AB128" s="41">
        <f t="shared" ref="AB128:AL128" si="106">AB115-AB126</f>
        <v>324720000</v>
      </c>
      <c r="AC128" s="41">
        <f t="shared" si="106"/>
        <v>237600000</v>
      </c>
      <c r="AD128" s="41">
        <f t="shared" si="106"/>
        <v>237600000</v>
      </c>
      <c r="AE128" s="41">
        <f t="shared" si="106"/>
        <v>237600000</v>
      </c>
      <c r="AF128" s="41">
        <f t="shared" si="106"/>
        <v>237600000</v>
      </c>
      <c r="AG128" s="41">
        <f t="shared" si="106"/>
        <v>237600000</v>
      </c>
      <c r="AH128" s="41">
        <f t="shared" si="106"/>
        <v>198000000</v>
      </c>
      <c r="AI128" s="41">
        <f t="shared" si="106"/>
        <v>198000000</v>
      </c>
      <c r="AJ128" s="41">
        <f t="shared" si="106"/>
        <v>205920000</v>
      </c>
      <c r="AK128" s="41">
        <f t="shared" si="106"/>
        <v>237600000</v>
      </c>
      <c r="AL128" s="41">
        <f t="shared" si="106"/>
        <v>95040000</v>
      </c>
    </row>
    <row r="129" spans="1:38" s="33" customFormat="1" x14ac:dyDescent="0.15">
      <c r="A129" s="78"/>
      <c r="B129" s="78"/>
      <c r="C129" s="78"/>
      <c r="D129" s="79"/>
      <c r="E129" s="79"/>
      <c r="F129" s="79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</row>
    <row r="130" spans="1:38" s="50" customFormat="1" ht="18.75" customHeight="1" x14ac:dyDescent="0.2">
      <c r="A130" s="107" t="s">
        <v>198</v>
      </c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</row>
    <row r="131" spans="1:38" s="33" customFormat="1" outlineLevel="1" x14ac:dyDescent="0.15">
      <c r="A131" s="78"/>
      <c r="B131" s="78"/>
      <c r="C131" s="78"/>
      <c r="D131" s="79"/>
      <c r="E131" s="79"/>
      <c r="F131" s="79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</row>
    <row r="132" spans="1:38" s="33" customFormat="1" outlineLevel="1" x14ac:dyDescent="0.15">
      <c r="A132" s="37" t="s">
        <v>199</v>
      </c>
      <c r="B132" s="78"/>
      <c r="C132" s="78"/>
      <c r="D132" s="79"/>
      <c r="E132" s="79"/>
      <c r="F132" s="79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</row>
    <row r="133" spans="1:38" s="33" customFormat="1" outlineLevel="1" x14ac:dyDescent="0.15">
      <c r="A133" s="78" t="s">
        <v>281</v>
      </c>
      <c r="B133" s="78"/>
      <c r="C133" s="78"/>
      <c r="D133" s="79" t="s">
        <v>173</v>
      </c>
      <c r="E133" s="150">
        <f>IFERROR(AVERAGE(G133:P133),"na")</f>
        <v>251148424.73769259</v>
      </c>
      <c r="F133" s="150">
        <f>SUM(G133:P133)</f>
        <v>2511484247.3769259</v>
      </c>
      <c r="G133" s="78">
        <f>G128</f>
        <v>163595088.97652715</v>
      </c>
      <c r="H133" s="78">
        <f t="shared" ref="H133:Q133" si="107">H128</f>
        <v>219747065.61695099</v>
      </c>
      <c r="I133" s="78">
        <f t="shared" si="107"/>
        <v>210496740.81377268</v>
      </c>
      <c r="J133" s="78">
        <f t="shared" si="107"/>
        <v>249037460.49885798</v>
      </c>
      <c r="K133" s="78">
        <f t="shared" si="107"/>
        <v>274705670.735044</v>
      </c>
      <c r="L133" s="78">
        <f t="shared" si="107"/>
        <v>311354647.37546778</v>
      </c>
      <c r="M133" s="78">
        <f t="shared" si="107"/>
        <v>289547437.13928169</v>
      </c>
      <c r="N133" s="78">
        <f t="shared" si="107"/>
        <v>290910343.70097679</v>
      </c>
      <c r="O133" s="78">
        <f t="shared" si="107"/>
        <v>286611273.62224811</v>
      </c>
      <c r="P133" s="78">
        <f t="shared" si="107"/>
        <v>215478518.89779854</v>
      </c>
      <c r="Q133" s="78">
        <f t="shared" si="107"/>
        <v>153133670.73504397</v>
      </c>
      <c r="R133" s="78">
        <f t="shared" ref="R133:AA133" si="108">R128</f>
        <v>177874182.41483212</v>
      </c>
      <c r="S133" s="78">
        <f t="shared" si="108"/>
        <v>293312299.21271324</v>
      </c>
      <c r="T133" s="78">
        <f t="shared" si="108"/>
        <v>197389532.80847549</v>
      </c>
      <c r="U133" s="78">
        <f t="shared" si="108"/>
        <v>269659532.80847549</v>
      </c>
      <c r="V133" s="78">
        <f t="shared" si="108"/>
        <v>360644649.60635662</v>
      </c>
      <c r="W133" s="78">
        <f t="shared" si="108"/>
        <v>373326137.92656851</v>
      </c>
      <c r="X133" s="78">
        <f t="shared" si="108"/>
        <v>404204649.60635662</v>
      </c>
      <c r="Y133" s="78">
        <f t="shared" si="108"/>
        <v>404204649.60635662</v>
      </c>
      <c r="Z133" s="78">
        <f t="shared" si="108"/>
        <v>404204649.60635662</v>
      </c>
      <c r="AA133" s="78">
        <f t="shared" si="108"/>
        <v>411840000</v>
      </c>
      <c r="AB133" s="78">
        <f t="shared" ref="AB133:AL133" si="109">AB128</f>
        <v>324720000</v>
      </c>
      <c r="AC133" s="78">
        <f t="shared" si="109"/>
        <v>237600000</v>
      </c>
      <c r="AD133" s="78">
        <f t="shared" si="109"/>
        <v>237600000</v>
      </c>
      <c r="AE133" s="78">
        <f t="shared" si="109"/>
        <v>237600000</v>
      </c>
      <c r="AF133" s="78">
        <f t="shared" si="109"/>
        <v>237600000</v>
      </c>
      <c r="AG133" s="78">
        <f t="shared" si="109"/>
        <v>237600000</v>
      </c>
      <c r="AH133" s="78">
        <f t="shared" si="109"/>
        <v>198000000</v>
      </c>
      <c r="AI133" s="78">
        <f t="shared" si="109"/>
        <v>198000000</v>
      </c>
      <c r="AJ133" s="78">
        <f t="shared" si="109"/>
        <v>205920000</v>
      </c>
      <c r="AK133" s="78">
        <f t="shared" si="109"/>
        <v>237600000</v>
      </c>
      <c r="AL133" s="78">
        <f t="shared" si="109"/>
        <v>95040000</v>
      </c>
    </row>
    <row r="134" spans="1:38" s="33" customFormat="1" outlineLevel="1" x14ac:dyDescent="0.15">
      <c r="A134" s="78" t="s">
        <v>200</v>
      </c>
      <c r="B134" s="78"/>
      <c r="C134" s="78"/>
      <c r="D134" s="79"/>
      <c r="E134" s="79"/>
      <c r="F134" s="79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</row>
    <row r="135" spans="1:38" s="33" customFormat="1" outlineLevel="1" x14ac:dyDescent="0.15">
      <c r="A135" s="78" t="s">
        <v>202</v>
      </c>
      <c r="B135" s="78" t="s">
        <v>141</v>
      </c>
      <c r="C135" s="78"/>
      <c r="D135" s="79" t="s">
        <v>173</v>
      </c>
      <c r="E135" s="150">
        <f>IFERROR(AVERAGE(G135:P135),"na")</f>
        <v>75344527.421307772</v>
      </c>
      <c r="F135" s="150">
        <f>SUM(G135:P135)</f>
        <v>753445274.21307766</v>
      </c>
      <c r="G135" s="78">
        <f>G133*$F$59</f>
        <v>49078526.692958146</v>
      </c>
      <c r="H135" s="78">
        <f t="shared" ref="H135:Q135" si="110">H133*$F$59</f>
        <v>65924119.685085297</v>
      </c>
      <c r="I135" s="78">
        <f t="shared" si="110"/>
        <v>63149022.244131804</v>
      </c>
      <c r="J135" s="78">
        <f t="shared" si="110"/>
        <v>74711238.149657384</v>
      </c>
      <c r="K135" s="78">
        <f t="shared" si="110"/>
        <v>82411701.220513195</v>
      </c>
      <c r="L135" s="78">
        <f t="shared" si="110"/>
        <v>93406394.21264033</v>
      </c>
      <c r="M135" s="78">
        <f t="shared" si="110"/>
        <v>86864231.141784504</v>
      </c>
      <c r="N135" s="78">
        <f t="shared" si="110"/>
        <v>87273103.110293031</v>
      </c>
      <c r="O135" s="78">
        <f t="shared" si="110"/>
        <v>85983382.086674437</v>
      </c>
      <c r="P135" s="78">
        <f t="shared" si="110"/>
        <v>64643555.66933956</v>
      </c>
      <c r="Q135" s="78">
        <f t="shared" si="110"/>
        <v>45940101.220513187</v>
      </c>
      <c r="R135" s="78">
        <f t="shared" ref="R135:AA135" si="111">R133*$F$59</f>
        <v>53362254.724449635</v>
      </c>
      <c r="S135" s="78">
        <f t="shared" si="111"/>
        <v>87993689.763813972</v>
      </c>
      <c r="T135" s="78">
        <f t="shared" si="111"/>
        <v>59216859.842542648</v>
      </c>
      <c r="U135" s="78">
        <f t="shared" si="111"/>
        <v>80897859.842542648</v>
      </c>
      <c r="V135" s="78">
        <f t="shared" si="111"/>
        <v>108193394.88190699</v>
      </c>
      <c r="W135" s="78">
        <f t="shared" si="111"/>
        <v>111997841.37797055</v>
      </c>
      <c r="X135" s="78">
        <f t="shared" si="111"/>
        <v>121261394.88190699</v>
      </c>
      <c r="Y135" s="78">
        <f t="shared" si="111"/>
        <v>121261394.88190699</v>
      </c>
      <c r="Z135" s="78">
        <f t="shared" si="111"/>
        <v>121261394.88190699</v>
      </c>
      <c r="AA135" s="78">
        <f t="shared" si="111"/>
        <v>123552000</v>
      </c>
      <c r="AB135" s="78">
        <f t="shared" ref="AB135:AL135" si="112">AB133*$F$59</f>
        <v>97416000</v>
      </c>
      <c r="AC135" s="78">
        <f t="shared" si="112"/>
        <v>71280000</v>
      </c>
      <c r="AD135" s="78">
        <f t="shared" si="112"/>
        <v>71280000</v>
      </c>
      <c r="AE135" s="78">
        <f t="shared" si="112"/>
        <v>71280000</v>
      </c>
      <c r="AF135" s="78">
        <f t="shared" si="112"/>
        <v>71280000</v>
      </c>
      <c r="AG135" s="78">
        <f t="shared" si="112"/>
        <v>71280000</v>
      </c>
      <c r="AH135" s="78">
        <f t="shared" si="112"/>
        <v>59400000</v>
      </c>
      <c r="AI135" s="78">
        <f t="shared" si="112"/>
        <v>59400000</v>
      </c>
      <c r="AJ135" s="78">
        <f t="shared" si="112"/>
        <v>61776000</v>
      </c>
      <c r="AK135" s="78">
        <f t="shared" si="112"/>
        <v>71280000</v>
      </c>
      <c r="AL135" s="78">
        <f t="shared" si="112"/>
        <v>28512000</v>
      </c>
    </row>
    <row r="136" spans="1:38" s="33" customFormat="1" outlineLevel="1" x14ac:dyDescent="0.15">
      <c r="A136" s="165"/>
      <c r="B136" s="165" t="s">
        <v>205</v>
      </c>
      <c r="C136" s="165"/>
      <c r="D136" s="166" t="s">
        <v>173</v>
      </c>
      <c r="E136" s="155">
        <f>IFERROR(AVERAGE(G136:P136),"na")</f>
        <v>75344527.421307772</v>
      </c>
      <c r="F136" s="155">
        <f>SUM(G136:P136)</f>
        <v>753445274.21307766</v>
      </c>
      <c r="G136" s="165">
        <f t="shared" ref="G136:Q136" si="113">SUM(G135:G135)</f>
        <v>49078526.692958146</v>
      </c>
      <c r="H136" s="165">
        <f t="shared" si="113"/>
        <v>65924119.685085297</v>
      </c>
      <c r="I136" s="165">
        <f t="shared" si="113"/>
        <v>63149022.244131804</v>
      </c>
      <c r="J136" s="165">
        <f t="shared" si="113"/>
        <v>74711238.149657384</v>
      </c>
      <c r="K136" s="165">
        <f t="shared" si="113"/>
        <v>82411701.220513195</v>
      </c>
      <c r="L136" s="165">
        <f t="shared" si="113"/>
        <v>93406394.21264033</v>
      </c>
      <c r="M136" s="165">
        <f t="shared" si="113"/>
        <v>86864231.141784504</v>
      </c>
      <c r="N136" s="165">
        <f t="shared" si="113"/>
        <v>87273103.110293031</v>
      </c>
      <c r="O136" s="165">
        <f t="shared" si="113"/>
        <v>85983382.086674437</v>
      </c>
      <c r="P136" s="165">
        <f t="shared" si="113"/>
        <v>64643555.66933956</v>
      </c>
      <c r="Q136" s="165">
        <f t="shared" si="113"/>
        <v>45940101.220513187</v>
      </c>
      <c r="R136" s="165">
        <f t="shared" ref="R136:AA136" si="114">SUM(R135:R135)</f>
        <v>53362254.724449635</v>
      </c>
      <c r="S136" s="165">
        <f t="shared" si="114"/>
        <v>87993689.763813972</v>
      </c>
      <c r="T136" s="165">
        <f t="shared" si="114"/>
        <v>59216859.842542648</v>
      </c>
      <c r="U136" s="165">
        <f t="shared" si="114"/>
        <v>80897859.842542648</v>
      </c>
      <c r="V136" s="165">
        <f t="shared" si="114"/>
        <v>108193394.88190699</v>
      </c>
      <c r="W136" s="165">
        <f t="shared" si="114"/>
        <v>111997841.37797055</v>
      </c>
      <c r="X136" s="165">
        <f t="shared" si="114"/>
        <v>121261394.88190699</v>
      </c>
      <c r="Y136" s="165">
        <f t="shared" si="114"/>
        <v>121261394.88190699</v>
      </c>
      <c r="Z136" s="165">
        <f t="shared" si="114"/>
        <v>121261394.88190699</v>
      </c>
      <c r="AA136" s="165">
        <f t="shared" si="114"/>
        <v>123552000</v>
      </c>
      <c r="AB136" s="165">
        <f t="shared" ref="AB136:AL136" si="115">SUM(AB135:AB135)</f>
        <v>97416000</v>
      </c>
      <c r="AC136" s="165">
        <f t="shared" si="115"/>
        <v>71280000</v>
      </c>
      <c r="AD136" s="165">
        <f t="shared" si="115"/>
        <v>71280000</v>
      </c>
      <c r="AE136" s="165">
        <f t="shared" si="115"/>
        <v>71280000</v>
      </c>
      <c r="AF136" s="165">
        <f t="shared" si="115"/>
        <v>71280000</v>
      </c>
      <c r="AG136" s="165">
        <f t="shared" si="115"/>
        <v>71280000</v>
      </c>
      <c r="AH136" s="165">
        <f t="shared" si="115"/>
        <v>59400000</v>
      </c>
      <c r="AI136" s="165">
        <f t="shared" si="115"/>
        <v>59400000</v>
      </c>
      <c r="AJ136" s="165">
        <f t="shared" si="115"/>
        <v>61776000</v>
      </c>
      <c r="AK136" s="165">
        <f t="shared" si="115"/>
        <v>71280000</v>
      </c>
      <c r="AL136" s="165">
        <f t="shared" si="115"/>
        <v>28512000</v>
      </c>
    </row>
    <row r="137" spans="1:38" s="33" customFormat="1" outlineLevel="1" x14ac:dyDescent="0.15">
      <c r="A137" s="78"/>
      <c r="B137" s="78"/>
      <c r="C137" s="78"/>
      <c r="D137" s="79"/>
      <c r="E137" s="79"/>
      <c r="F137" s="79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</row>
    <row r="138" spans="1:38" s="33" customFormat="1" outlineLevel="1" x14ac:dyDescent="0.15">
      <c r="A138" s="37" t="s">
        <v>199</v>
      </c>
      <c r="B138" s="78"/>
      <c r="C138" s="78"/>
      <c r="D138" s="79"/>
      <c r="E138" s="150">
        <f>IFERROR(AVERAGE(G138:P138),"na")</f>
        <v>326492952.15900034</v>
      </c>
      <c r="F138" s="150">
        <f>SUM(G138:P138)</f>
        <v>3264929521.5900035</v>
      </c>
      <c r="G138" s="37">
        <f t="shared" ref="G138:Q138" si="116">G133+G136</f>
        <v>212673615.6694853</v>
      </c>
      <c r="H138" s="37">
        <f t="shared" si="116"/>
        <v>285671185.30203629</v>
      </c>
      <c r="I138" s="37">
        <f t="shared" si="116"/>
        <v>273645763.05790448</v>
      </c>
      <c r="J138" s="37">
        <f t="shared" si="116"/>
        <v>323748698.64851534</v>
      </c>
      <c r="K138" s="37">
        <f t="shared" si="116"/>
        <v>357117371.95555723</v>
      </c>
      <c r="L138" s="37">
        <f t="shared" si="116"/>
        <v>404761041.58810812</v>
      </c>
      <c r="M138" s="37">
        <f t="shared" si="116"/>
        <v>376411668.28106618</v>
      </c>
      <c r="N138" s="37">
        <f t="shared" si="116"/>
        <v>378183446.81126982</v>
      </c>
      <c r="O138" s="37">
        <f t="shared" si="116"/>
        <v>372594655.70892256</v>
      </c>
      <c r="P138" s="37">
        <f t="shared" si="116"/>
        <v>280122074.56713808</v>
      </c>
      <c r="Q138" s="37">
        <f t="shared" si="116"/>
        <v>199073771.95555717</v>
      </c>
      <c r="R138" s="37">
        <f t="shared" ref="R138:AA138" si="117">R133+R136</f>
        <v>231236437.13928175</v>
      </c>
      <c r="S138" s="37">
        <f t="shared" si="117"/>
        <v>381305988.97652721</v>
      </c>
      <c r="T138" s="37">
        <f t="shared" si="117"/>
        <v>256606392.65101814</v>
      </c>
      <c r="U138" s="37">
        <f t="shared" si="117"/>
        <v>350557392.65101814</v>
      </c>
      <c r="V138" s="37">
        <f t="shared" si="117"/>
        <v>468838044.48826361</v>
      </c>
      <c r="W138" s="37">
        <f t="shared" si="117"/>
        <v>485323979.30453908</v>
      </c>
      <c r="X138" s="37">
        <f t="shared" si="117"/>
        <v>525466044.48826361</v>
      </c>
      <c r="Y138" s="37">
        <f t="shared" si="117"/>
        <v>525466044.48826361</v>
      </c>
      <c r="Z138" s="37">
        <f t="shared" si="117"/>
        <v>525466044.48826361</v>
      </c>
      <c r="AA138" s="37">
        <f t="shared" si="117"/>
        <v>535392000</v>
      </c>
      <c r="AB138" s="37">
        <f t="shared" ref="AB138:AL138" si="118">AB133+AB136</f>
        <v>422136000</v>
      </c>
      <c r="AC138" s="37">
        <f t="shared" si="118"/>
        <v>308880000</v>
      </c>
      <c r="AD138" s="37">
        <f t="shared" si="118"/>
        <v>308880000</v>
      </c>
      <c r="AE138" s="37">
        <f t="shared" si="118"/>
        <v>308880000</v>
      </c>
      <c r="AF138" s="37">
        <f t="shared" si="118"/>
        <v>308880000</v>
      </c>
      <c r="AG138" s="37">
        <f t="shared" si="118"/>
        <v>308880000</v>
      </c>
      <c r="AH138" s="37">
        <f t="shared" si="118"/>
        <v>257400000</v>
      </c>
      <c r="AI138" s="37">
        <f t="shared" si="118"/>
        <v>257400000</v>
      </c>
      <c r="AJ138" s="37">
        <f t="shared" si="118"/>
        <v>267696000</v>
      </c>
      <c r="AK138" s="37">
        <f t="shared" si="118"/>
        <v>308880000</v>
      </c>
      <c r="AL138" s="37">
        <f t="shared" si="118"/>
        <v>123552000</v>
      </c>
    </row>
    <row r="139" spans="1:38" s="33" customFormat="1" outlineLevel="1" x14ac:dyDescent="0.15">
      <c r="A139" s="78"/>
      <c r="B139" s="78"/>
      <c r="C139" s="78"/>
      <c r="D139" s="79"/>
      <c r="E139" s="79"/>
      <c r="F139" s="79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</row>
    <row r="140" spans="1:38" s="33" customFormat="1" outlineLevel="1" x14ac:dyDescent="0.15">
      <c r="A140" s="37" t="s">
        <v>206</v>
      </c>
      <c r="B140" s="78"/>
      <c r="C140" s="78"/>
      <c r="D140" s="94">
        <f>F69</f>
        <v>8.8684028169014079E-2</v>
      </c>
      <c r="E140" s="163" t="s">
        <v>157</v>
      </c>
      <c r="F140" s="163" t="s">
        <v>157</v>
      </c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</row>
    <row r="141" spans="1:38" s="33" customFormat="1" outlineLevel="1" x14ac:dyDescent="0.15">
      <c r="A141" s="78"/>
      <c r="B141" s="78"/>
      <c r="C141" s="78"/>
      <c r="D141" s="79"/>
      <c r="E141" s="79"/>
      <c r="F141" s="79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</row>
    <row r="142" spans="1:38" s="33" customFormat="1" outlineLevel="1" x14ac:dyDescent="0.15">
      <c r="A142" s="37" t="s">
        <v>207</v>
      </c>
      <c r="B142" s="37"/>
      <c r="C142" s="37"/>
      <c r="D142" s="79" t="s">
        <v>173</v>
      </c>
      <c r="E142" s="3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</row>
    <row r="143" spans="1:38" s="33" customFormat="1" outlineLevel="1" x14ac:dyDescent="0.15">
      <c r="A143" s="113" t="s">
        <v>208</v>
      </c>
      <c r="B143" s="174"/>
      <c r="C143" s="175"/>
      <c r="D143" s="79"/>
      <c r="E143" s="108">
        <f>XNPV(D140,G143:P143,G1:P1)</f>
        <v>2229266370.3990574</v>
      </c>
      <c r="F143" s="37">
        <v>0</v>
      </c>
      <c r="G143" s="37">
        <f>G138</f>
        <v>212673615.6694853</v>
      </c>
      <c r="H143" s="37">
        <f t="shared" ref="H143:Q143" si="119">H138</f>
        <v>285671185.30203629</v>
      </c>
      <c r="I143" s="37">
        <f t="shared" si="119"/>
        <v>273645763.05790448</v>
      </c>
      <c r="J143" s="37">
        <f t="shared" si="119"/>
        <v>323748698.64851534</v>
      </c>
      <c r="K143" s="37">
        <f t="shared" si="119"/>
        <v>357117371.95555723</v>
      </c>
      <c r="L143" s="37">
        <f t="shared" si="119"/>
        <v>404761041.58810812</v>
      </c>
      <c r="M143" s="37">
        <f t="shared" si="119"/>
        <v>376411668.28106618</v>
      </c>
      <c r="N143" s="37">
        <f t="shared" si="119"/>
        <v>378183446.81126982</v>
      </c>
      <c r="O143" s="37">
        <f t="shared" si="119"/>
        <v>372594655.70892256</v>
      </c>
      <c r="P143" s="37">
        <f t="shared" si="119"/>
        <v>280122074.56713808</v>
      </c>
      <c r="Q143" s="37">
        <f t="shared" si="119"/>
        <v>199073771.95555717</v>
      </c>
      <c r="R143" s="37">
        <f t="shared" ref="R143:AA143" si="120">R138</f>
        <v>231236437.13928175</v>
      </c>
      <c r="S143" s="37">
        <f t="shared" si="120"/>
        <v>381305988.97652721</v>
      </c>
      <c r="T143" s="37">
        <f t="shared" si="120"/>
        <v>256606392.65101814</v>
      </c>
      <c r="U143" s="37">
        <f t="shared" si="120"/>
        <v>350557392.65101814</v>
      </c>
      <c r="V143" s="37">
        <f t="shared" si="120"/>
        <v>468838044.48826361</v>
      </c>
      <c r="W143" s="37">
        <f t="shared" si="120"/>
        <v>485323979.30453908</v>
      </c>
      <c r="X143" s="37">
        <f t="shared" si="120"/>
        <v>525466044.48826361</v>
      </c>
      <c r="Y143" s="37">
        <f t="shared" si="120"/>
        <v>525466044.48826361</v>
      </c>
      <c r="Z143" s="37">
        <f t="shared" si="120"/>
        <v>525466044.48826361</v>
      </c>
      <c r="AA143" s="37">
        <f t="shared" si="120"/>
        <v>535392000</v>
      </c>
      <c r="AB143" s="37">
        <f t="shared" ref="AB143:AL143" si="121">AB138</f>
        <v>422136000</v>
      </c>
      <c r="AC143" s="37">
        <f t="shared" si="121"/>
        <v>308880000</v>
      </c>
      <c r="AD143" s="37">
        <f t="shared" si="121"/>
        <v>308880000</v>
      </c>
      <c r="AE143" s="37">
        <f t="shared" si="121"/>
        <v>308880000</v>
      </c>
      <c r="AF143" s="37">
        <f t="shared" si="121"/>
        <v>308880000</v>
      </c>
      <c r="AG143" s="37">
        <f t="shared" si="121"/>
        <v>308880000</v>
      </c>
      <c r="AH143" s="37">
        <f t="shared" si="121"/>
        <v>257400000</v>
      </c>
      <c r="AI143" s="37">
        <f t="shared" si="121"/>
        <v>257400000</v>
      </c>
      <c r="AJ143" s="37">
        <f t="shared" si="121"/>
        <v>267696000</v>
      </c>
      <c r="AK143" s="37">
        <f t="shared" si="121"/>
        <v>308880000</v>
      </c>
      <c r="AL143" s="37">
        <f t="shared" si="121"/>
        <v>123552000</v>
      </c>
    </row>
    <row r="144" spans="1:38" s="33" customFormat="1" outlineLevel="1" x14ac:dyDescent="0.15">
      <c r="A144" s="78" t="s">
        <v>209</v>
      </c>
      <c r="B144" s="78"/>
      <c r="C144" s="79"/>
      <c r="D144" s="79"/>
      <c r="E144" s="45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</row>
    <row r="145" spans="1:38" s="33" customFormat="1" outlineLevel="1" x14ac:dyDescent="0.15">
      <c r="A145" s="78"/>
      <c r="B145" s="78"/>
      <c r="C145" s="79"/>
      <c r="D145" s="79"/>
      <c r="E145" s="3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</row>
    <row r="146" spans="1:38" s="33" customFormat="1" outlineLevel="1" x14ac:dyDescent="0.15">
      <c r="A146" s="78" t="s">
        <v>210</v>
      </c>
      <c r="B146" s="78"/>
      <c r="C146" s="176" t="s">
        <v>211</v>
      </c>
      <c r="D146" s="79"/>
      <c r="E146" s="37"/>
      <c r="F146" s="37"/>
      <c r="G146" s="37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</row>
    <row r="147" spans="1:38" s="33" customFormat="1" outlineLevel="1" x14ac:dyDescent="0.15">
      <c r="A147" s="78"/>
      <c r="B147" s="78"/>
      <c r="C147" s="176" t="s">
        <v>212</v>
      </c>
      <c r="D147" s="79"/>
      <c r="E147" s="44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 spans="1:38" s="33" customFormat="1" outlineLevel="1" x14ac:dyDescent="0.15">
      <c r="A148" s="165" t="s">
        <v>213</v>
      </c>
      <c r="B148" s="165"/>
      <c r="C148" s="177" t="s">
        <v>214</v>
      </c>
      <c r="D148" s="166"/>
      <c r="E148" s="11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</row>
    <row r="149" spans="1:38" s="33" customFormat="1" outlineLevel="1" x14ac:dyDescent="0.15">
      <c r="A149" s="78"/>
      <c r="B149" s="78"/>
      <c r="C149" s="78"/>
      <c r="D149" s="79"/>
      <c r="E149" s="79"/>
      <c r="F149" s="3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</row>
    <row r="150" spans="1:38" s="33" customFormat="1" outlineLevel="1" x14ac:dyDescent="0.15">
      <c r="A150" s="37" t="s">
        <v>215</v>
      </c>
      <c r="B150" s="78"/>
      <c r="C150" s="78"/>
      <c r="D150" s="79"/>
      <c r="E150" s="79"/>
      <c r="F150" s="79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</row>
    <row r="151" spans="1:38" s="33" customFormat="1" outlineLevel="1" x14ac:dyDescent="0.15">
      <c r="A151" s="78"/>
      <c r="B151" s="78" t="s">
        <v>211</v>
      </c>
      <c r="C151" s="78"/>
      <c r="D151" s="79"/>
      <c r="E151" s="79"/>
      <c r="F151" s="79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</row>
    <row r="152" spans="1:38" s="33" customFormat="1" outlineLevel="1" x14ac:dyDescent="0.15">
      <c r="A152" s="78"/>
      <c r="B152" s="78" t="s">
        <v>216</v>
      </c>
      <c r="C152" s="78"/>
      <c r="D152" s="79"/>
      <c r="E152" s="79"/>
      <c r="F152" s="79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</row>
    <row r="153" spans="1:38" s="33" customFormat="1" outlineLevel="1" x14ac:dyDescent="0.15">
      <c r="A153" s="165"/>
      <c r="B153" s="165" t="s">
        <v>64</v>
      </c>
      <c r="C153" s="165"/>
      <c r="D153" s="166"/>
      <c r="E153" s="166"/>
      <c r="F153" s="166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  <c r="AJ153" s="165"/>
      <c r="AK153" s="165"/>
      <c r="AL153" s="165"/>
    </row>
    <row r="154" spans="1:38" s="33" customFormat="1" outlineLevel="1" x14ac:dyDescent="0.15">
      <c r="A154" s="78"/>
      <c r="B154" s="78"/>
      <c r="C154" s="78"/>
      <c r="D154" s="79"/>
      <c r="E154" s="79"/>
      <c r="F154" s="79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</row>
    <row r="155" spans="1:38" s="33" customFormat="1" outlineLevel="1" x14ac:dyDescent="0.15">
      <c r="A155" s="78"/>
      <c r="B155" s="78" t="s">
        <v>217</v>
      </c>
      <c r="C155" s="78"/>
      <c r="D155" s="79"/>
      <c r="E155" s="79"/>
      <c r="F155" s="79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</row>
    <row r="156" spans="1:38" s="33" customFormat="1" outlineLevel="1" x14ac:dyDescent="0.15">
      <c r="A156" s="78"/>
      <c r="B156" s="78" t="s">
        <v>218</v>
      </c>
      <c r="C156" s="78"/>
      <c r="D156" s="79"/>
      <c r="E156" s="111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</row>
    <row r="157" spans="1:38" s="33" customFormat="1" outlineLevel="1" x14ac:dyDescent="0.15">
      <c r="A157" s="78"/>
      <c r="B157" s="78"/>
      <c r="C157" s="78"/>
      <c r="D157" s="79"/>
      <c r="E157" s="79"/>
      <c r="F157" s="79"/>
      <c r="G157" s="78"/>
      <c r="H157" s="78"/>
      <c r="I157" s="178"/>
      <c r="J157" s="1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</row>
    <row r="158" spans="1:38" s="33" customFormat="1" outlineLevel="1" x14ac:dyDescent="0.15">
      <c r="A158" s="37" t="s">
        <v>12</v>
      </c>
      <c r="B158" s="78"/>
      <c r="C158" s="78"/>
      <c r="D158" s="79"/>
      <c r="E158" s="79"/>
      <c r="F158" s="79"/>
      <c r="G158" s="78"/>
      <c r="H158" s="78"/>
      <c r="I158" s="178"/>
      <c r="J158" s="1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</row>
    <row r="159" spans="1:38" s="33" customFormat="1" outlineLevel="1" x14ac:dyDescent="0.15">
      <c r="A159" s="78" t="s">
        <v>219</v>
      </c>
      <c r="B159" s="78"/>
      <c r="C159" s="78"/>
      <c r="D159" s="79"/>
      <c r="E159" s="79">
        <f>E143</f>
        <v>2229266370.3990574</v>
      </c>
      <c r="F159" s="79"/>
      <c r="G159" s="78"/>
      <c r="H159" s="78"/>
      <c r="I159" s="178"/>
      <c r="J159" s="1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</row>
    <row r="160" spans="1:38" s="33" customFormat="1" outlineLevel="1" x14ac:dyDescent="0.15">
      <c r="A160" s="78" t="s">
        <v>220</v>
      </c>
      <c r="B160" s="78"/>
      <c r="C160" s="78"/>
      <c r="D160" s="79"/>
      <c r="E160" s="136">
        <v>-1100000</v>
      </c>
      <c r="F160" s="79"/>
      <c r="G160" s="78"/>
      <c r="H160" s="78"/>
      <c r="I160" s="178"/>
      <c r="J160" s="1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</row>
    <row r="161" spans="1:38" s="33" customFormat="1" outlineLevel="1" x14ac:dyDescent="0.15">
      <c r="A161" s="78" t="s">
        <v>221</v>
      </c>
      <c r="B161" s="78"/>
      <c r="C161" s="78"/>
      <c r="D161" s="79"/>
      <c r="E161" s="136">
        <v>26300000</v>
      </c>
      <c r="F161" s="79"/>
      <c r="G161" s="78"/>
      <c r="H161" s="78"/>
      <c r="I161" s="178"/>
      <c r="J161" s="1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</row>
    <row r="162" spans="1:38" s="33" customFormat="1" outlineLevel="1" x14ac:dyDescent="0.15">
      <c r="A162" s="78" t="s">
        <v>222</v>
      </c>
      <c r="B162" s="78"/>
      <c r="C162" s="78"/>
      <c r="D162" s="79"/>
      <c r="E162" s="136">
        <v>131400000</v>
      </c>
      <c r="F162" s="79"/>
      <c r="G162" s="78"/>
      <c r="H162" s="78"/>
      <c r="I162" s="178"/>
      <c r="J162" s="1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</row>
    <row r="163" spans="1:38" s="33" customFormat="1" outlineLevel="1" x14ac:dyDescent="0.15">
      <c r="A163" s="37" t="s">
        <v>223</v>
      </c>
      <c r="B163" s="78"/>
      <c r="C163" s="78"/>
      <c r="D163" s="79"/>
      <c r="E163" s="109">
        <f>SUM(E159:E161)-E162</f>
        <v>2123066370.3990574</v>
      </c>
      <c r="F163" s="79"/>
      <c r="G163" s="78"/>
      <c r="H163" s="78"/>
      <c r="I163" s="178"/>
      <c r="J163" s="1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</row>
    <row r="164" spans="1:38" s="33" customFormat="1" outlineLevel="1" x14ac:dyDescent="0.15">
      <c r="A164" s="37"/>
      <c r="B164" s="78"/>
      <c r="C164" s="78"/>
      <c r="D164" s="79"/>
      <c r="E164" s="79"/>
      <c r="F164" s="79"/>
      <c r="G164" s="78"/>
      <c r="H164" s="78"/>
      <c r="I164" s="178"/>
      <c r="J164" s="1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</row>
    <row r="165" spans="1:38" s="33" customFormat="1" outlineLevel="1" x14ac:dyDescent="0.15">
      <c r="A165" s="78" t="s">
        <v>224</v>
      </c>
      <c r="B165" s="78"/>
      <c r="C165" s="78"/>
      <c r="D165" s="79"/>
      <c r="E165" s="79">
        <v>1916500000</v>
      </c>
      <c r="F165" s="79"/>
      <c r="G165" s="78"/>
      <c r="H165" s="78"/>
      <c r="I165" s="178"/>
      <c r="J165" s="1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</row>
    <row r="166" spans="1:38" s="33" customFormat="1" outlineLevel="1" x14ac:dyDescent="0.15">
      <c r="A166" s="78" t="s">
        <v>225</v>
      </c>
      <c r="B166" s="78"/>
      <c r="C166" s="78"/>
      <c r="D166" s="79"/>
      <c r="E166" s="179">
        <f>E163/E165</f>
        <v>1.1077831309152399</v>
      </c>
      <c r="F166" s="79"/>
      <c r="G166" s="78"/>
      <c r="H166" s="78"/>
      <c r="I166" s="178"/>
      <c r="J166" s="1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</row>
    <row r="167" spans="1:38" s="33" customFormat="1" outlineLevel="1" x14ac:dyDescent="0.15">
      <c r="A167" s="37"/>
      <c r="B167" s="78"/>
      <c r="C167" s="78"/>
      <c r="D167" s="79"/>
      <c r="E167" s="79"/>
      <c r="F167" s="79"/>
      <c r="G167" s="78"/>
      <c r="H167" s="78"/>
      <c r="I167" s="178"/>
      <c r="J167" s="1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</row>
    <row r="168" spans="1:38" s="33" customFormat="1" outlineLevel="1" x14ac:dyDescent="0.15">
      <c r="A168" s="37" t="s">
        <v>15</v>
      </c>
      <c r="B168" s="78"/>
      <c r="C168" s="78"/>
      <c r="D168" s="79"/>
      <c r="E168" s="179">
        <f>$F$71</f>
        <v>0.47</v>
      </c>
      <c r="F168" s="79"/>
      <c r="G168" s="78"/>
      <c r="H168" s="78"/>
      <c r="I168" s="178"/>
      <c r="J168" s="1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</row>
    <row r="169" spans="1:38" s="33" customFormat="1" outlineLevel="1" x14ac:dyDescent="0.15">
      <c r="A169" s="37" t="s">
        <v>56</v>
      </c>
      <c r="B169" s="78"/>
      <c r="C169" s="78"/>
      <c r="D169" s="79"/>
      <c r="E169" s="110">
        <f>E168/E166</f>
        <v>0.42427076824295962</v>
      </c>
      <c r="F169" s="79"/>
      <c r="G169" s="78"/>
      <c r="H169" s="78"/>
      <c r="I169" s="178"/>
      <c r="J169" s="1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</row>
    <row r="170" spans="1:38" s="33" customFormat="1" x14ac:dyDescent="0.15">
      <c r="A170" s="78"/>
      <c r="B170" s="78"/>
      <c r="C170" s="78"/>
      <c r="D170" s="79"/>
      <c r="E170" s="79"/>
      <c r="F170" s="79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</row>
    <row r="171" spans="1:38" s="50" customFormat="1" ht="18.75" customHeight="1" x14ac:dyDescent="0.2">
      <c r="A171" s="107" t="s">
        <v>226</v>
      </c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</row>
    <row r="172" spans="1:38" ht="16.5" hidden="1" customHeight="1" outlineLevel="1" x14ac:dyDescent="0.15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</row>
    <row r="173" spans="1:38" hidden="1" outlineLevel="1" x14ac:dyDescent="0.15">
      <c r="A173" s="77"/>
      <c r="B173" s="77"/>
      <c r="C173" s="77"/>
      <c r="D173" s="77"/>
      <c r="E173" s="77"/>
      <c r="F173" s="77"/>
      <c r="G173" s="77" t="s">
        <v>227</v>
      </c>
      <c r="H173" s="180"/>
      <c r="I173" s="146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</row>
    <row r="174" spans="1:38" hidden="1" outlineLevel="1" x14ac:dyDescent="0.15">
      <c r="A174" s="77"/>
      <c r="B174" s="77"/>
      <c r="C174" s="77"/>
      <c r="D174" s="77"/>
      <c r="E174" s="77"/>
      <c r="F174" s="77"/>
      <c r="G174" s="77" t="s">
        <v>210</v>
      </c>
      <c r="H174" s="148"/>
      <c r="I174" s="146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</row>
    <row r="175" spans="1:38" hidden="1" outlineLevel="1" x14ac:dyDescent="0.15">
      <c r="A175" s="77"/>
      <c r="B175" s="77"/>
      <c r="C175" s="77"/>
      <c r="D175" s="77"/>
      <c r="E175" s="77"/>
      <c r="F175" s="77"/>
      <c r="G175" s="77" t="s">
        <v>228</v>
      </c>
      <c r="H175" s="60"/>
      <c r="I175" s="13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</row>
    <row r="176" spans="1:38" hidden="1" outlineLevel="1" x14ac:dyDescent="0.15">
      <c r="A176" s="77"/>
      <c r="B176" s="77"/>
      <c r="C176" s="77"/>
      <c r="D176" s="77"/>
      <c r="E176" s="77"/>
      <c r="F176" s="77"/>
      <c r="G176" s="77" t="s">
        <v>229</v>
      </c>
      <c r="H176" s="181"/>
      <c r="I176" s="142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</row>
    <row r="177" spans="1:38" hidden="1" outlineLevel="1" x14ac:dyDescent="0.15">
      <c r="A177" s="77"/>
      <c r="B177" s="77"/>
      <c r="C177" s="77"/>
      <c r="D177" s="77"/>
      <c r="E177" s="77"/>
      <c r="F177" s="77"/>
      <c r="G177" s="77"/>
      <c r="H177" s="142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</row>
    <row r="178" spans="1:38" ht="15.75" hidden="1" customHeight="1" outlineLevel="1" x14ac:dyDescent="0.15">
      <c r="A178" s="77"/>
      <c r="B178" s="77"/>
      <c r="C178" s="77"/>
      <c r="D178" s="77"/>
      <c r="E178" s="77"/>
      <c r="F178" s="77"/>
      <c r="G178" s="51" t="s">
        <v>229</v>
      </c>
      <c r="H178" s="52"/>
      <c r="I178" s="52"/>
      <c r="J178" s="52"/>
      <c r="K178" s="52"/>
      <c r="L178" s="52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</row>
    <row r="179" spans="1:38" hidden="1" outlineLevel="1" x14ac:dyDescent="0.15">
      <c r="A179" s="77"/>
      <c r="B179" s="77"/>
      <c r="C179" s="77"/>
      <c r="D179" s="77"/>
      <c r="E179" s="77"/>
      <c r="F179" s="77"/>
      <c r="G179" s="46"/>
      <c r="H179" s="182" t="s">
        <v>230</v>
      </c>
      <c r="I179" s="182"/>
      <c r="J179" s="182"/>
      <c r="K179" s="182"/>
      <c r="L179" s="182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</row>
    <row r="180" spans="1:38" hidden="1" outlineLevel="1" x14ac:dyDescent="0.15">
      <c r="G180" s="47">
        <f>E148</f>
        <v>0</v>
      </c>
      <c r="H180" s="62">
        <v>1000</v>
      </c>
      <c r="I180" s="183">
        <f>+H180+200</f>
        <v>1200</v>
      </c>
      <c r="J180" s="183">
        <f t="shared" ref="J180:L180" si="122">+I180+200</f>
        <v>1400</v>
      </c>
      <c r="K180" s="183">
        <f t="shared" si="122"/>
        <v>1600</v>
      </c>
      <c r="L180" s="183">
        <f t="shared" si="122"/>
        <v>1800</v>
      </c>
    </row>
    <row r="181" spans="1:38" hidden="1" outlineLevel="1" x14ac:dyDescent="0.15">
      <c r="G181" s="61">
        <v>12</v>
      </c>
      <c r="H181" s="184"/>
      <c r="I181" s="184"/>
      <c r="J181" s="184"/>
      <c r="K181" s="184"/>
      <c r="L181" s="184"/>
    </row>
    <row r="182" spans="1:38" hidden="1" outlineLevel="1" x14ac:dyDescent="0.15">
      <c r="G182" s="185">
        <f>+G181-1</f>
        <v>11</v>
      </c>
      <c r="H182" s="142"/>
      <c r="I182" s="142"/>
      <c r="J182" s="142"/>
      <c r="K182" s="142"/>
      <c r="L182" s="142"/>
    </row>
    <row r="183" spans="1:38" hidden="1" outlineLevel="1" x14ac:dyDescent="0.15">
      <c r="G183" s="185">
        <f t="shared" ref="G183:G189" si="123">+G182-1</f>
        <v>10</v>
      </c>
      <c r="H183" s="142"/>
      <c r="I183" s="142"/>
      <c r="J183" s="142"/>
      <c r="K183" s="142"/>
      <c r="L183" s="142"/>
    </row>
    <row r="184" spans="1:38" hidden="1" outlineLevel="1" x14ac:dyDescent="0.15">
      <c r="G184" s="185">
        <f t="shared" si="123"/>
        <v>9</v>
      </c>
      <c r="H184" s="142"/>
      <c r="I184" s="186"/>
      <c r="J184" s="186"/>
      <c r="K184" s="186"/>
      <c r="L184" s="142"/>
    </row>
    <row r="185" spans="1:38" hidden="1" outlineLevel="1" x14ac:dyDescent="0.15">
      <c r="G185" s="185">
        <f t="shared" si="123"/>
        <v>8</v>
      </c>
      <c r="H185" s="142"/>
      <c r="I185" s="186"/>
      <c r="J185" s="186"/>
      <c r="K185" s="186"/>
      <c r="L185" s="142"/>
    </row>
    <row r="186" spans="1:38" hidden="1" outlineLevel="1" x14ac:dyDescent="0.15">
      <c r="G186" s="185">
        <f t="shared" si="123"/>
        <v>7</v>
      </c>
      <c r="H186" s="142"/>
      <c r="I186" s="186"/>
      <c r="J186" s="186"/>
      <c r="K186" s="186"/>
      <c r="L186" s="142"/>
    </row>
    <row r="187" spans="1:38" hidden="1" outlineLevel="1" x14ac:dyDescent="0.15">
      <c r="G187" s="185">
        <f t="shared" si="123"/>
        <v>6</v>
      </c>
      <c r="H187" s="142"/>
      <c r="I187" s="142"/>
      <c r="J187" s="142"/>
      <c r="K187" s="142"/>
      <c r="L187" s="142"/>
    </row>
    <row r="188" spans="1:38" hidden="1" outlineLevel="1" x14ac:dyDescent="0.15">
      <c r="G188" s="185">
        <f t="shared" si="123"/>
        <v>5</v>
      </c>
      <c r="H188" s="142"/>
      <c r="I188" s="142"/>
      <c r="J188" s="142"/>
      <c r="K188" s="142"/>
      <c r="L188" s="142"/>
    </row>
    <row r="189" spans="1:38" hidden="1" outlineLevel="1" x14ac:dyDescent="0.15">
      <c r="G189" s="185">
        <f t="shared" si="123"/>
        <v>4</v>
      </c>
      <c r="H189" s="142"/>
      <c r="I189" s="142"/>
      <c r="J189" s="142"/>
      <c r="K189" s="142"/>
      <c r="L189" s="142"/>
    </row>
    <row r="190" spans="1:38" hidden="1" outlineLevel="1" x14ac:dyDescent="0.15">
      <c r="G190" s="77"/>
      <c r="H190" s="77"/>
      <c r="I190" s="77"/>
      <c r="J190" s="77"/>
      <c r="K190" s="77"/>
      <c r="L190" s="77"/>
    </row>
    <row r="191" spans="1:38" hidden="1" outlineLevel="1" x14ac:dyDescent="0.15">
      <c r="G191" s="77"/>
      <c r="H191" s="77"/>
      <c r="I191" s="77"/>
      <c r="J191" s="77"/>
      <c r="K191" s="77"/>
      <c r="L191" s="77"/>
    </row>
    <row r="192" spans="1:38" ht="15.75" hidden="1" customHeight="1" outlineLevel="1" x14ac:dyDescent="0.15">
      <c r="G192" s="51" t="s">
        <v>231</v>
      </c>
      <c r="H192" s="52"/>
      <c r="I192" s="52"/>
      <c r="J192" s="52"/>
      <c r="K192" s="52"/>
      <c r="L192" s="52"/>
    </row>
    <row r="193" spans="1:38" hidden="1" outlineLevel="1" x14ac:dyDescent="0.15">
      <c r="G193" s="77"/>
      <c r="H193" s="182" t="s">
        <v>230</v>
      </c>
      <c r="I193" s="182"/>
      <c r="J193" s="182"/>
      <c r="K193" s="182"/>
      <c r="L193" s="182"/>
    </row>
    <row r="194" spans="1:38" hidden="1" outlineLevel="1" x14ac:dyDescent="0.15">
      <c r="G194" s="54">
        <f>E146/1000000</f>
        <v>0</v>
      </c>
      <c r="H194" s="62">
        <v>1000</v>
      </c>
      <c r="I194" s="183">
        <f>+H194+200</f>
        <v>1200</v>
      </c>
      <c r="J194" s="183">
        <f t="shared" ref="J194:L194" si="124">+I194+200</f>
        <v>1400</v>
      </c>
      <c r="K194" s="183">
        <f t="shared" si="124"/>
        <v>1600</v>
      </c>
      <c r="L194" s="183">
        <f t="shared" si="124"/>
        <v>1800</v>
      </c>
    </row>
    <row r="195" spans="1:38" hidden="1" outlineLevel="1" x14ac:dyDescent="0.15">
      <c r="G195" s="63">
        <v>0.09</v>
      </c>
      <c r="H195" s="187"/>
      <c r="I195" s="144"/>
      <c r="J195" s="144"/>
      <c r="K195" s="144"/>
      <c r="L195" s="144"/>
    </row>
    <row r="196" spans="1:38" hidden="1" outlineLevel="1" x14ac:dyDescent="0.15">
      <c r="A196" s="77"/>
      <c r="B196" s="77"/>
      <c r="C196" s="77"/>
      <c r="D196" s="77"/>
      <c r="E196" s="77"/>
      <c r="F196" s="77"/>
      <c r="G196" s="188">
        <f>G195-0.01</f>
        <v>0.08</v>
      </c>
      <c r="H196" s="146"/>
      <c r="I196" s="146"/>
      <c r="J196" s="146"/>
      <c r="K196" s="146"/>
      <c r="L196" s="146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</row>
    <row r="197" spans="1:38" hidden="1" outlineLevel="1" x14ac:dyDescent="0.15">
      <c r="A197" s="77"/>
      <c r="B197" s="77"/>
      <c r="C197" s="77"/>
      <c r="D197" s="77"/>
      <c r="E197" s="77"/>
      <c r="F197" s="77"/>
      <c r="G197" s="188">
        <f t="shared" ref="G197:G203" si="125">G196-0.01</f>
        <v>7.0000000000000007E-2</v>
      </c>
      <c r="H197" s="146"/>
      <c r="I197" s="146"/>
      <c r="J197" s="146"/>
      <c r="K197" s="146"/>
      <c r="L197" s="146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</row>
    <row r="198" spans="1:38" hidden="1" outlineLevel="1" x14ac:dyDescent="0.15">
      <c r="A198" s="77"/>
      <c r="B198" s="77"/>
      <c r="C198" s="77"/>
      <c r="D198" s="77"/>
      <c r="E198" s="77"/>
      <c r="F198" s="77"/>
      <c r="G198" s="188">
        <f t="shared" si="125"/>
        <v>6.0000000000000005E-2</v>
      </c>
      <c r="H198" s="146"/>
      <c r="I198" s="189"/>
      <c r="J198" s="189"/>
      <c r="K198" s="189"/>
      <c r="L198" s="146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</row>
    <row r="199" spans="1:38" hidden="1" outlineLevel="1" x14ac:dyDescent="0.15">
      <c r="A199" s="77"/>
      <c r="B199" s="77"/>
      <c r="C199" s="77"/>
      <c r="D199" s="77"/>
      <c r="E199" s="77"/>
      <c r="F199" s="77"/>
      <c r="G199" s="188">
        <f t="shared" si="125"/>
        <v>0.05</v>
      </c>
      <c r="H199" s="146"/>
      <c r="I199" s="189"/>
      <c r="J199" s="189"/>
      <c r="K199" s="189"/>
      <c r="L199" s="146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</row>
    <row r="200" spans="1:38" hidden="1" outlineLevel="1" x14ac:dyDescent="0.15">
      <c r="A200" s="77"/>
      <c r="B200" s="77"/>
      <c r="C200" s="77"/>
      <c r="D200" s="77"/>
      <c r="E200" s="77"/>
      <c r="F200" s="77"/>
      <c r="G200" s="188">
        <f t="shared" si="125"/>
        <v>0.04</v>
      </c>
      <c r="H200" s="146"/>
      <c r="I200" s="189"/>
      <c r="J200" s="189"/>
      <c r="K200" s="189"/>
      <c r="L200" s="146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</row>
    <row r="201" spans="1:38" hidden="1" outlineLevel="1" x14ac:dyDescent="0.15">
      <c r="A201" s="77"/>
      <c r="B201" s="77"/>
      <c r="C201" s="77"/>
      <c r="D201" s="77"/>
      <c r="E201" s="77"/>
      <c r="F201" s="77"/>
      <c r="G201" s="188">
        <f t="shared" si="125"/>
        <v>0.03</v>
      </c>
      <c r="H201" s="146"/>
      <c r="I201" s="146"/>
      <c r="J201" s="146"/>
      <c r="K201" s="146"/>
      <c r="L201" s="146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</row>
    <row r="202" spans="1:38" hidden="1" outlineLevel="1" x14ac:dyDescent="0.15">
      <c r="A202" s="77"/>
      <c r="B202" s="77"/>
      <c r="C202" s="77"/>
      <c r="D202" s="77"/>
      <c r="E202" s="77"/>
      <c r="F202" s="77"/>
      <c r="G202" s="188">
        <f t="shared" si="125"/>
        <v>1.9999999999999997E-2</v>
      </c>
      <c r="H202" s="146"/>
      <c r="I202" s="146"/>
      <c r="J202" s="146"/>
      <c r="K202" s="146"/>
      <c r="L202" s="146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</row>
    <row r="203" spans="1:38" hidden="1" outlineLevel="1" x14ac:dyDescent="0.15">
      <c r="A203" s="77"/>
      <c r="B203" s="77"/>
      <c r="C203" s="77"/>
      <c r="D203" s="77"/>
      <c r="E203" s="77"/>
      <c r="F203" s="77"/>
      <c r="G203" s="188">
        <f t="shared" si="125"/>
        <v>9.9999999999999967E-3</v>
      </c>
      <c r="H203" s="146"/>
      <c r="I203" s="146"/>
      <c r="J203" s="146"/>
      <c r="K203" s="146"/>
      <c r="L203" s="146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</row>
    <row r="204" spans="1:38" hidden="1" outlineLevel="1" x14ac:dyDescent="0.15">
      <c r="A204" s="77"/>
      <c r="B204" s="77"/>
      <c r="C204" s="77"/>
      <c r="D204" s="77"/>
      <c r="E204" s="77"/>
      <c r="F204" s="77"/>
      <c r="G204" s="142"/>
      <c r="H204" s="146"/>
      <c r="I204" s="146"/>
      <c r="J204" s="146"/>
      <c r="K204" s="146"/>
      <c r="L204" s="146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</row>
    <row r="205" spans="1:38" collapsed="1" x14ac:dyDescent="0.1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</row>
    <row r="206" spans="1:38" s="50" customFormat="1" ht="18.75" customHeight="1" x14ac:dyDescent="0.2">
      <c r="A206" s="107" t="s">
        <v>232</v>
      </c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</row>
    <row r="207" spans="1:38" s="29" customFormat="1" ht="24" hidden="1" customHeight="1" outlineLevel="2" x14ac:dyDescent="0.2">
      <c r="A207" s="80"/>
      <c r="B207" s="80"/>
      <c r="C207" s="80"/>
      <c r="D207" s="80"/>
      <c r="E207" s="80"/>
      <c r="F207" s="80"/>
      <c r="G207" s="56">
        <f t="shared" ref="G207:P207" si="126">G2</f>
        <v>2024</v>
      </c>
      <c r="H207" s="56">
        <f t="shared" si="126"/>
        <v>2025</v>
      </c>
      <c r="I207" s="56">
        <f t="shared" si="126"/>
        <v>2026</v>
      </c>
      <c r="J207" s="56">
        <f t="shared" si="126"/>
        <v>2027</v>
      </c>
      <c r="K207" s="56">
        <f t="shared" si="126"/>
        <v>2028</v>
      </c>
      <c r="L207" s="56">
        <f t="shared" si="126"/>
        <v>2029</v>
      </c>
      <c r="M207" s="56">
        <f t="shared" si="126"/>
        <v>2030</v>
      </c>
      <c r="N207" s="56">
        <f t="shared" si="126"/>
        <v>2031</v>
      </c>
      <c r="O207" s="56">
        <f t="shared" si="126"/>
        <v>2032</v>
      </c>
      <c r="P207" s="56">
        <f t="shared" si="126"/>
        <v>2033</v>
      </c>
    </row>
    <row r="208" spans="1:38" s="29" customFormat="1" hidden="1" outlineLevel="2" x14ac:dyDescent="0.15">
      <c r="A208" s="153" t="s">
        <v>233</v>
      </c>
      <c r="B208" s="153"/>
      <c r="C208" s="153"/>
      <c r="D208" s="153"/>
      <c r="E208" s="153"/>
      <c r="F208" s="153"/>
      <c r="G208" s="57"/>
      <c r="H208" s="57"/>
      <c r="I208" s="57"/>
      <c r="J208" s="57"/>
      <c r="K208" s="57"/>
      <c r="L208" s="57"/>
      <c r="M208" s="57"/>
      <c r="N208" s="57"/>
      <c r="O208" s="57"/>
      <c r="P208" s="57"/>
    </row>
    <row r="209" spans="1:16" s="29" customFormat="1" hidden="1" outlineLevel="2" x14ac:dyDescent="0.15">
      <c r="A209" s="80" t="s">
        <v>203</v>
      </c>
      <c r="B209" s="80"/>
      <c r="C209" s="80"/>
      <c r="D209" s="80"/>
      <c r="E209" s="80"/>
      <c r="F209" s="8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1:16" s="29" customFormat="1" hidden="1" outlineLevel="2" x14ac:dyDescent="0.15">
      <c r="A210" s="153" t="s">
        <v>199</v>
      </c>
      <c r="B210" s="153"/>
      <c r="C210" s="153"/>
      <c r="D210" s="153"/>
      <c r="E210" s="153"/>
      <c r="F210" s="153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spans="1:16" s="29" customFormat="1" hidden="1" outlineLevel="2" x14ac:dyDescent="0.15">
      <c r="A211" s="80"/>
      <c r="B211" s="80"/>
      <c r="C211" s="80"/>
      <c r="D211" s="80"/>
      <c r="E211" s="80"/>
      <c r="F211" s="80"/>
      <c r="G211" s="55"/>
      <c r="H211" s="39"/>
      <c r="I211" s="39"/>
      <c r="J211" s="39"/>
      <c r="K211" s="39"/>
      <c r="L211" s="39"/>
      <c r="M211" s="39"/>
      <c r="N211" s="39"/>
      <c r="O211" s="39"/>
      <c r="P211" s="39"/>
    </row>
    <row r="212" spans="1:16" s="29" customFormat="1" hidden="1" outlineLevel="2" x14ac:dyDescent="0.15">
      <c r="A212" s="80" t="s">
        <v>215</v>
      </c>
      <c r="B212" s="80"/>
      <c r="C212" s="80"/>
      <c r="D212" s="80"/>
      <c r="E212" s="80"/>
      <c r="F212" s="80"/>
      <c r="G212" s="55"/>
      <c r="H212" s="55"/>
      <c r="I212" s="55"/>
      <c r="J212" s="55"/>
      <c r="K212" s="55"/>
      <c r="L212" s="55"/>
      <c r="M212" s="55"/>
      <c r="N212" s="55"/>
      <c r="O212" s="55"/>
      <c r="P212" s="55"/>
    </row>
    <row r="213" spans="1:16" s="29" customFormat="1" hidden="1" outlineLevel="2" x14ac:dyDescent="0.15">
      <c r="A213" s="80" t="s">
        <v>234</v>
      </c>
      <c r="B213" s="80"/>
      <c r="C213" s="80"/>
      <c r="D213" s="80"/>
      <c r="E213" s="80"/>
      <c r="F213" s="8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1:16" s="29" customFormat="1" hidden="1" outlineLevel="2" x14ac:dyDescent="0.15">
      <c r="A214" s="153" t="s">
        <v>199</v>
      </c>
      <c r="B214" s="153"/>
      <c r="C214" s="153"/>
      <c r="D214" s="153"/>
      <c r="E214" s="153"/>
      <c r="F214" s="153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spans="1:16" s="29" customFormat="1" hidden="1" outlineLevel="2" x14ac:dyDescent="0.15">
      <c r="A215" s="80"/>
      <c r="B215" s="80"/>
      <c r="C215" s="80"/>
      <c r="D215" s="80"/>
      <c r="E215" s="80"/>
      <c r="F215" s="80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 spans="1:16" s="29" customFormat="1" hidden="1" outlineLevel="2" x14ac:dyDescent="0.15">
      <c r="A216" s="80" t="s">
        <v>235</v>
      </c>
      <c r="B216" s="80"/>
      <c r="C216" s="80"/>
      <c r="D216" s="80"/>
      <c r="E216" s="80"/>
      <c r="F216" s="8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 spans="1:16" s="29" customFormat="1" hidden="1" outlineLevel="2" x14ac:dyDescent="0.15">
      <c r="A217" s="80" t="s">
        <v>236</v>
      </c>
      <c r="B217" s="80"/>
      <c r="C217" s="80"/>
      <c r="D217" s="80"/>
      <c r="E217" s="80"/>
      <c r="F217" s="8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 spans="1:16" s="29" customFormat="1" hidden="1" outlineLevel="2" x14ac:dyDescent="0.15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</row>
    <row r="219" spans="1:16" s="29" customFormat="1" hidden="1" outlineLevel="2" x14ac:dyDescent="0.15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</row>
    <row r="220" spans="1:16" s="29" customFormat="1" hidden="1" outlineLevel="2" x14ac:dyDescent="0.15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</row>
    <row r="221" spans="1:16" s="29" customFormat="1" hidden="1" outlineLevel="2" x14ac:dyDescent="0.15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</row>
    <row r="222" spans="1:16" s="29" customFormat="1" hidden="1" outlineLevel="2" x14ac:dyDescent="0.15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</row>
    <row r="223" spans="1:16" s="29" customFormat="1" hidden="1" outlineLevel="2" x14ac:dyDescent="0.15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</row>
    <row r="224" spans="1:16" s="29" customFormat="1" hidden="1" outlineLevel="2" x14ac:dyDescent="0.15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</row>
    <row r="225" spans="1:16" s="29" customFormat="1" hidden="1" outlineLevel="2" x14ac:dyDescent="0.15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</row>
    <row r="226" spans="1:16" s="29" customFormat="1" hidden="1" outlineLevel="2" x14ac:dyDescent="0.15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</row>
    <row r="227" spans="1:16" s="29" customFormat="1" hidden="1" outlineLevel="2" x14ac:dyDescent="0.15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spans="1:16" s="29" customFormat="1" hidden="1" outlineLevel="2" x14ac:dyDescent="0.15"/>
    <row r="229" spans="1:16" s="29" customFormat="1" hidden="1" outlineLevel="2" x14ac:dyDescent="0.15"/>
    <row r="230" spans="1:16" s="29" customFormat="1" hidden="1" outlineLevel="2" x14ac:dyDescent="0.15"/>
    <row r="231" spans="1:16" s="29" customFormat="1" hidden="1" outlineLevel="2" x14ac:dyDescent="0.15"/>
    <row r="232" spans="1:16" s="29" customFormat="1" hidden="1" outlineLevel="2" x14ac:dyDescent="0.15"/>
    <row r="233" spans="1:16" s="29" customFormat="1" hidden="1" outlineLevel="2" x14ac:dyDescent="0.15"/>
    <row r="234" spans="1:16" s="29" customFormat="1" hidden="1" outlineLevel="2" x14ac:dyDescent="0.15"/>
    <row r="235" spans="1:16" s="29" customFormat="1" hidden="1" outlineLevel="2" x14ac:dyDescent="0.15"/>
    <row r="236" spans="1:16" s="29" customFormat="1" hidden="1" outlineLevel="2" x14ac:dyDescent="0.15"/>
    <row r="237" spans="1:16" s="29" customFormat="1" hidden="1" outlineLevel="2" x14ac:dyDescent="0.15"/>
    <row r="238" spans="1:16" s="29" customFormat="1" hidden="1" outlineLevel="2" x14ac:dyDescent="0.15"/>
    <row r="239" spans="1:16" s="29" customFormat="1" hidden="1" outlineLevel="2" x14ac:dyDescent="0.15"/>
    <row r="240" spans="1:16" s="29" customFormat="1" hidden="1" outlineLevel="2" x14ac:dyDescent="0.15"/>
    <row r="241" hidden="1" outlineLevel="2" x14ac:dyDescent="0.15"/>
    <row r="242" collapsed="1" x14ac:dyDescent="0.15"/>
  </sheetData>
  <conditionalFormatting sqref="A2 C2">
    <cfRule type="containsText" dxfId="15" priority="3" operator="containsText" text="OK">
      <formula>NOT(ISERROR(SEARCH("OK",A2)))</formula>
    </cfRule>
    <cfRule type="containsText" dxfId="14" priority="4" operator="containsText" text="ERROR">
      <formula>NOT(ISERROR(SEARCH("ERROR",A2)))</formula>
    </cfRule>
  </conditionalFormatting>
  <conditionalFormatting sqref="E3:AL3">
    <cfRule type="containsText" dxfId="13" priority="1" operator="containsText" text="OK">
      <formula>NOT(ISERROR(SEARCH("OK",#REF!)))</formula>
    </cfRule>
    <cfRule type="containsText" dxfId="12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94BC700C-9C72-4441-B05F-91FEE09687E6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A5F1-57B1-2D4D-89D2-9CB2BF5ECFDF}">
  <dimension ref="A1:AB239"/>
  <sheetViews>
    <sheetView showGridLines="0" zoomScaleNormal="100" workbookViewId="0">
      <pane ySplit="3" topLeftCell="A31" activePane="bottomLeft" state="frozen"/>
      <selection activeCell="B314" sqref="B314"/>
      <selection pane="bottomLeft" activeCell="I46" sqref="I46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33203125" style="5" bestFit="1" customWidth="1"/>
    <col min="6" max="6" width="14.33203125" style="5" bestFit="1" customWidth="1"/>
    <col min="7" max="7" width="13.83203125" style="5" customWidth="1"/>
    <col min="8" max="8" width="15.83203125" style="5" bestFit="1" customWidth="1"/>
    <col min="9" max="16" width="13.83203125" style="5" customWidth="1"/>
    <col min="17" max="18" width="13.83203125" style="5" bestFit="1" customWidth="1"/>
    <col min="19" max="19" width="13.33203125" style="5" bestFit="1" customWidth="1"/>
    <col min="20" max="21" width="13.83203125" style="5" bestFit="1" customWidth="1"/>
    <col min="22" max="27" width="11.83203125" style="5" bestFit="1" customWidth="1"/>
    <col min="28" max="16384" width="11.1640625" style="5"/>
  </cols>
  <sheetData>
    <row r="1" spans="1:27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AA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  <c r="Q1" s="101">
        <f t="shared" si="0"/>
        <v>49309</v>
      </c>
      <c r="R1" s="101">
        <f t="shared" si="0"/>
        <v>49674</v>
      </c>
      <c r="S1" s="101">
        <f t="shared" si="0"/>
        <v>50040</v>
      </c>
      <c r="T1" s="101">
        <f t="shared" si="0"/>
        <v>50405</v>
      </c>
      <c r="U1" s="101">
        <f t="shared" si="0"/>
        <v>50770</v>
      </c>
      <c r="V1" s="101">
        <f t="shared" si="0"/>
        <v>51135</v>
      </c>
      <c r="W1" s="101">
        <f t="shared" si="0"/>
        <v>51501</v>
      </c>
      <c r="X1" s="101">
        <f t="shared" si="0"/>
        <v>51866</v>
      </c>
      <c r="Y1" s="101">
        <f t="shared" si="0"/>
        <v>52231</v>
      </c>
      <c r="Z1" s="101">
        <f t="shared" si="0"/>
        <v>52596</v>
      </c>
      <c r="AA1" s="101">
        <f t="shared" si="0"/>
        <v>52962</v>
      </c>
    </row>
    <row r="2" spans="1:27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P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  <c r="Q2" s="106">
        <f t="shared" ref="Q2" si="2">+P2+1</f>
        <v>2034</v>
      </c>
      <c r="R2" s="106">
        <f t="shared" ref="R2" si="3">+Q2+1</f>
        <v>2035</v>
      </c>
      <c r="S2" s="106">
        <f t="shared" ref="S2" si="4">+R2+1</f>
        <v>2036</v>
      </c>
      <c r="T2" s="106">
        <f t="shared" ref="T2" si="5">+S2+1</f>
        <v>2037</v>
      </c>
      <c r="U2" s="106">
        <f t="shared" ref="U2" si="6">+T2+1</f>
        <v>2038</v>
      </c>
      <c r="V2" s="106">
        <f t="shared" ref="V2" si="7">+U2+1</f>
        <v>2039</v>
      </c>
      <c r="W2" s="106">
        <f t="shared" ref="W2" si="8">+V2+1</f>
        <v>2040</v>
      </c>
      <c r="X2" s="106">
        <f t="shared" ref="X2" si="9">+W2+1</f>
        <v>2041</v>
      </c>
      <c r="Y2" s="106">
        <f t="shared" ref="Y2" si="10">+X2+1</f>
        <v>2042</v>
      </c>
      <c r="Z2" s="106">
        <f t="shared" ref="Z2" si="11">+Y2+1</f>
        <v>2043</v>
      </c>
      <c r="AA2" s="106">
        <f t="shared" ref="AA2" si="12">+Z2+1</f>
        <v>2044</v>
      </c>
    </row>
    <row r="3" spans="1:27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</row>
    <row r="5" spans="1:27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</row>
    <row r="6" spans="1:27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 spans="1:27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spans="1:27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spans="1:27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P14" si="13">+G14+1</f>
        <v>2025</v>
      </c>
      <c r="I14" s="121">
        <f t="shared" si="13"/>
        <v>2026</v>
      </c>
      <c r="J14" s="121">
        <f t="shared" si="13"/>
        <v>2027</v>
      </c>
      <c r="K14" s="121">
        <f t="shared" si="13"/>
        <v>2028</v>
      </c>
      <c r="L14" s="121">
        <f t="shared" si="13"/>
        <v>2029</v>
      </c>
      <c r="M14" s="121">
        <f t="shared" si="13"/>
        <v>2030</v>
      </c>
      <c r="N14" s="121">
        <f t="shared" si="13"/>
        <v>2031</v>
      </c>
      <c r="O14" s="121">
        <f t="shared" si="13"/>
        <v>2032</v>
      </c>
      <c r="P14" s="121">
        <f t="shared" si="13"/>
        <v>2033</v>
      </c>
      <c r="Q14" s="121">
        <f t="shared" ref="Q14" si="14">+P14+1</f>
        <v>2034</v>
      </c>
      <c r="R14" s="121">
        <f t="shared" ref="R14" si="15">+Q14+1</f>
        <v>2035</v>
      </c>
      <c r="S14" s="121">
        <f t="shared" ref="S14" si="16">+R14+1</f>
        <v>2036</v>
      </c>
      <c r="T14" s="121">
        <f t="shared" ref="T14" si="17">+S14+1</f>
        <v>2037</v>
      </c>
      <c r="U14" s="121">
        <f t="shared" ref="U14" si="18">+T14+1</f>
        <v>2038</v>
      </c>
      <c r="V14" s="121">
        <f t="shared" ref="V14" si="19">+U14+1</f>
        <v>2039</v>
      </c>
      <c r="W14" s="121">
        <f t="shared" ref="W14" si="20">+V14+1</f>
        <v>2040</v>
      </c>
      <c r="X14" s="121">
        <f t="shared" ref="X14" si="21">+W14+1</f>
        <v>2041</v>
      </c>
      <c r="Y14" s="121">
        <f t="shared" ref="Y14" si="22">+X14+1</f>
        <v>2042</v>
      </c>
      <c r="Z14" s="121">
        <f t="shared" ref="Z14" si="23">+Y14+1</f>
        <v>2043</v>
      </c>
      <c r="AA14" s="121">
        <f t="shared" ref="AA14" si="24">+Z14+1</f>
        <v>2044</v>
      </c>
    </row>
    <row r="15" spans="1:27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  <c r="Q16" s="13">
        <v>1700</v>
      </c>
      <c r="R16" s="13">
        <v>1700</v>
      </c>
      <c r="S16" s="13">
        <v>1700</v>
      </c>
      <c r="T16" s="13">
        <v>1700</v>
      </c>
      <c r="U16" s="13">
        <v>1700</v>
      </c>
      <c r="V16" s="13">
        <v>1700</v>
      </c>
      <c r="W16" s="13">
        <v>1700</v>
      </c>
      <c r="X16" s="13">
        <v>1700</v>
      </c>
      <c r="Y16" s="13">
        <v>1700</v>
      </c>
      <c r="Z16" s="13">
        <v>1700</v>
      </c>
      <c r="AA16" s="13">
        <v>1700</v>
      </c>
    </row>
    <row r="17" spans="1:28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8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  <c r="Q18" s="13">
        <v>2100</v>
      </c>
      <c r="R18" s="13">
        <v>2100</v>
      </c>
      <c r="S18" s="13">
        <v>2100</v>
      </c>
      <c r="T18" s="13">
        <v>2100</v>
      </c>
      <c r="U18" s="13">
        <v>2100</v>
      </c>
      <c r="V18" s="13">
        <v>2100</v>
      </c>
      <c r="W18" s="13">
        <v>2100</v>
      </c>
      <c r="X18" s="13">
        <v>2100</v>
      </c>
      <c r="Y18" s="13">
        <v>2100</v>
      </c>
      <c r="Z18" s="13">
        <v>2100</v>
      </c>
      <c r="AA18" s="13">
        <v>2100</v>
      </c>
    </row>
    <row r="19" spans="1:28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8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  <c r="Q20" s="13">
        <v>2748</v>
      </c>
      <c r="R20" s="13">
        <v>2748</v>
      </c>
      <c r="S20" s="13">
        <v>2748</v>
      </c>
      <c r="T20" s="13">
        <v>2748</v>
      </c>
      <c r="U20" s="13">
        <v>2748</v>
      </c>
      <c r="V20" s="13">
        <v>2748</v>
      </c>
      <c r="W20" s="13">
        <v>2748</v>
      </c>
      <c r="X20" s="13">
        <v>2748</v>
      </c>
      <c r="Y20" s="13">
        <v>2748</v>
      </c>
      <c r="Z20" s="13">
        <v>2748</v>
      </c>
      <c r="AA20" s="13">
        <v>2748</v>
      </c>
    </row>
    <row r="21" spans="1:28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8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P22" si="25">CHOOSE($F$22,G16,G18,G20)</f>
        <v>2100</v>
      </c>
      <c r="H22" s="14">
        <f t="shared" si="25"/>
        <v>2100</v>
      </c>
      <c r="I22" s="14">
        <f t="shared" si="25"/>
        <v>2100</v>
      </c>
      <c r="J22" s="14">
        <f t="shared" si="25"/>
        <v>2100</v>
      </c>
      <c r="K22" s="14">
        <f t="shared" si="25"/>
        <v>2100</v>
      </c>
      <c r="L22" s="14">
        <f t="shared" si="25"/>
        <v>2100</v>
      </c>
      <c r="M22" s="14">
        <f t="shared" si="25"/>
        <v>2100</v>
      </c>
      <c r="N22" s="14">
        <f t="shared" si="25"/>
        <v>2100</v>
      </c>
      <c r="O22" s="14">
        <f t="shared" si="25"/>
        <v>2100</v>
      </c>
      <c r="P22" s="14">
        <f t="shared" si="25"/>
        <v>2100</v>
      </c>
      <c r="Q22" s="14">
        <f t="shared" ref="Q22:AA22" si="26">CHOOSE($F$22,Q16,Q18,Q20)</f>
        <v>2100</v>
      </c>
      <c r="R22" s="14">
        <f t="shared" si="26"/>
        <v>2100</v>
      </c>
      <c r="S22" s="14">
        <f t="shared" si="26"/>
        <v>2100</v>
      </c>
      <c r="T22" s="14">
        <f t="shared" si="26"/>
        <v>2100</v>
      </c>
      <c r="U22" s="14">
        <f t="shared" si="26"/>
        <v>2100</v>
      </c>
      <c r="V22" s="14">
        <f t="shared" si="26"/>
        <v>2100</v>
      </c>
      <c r="W22" s="14">
        <f t="shared" si="26"/>
        <v>2100</v>
      </c>
      <c r="X22" s="14">
        <f t="shared" si="26"/>
        <v>2100</v>
      </c>
      <c r="Y22" s="14">
        <f t="shared" si="26"/>
        <v>2100</v>
      </c>
      <c r="Z22" s="14">
        <f t="shared" si="26"/>
        <v>2100</v>
      </c>
      <c r="AA22" s="14">
        <f t="shared" si="26"/>
        <v>2100</v>
      </c>
    </row>
    <row r="23" spans="1:28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8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8" ht="17" customHeight="1" outlineLevel="1" x14ac:dyDescent="0.15">
      <c r="A25" s="77" t="s">
        <v>272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P25" si="27">+G25+1</f>
        <v>2025</v>
      </c>
      <c r="I25" s="121">
        <f t="shared" si="27"/>
        <v>2026</v>
      </c>
      <c r="J25" s="121">
        <f t="shared" si="27"/>
        <v>2027</v>
      </c>
      <c r="K25" s="121">
        <f t="shared" si="27"/>
        <v>2028</v>
      </c>
      <c r="L25" s="121">
        <f t="shared" si="27"/>
        <v>2029</v>
      </c>
      <c r="M25" s="121">
        <f t="shared" si="27"/>
        <v>2030</v>
      </c>
      <c r="N25" s="121">
        <f t="shared" si="27"/>
        <v>2031</v>
      </c>
      <c r="O25" s="121">
        <f t="shared" si="27"/>
        <v>2032</v>
      </c>
      <c r="P25" s="121">
        <f t="shared" si="27"/>
        <v>2033</v>
      </c>
      <c r="Q25" s="121">
        <f t="shared" ref="Q25" si="28">+P25+1</f>
        <v>2034</v>
      </c>
      <c r="R25" s="121">
        <f t="shared" ref="R25" si="29">+Q25+1</f>
        <v>2035</v>
      </c>
      <c r="S25" s="121">
        <f t="shared" ref="S25" si="30">+R25+1</f>
        <v>2036</v>
      </c>
      <c r="T25" s="121">
        <f t="shared" ref="T25" si="31">+S25+1</f>
        <v>2037</v>
      </c>
      <c r="U25" s="121">
        <f t="shared" ref="U25" si="32">+T25+1</f>
        <v>2038</v>
      </c>
      <c r="V25" s="121">
        <f t="shared" ref="V25" si="33">+U25+1</f>
        <v>2039</v>
      </c>
      <c r="W25" s="121">
        <f t="shared" ref="W25" si="34">+V25+1</f>
        <v>2040</v>
      </c>
      <c r="X25" s="121">
        <f t="shared" ref="X25" si="35">+W25+1</f>
        <v>2041</v>
      </c>
      <c r="Y25" s="121">
        <f t="shared" ref="Y25" si="36">+X25+1</f>
        <v>2042</v>
      </c>
      <c r="Z25" s="121">
        <f t="shared" ref="Z25" si="37">+Y25+1</f>
        <v>2043</v>
      </c>
      <c r="AA25" s="121">
        <f t="shared" ref="AA25" si="38">+Z25+1</f>
        <v>2044</v>
      </c>
    </row>
    <row r="26" spans="1:28" ht="16.5" customHeight="1" outlineLevel="1" x14ac:dyDescent="0.15">
      <c r="A26" s="89">
        <v>45474</v>
      </c>
      <c r="B26" s="77"/>
      <c r="C26" s="77"/>
      <c r="D26" s="114" t="s">
        <v>289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8" ht="16.5" customHeight="1" outlineLevel="1" x14ac:dyDescent="0.15">
      <c r="A27" s="77"/>
      <c r="B27" s="77"/>
      <c r="C27" s="77"/>
      <c r="D27" s="77" t="s">
        <v>87</v>
      </c>
      <c r="E27" s="77" t="s">
        <v>88</v>
      </c>
      <c r="F27" s="148">
        <f>SUM(G27:AA27)</f>
        <v>68090000</v>
      </c>
      <c r="G27" s="13">
        <f>$F$47/20</f>
        <v>3290000</v>
      </c>
      <c r="H27" s="13">
        <f t="shared" ref="H27:Z27" si="39">$F$47/20</f>
        <v>3290000</v>
      </c>
      <c r="I27" s="13">
        <f t="shared" si="39"/>
        <v>3290000</v>
      </c>
      <c r="J27" s="13">
        <f t="shared" si="39"/>
        <v>3290000</v>
      </c>
      <c r="K27" s="13">
        <f>$F$47/20+500000</f>
        <v>3790000</v>
      </c>
      <c r="L27" s="13">
        <f>$F$47/20+500000</f>
        <v>3790000</v>
      </c>
      <c r="M27" s="13">
        <f>$F$47/20+500000</f>
        <v>3790000</v>
      </c>
      <c r="N27" s="13">
        <f>$F$47/20+500000</f>
        <v>3790000</v>
      </c>
      <c r="O27" s="13">
        <f>$F$47/20</f>
        <v>3290000</v>
      </c>
      <c r="P27" s="13">
        <f>$F$47/20</f>
        <v>3290000</v>
      </c>
      <c r="Q27" s="13">
        <f t="shared" si="39"/>
        <v>3290000</v>
      </c>
      <c r="R27" s="13">
        <f t="shared" si="39"/>
        <v>3290000</v>
      </c>
      <c r="S27" s="13">
        <f t="shared" si="39"/>
        <v>3290000</v>
      </c>
      <c r="T27" s="13">
        <f t="shared" si="39"/>
        <v>3290000</v>
      </c>
      <c r="U27" s="13">
        <f t="shared" si="39"/>
        <v>3290000</v>
      </c>
      <c r="V27" s="13">
        <f t="shared" si="39"/>
        <v>3290000</v>
      </c>
      <c r="W27" s="13">
        <f t="shared" si="39"/>
        <v>3290000</v>
      </c>
      <c r="X27" s="13">
        <f t="shared" si="39"/>
        <v>3290000</v>
      </c>
      <c r="Y27" s="13">
        <f t="shared" si="39"/>
        <v>3290000</v>
      </c>
      <c r="Z27" s="13">
        <f t="shared" si="39"/>
        <v>3290000</v>
      </c>
      <c r="AA27" s="13">
        <v>290000</v>
      </c>
    </row>
    <row r="28" spans="1:28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14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8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14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15"/>
    </row>
    <row r="30" spans="1:28" ht="16.5" customHeight="1" outlineLevel="1" x14ac:dyDescent="0.15">
      <c r="A30" s="77"/>
      <c r="B30" s="77"/>
      <c r="C30" s="77"/>
      <c r="D30" s="77" t="s">
        <v>94</v>
      </c>
      <c r="E30" s="77"/>
      <c r="F30" s="14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8" ht="16.5" customHeight="1" outlineLevel="1" x14ac:dyDescent="0.15">
      <c r="A31" s="77"/>
      <c r="B31" s="77"/>
      <c r="C31" s="77"/>
      <c r="D31" s="114" t="s">
        <v>290</v>
      </c>
      <c r="E31" s="77"/>
      <c r="F31" s="14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8" ht="16.5" customHeight="1" outlineLevel="1" x14ac:dyDescent="0.15">
      <c r="A32" s="77"/>
      <c r="B32" s="77"/>
      <c r="C32" s="77"/>
      <c r="D32" s="77" t="s">
        <v>87</v>
      </c>
      <c r="E32" s="77" t="s">
        <v>88</v>
      </c>
      <c r="F32" s="148">
        <f>SUM(G32:AA32)</f>
        <v>1340211111.0000005</v>
      </c>
      <c r="G32" s="13">
        <f>$F$51/18</f>
        <v>70011111.111111104</v>
      </c>
      <c r="H32" s="13">
        <f t="shared" ref="H32:X32" si="40">$F$51/18</f>
        <v>70011111.111111104</v>
      </c>
      <c r="I32" s="13">
        <f t="shared" si="40"/>
        <v>70011111.111111104</v>
      </c>
      <c r="J32" s="13">
        <f>$F$51/18+10000000</f>
        <v>80011111.111111104</v>
      </c>
      <c r="K32" s="13">
        <f t="shared" ref="K32:Q32" si="41">$F$51/18+10000000</f>
        <v>80011111.111111104</v>
      </c>
      <c r="L32" s="13">
        <f t="shared" si="41"/>
        <v>80011111.111111104</v>
      </c>
      <c r="M32" s="13">
        <f t="shared" si="41"/>
        <v>80011111.111111104</v>
      </c>
      <c r="N32" s="13">
        <f t="shared" si="41"/>
        <v>80011111.111111104</v>
      </c>
      <c r="O32" s="13">
        <f t="shared" si="41"/>
        <v>80011111.111111104</v>
      </c>
      <c r="P32" s="13">
        <f t="shared" si="41"/>
        <v>80011111.111111104</v>
      </c>
      <c r="Q32" s="13">
        <f t="shared" si="41"/>
        <v>80011111.111111104</v>
      </c>
      <c r="R32" s="13">
        <f t="shared" si="40"/>
        <v>70011111.111111104</v>
      </c>
      <c r="S32" s="13">
        <f t="shared" si="40"/>
        <v>70011111.111111104</v>
      </c>
      <c r="T32" s="13">
        <f t="shared" si="40"/>
        <v>70011111.111111104</v>
      </c>
      <c r="U32" s="13">
        <f t="shared" si="40"/>
        <v>70011111.111111104</v>
      </c>
      <c r="V32" s="13">
        <f t="shared" si="40"/>
        <v>70011111.111111104</v>
      </c>
      <c r="W32" s="13">
        <f t="shared" si="40"/>
        <v>70011111.111111104</v>
      </c>
      <c r="X32" s="13">
        <f t="shared" si="40"/>
        <v>70011111.111111104</v>
      </c>
      <c r="Y32" s="13">
        <v>11111</v>
      </c>
      <c r="Z32" s="13">
        <v>0</v>
      </c>
      <c r="AA32" s="13">
        <v>0</v>
      </c>
    </row>
    <row r="33" spans="1:27" ht="16.5" customHeight="1" outlineLevel="1" x14ac:dyDescent="0.15">
      <c r="A33" s="77"/>
      <c r="B33" s="77"/>
      <c r="C33" s="77"/>
      <c r="D33" s="77" t="s">
        <v>90</v>
      </c>
      <c r="E33" s="77" t="s">
        <v>91</v>
      </c>
      <c r="F33" s="148"/>
      <c r="G33" s="16"/>
      <c r="H33" s="16"/>
      <c r="I33" s="16"/>
      <c r="J33" s="16"/>
      <c r="K33" s="16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</row>
    <row r="34" spans="1:27" ht="16.5" customHeight="1" outlineLevel="1" x14ac:dyDescent="0.15">
      <c r="A34" s="77"/>
      <c r="B34" s="77"/>
      <c r="C34" s="77"/>
      <c r="D34" s="77" t="s">
        <v>92</v>
      </c>
      <c r="E34" s="77" t="s">
        <v>93</v>
      </c>
      <c r="F34" s="148"/>
      <c r="G34" s="118"/>
      <c r="H34" s="118"/>
      <c r="I34" s="118"/>
      <c r="J34" s="118"/>
      <c r="K34" s="118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</row>
    <row r="35" spans="1:27" ht="16.5" customHeight="1" outlineLevel="1" x14ac:dyDescent="0.15">
      <c r="A35" s="77"/>
      <c r="B35" s="77"/>
      <c r="C35" s="77"/>
      <c r="D35" s="77" t="s">
        <v>94</v>
      </c>
      <c r="E35" s="77"/>
      <c r="F35" s="148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</row>
    <row r="36" spans="1:27" ht="16.5" customHeight="1" outlineLevel="1" x14ac:dyDescent="0.15">
      <c r="A36" s="77"/>
      <c r="B36" s="77"/>
      <c r="C36" s="77"/>
      <c r="D36" s="114" t="s">
        <v>291</v>
      </c>
      <c r="E36" s="77"/>
      <c r="F36" s="148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6.5" customHeight="1" outlineLevel="1" x14ac:dyDescent="0.15">
      <c r="A37" s="77"/>
      <c r="B37" s="77"/>
      <c r="C37" s="77"/>
      <c r="D37" s="77" t="s">
        <v>87</v>
      </c>
      <c r="E37" s="77" t="s">
        <v>88</v>
      </c>
      <c r="F37" s="148">
        <f>SUM(G37:AA37)</f>
        <v>227599999.66666675</v>
      </c>
      <c r="G37" s="13">
        <f>$F$55/15+3000000</f>
        <v>18173333.333333336</v>
      </c>
      <c r="H37" s="13">
        <f t="shared" ref="H37:K37" si="42">$F$55/15+3000000</f>
        <v>18173333.333333336</v>
      </c>
      <c r="I37" s="13">
        <f t="shared" si="42"/>
        <v>18173333.333333336</v>
      </c>
      <c r="J37" s="13">
        <f t="shared" si="42"/>
        <v>18173333.333333336</v>
      </c>
      <c r="K37" s="13">
        <f t="shared" si="42"/>
        <v>18173333.333333336</v>
      </c>
      <c r="L37" s="13">
        <f>$F$55/15</f>
        <v>15173333.333333334</v>
      </c>
      <c r="M37" s="13">
        <f t="shared" ref="M37:T37" si="43">$F$55/15</f>
        <v>15173333.333333334</v>
      </c>
      <c r="N37" s="13">
        <f t="shared" si="43"/>
        <v>15173333.333333334</v>
      </c>
      <c r="O37" s="13">
        <f t="shared" si="43"/>
        <v>15173333.333333334</v>
      </c>
      <c r="P37" s="13">
        <f t="shared" si="43"/>
        <v>15173333.333333334</v>
      </c>
      <c r="Q37" s="13">
        <f>$F$55/15</f>
        <v>15173333.333333334</v>
      </c>
      <c r="R37" s="13">
        <f t="shared" si="43"/>
        <v>15173333.333333334</v>
      </c>
      <c r="S37" s="13">
        <f t="shared" si="43"/>
        <v>15173333.333333334</v>
      </c>
      <c r="T37" s="13">
        <f t="shared" si="43"/>
        <v>15173333.333333334</v>
      </c>
      <c r="U37" s="13">
        <v>173333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</row>
    <row r="38" spans="1:27" ht="16.5" customHeight="1" outlineLevel="1" x14ac:dyDescent="0.15">
      <c r="A38" s="77"/>
      <c r="B38" s="77"/>
      <c r="C38" s="77"/>
      <c r="D38" s="77" t="s">
        <v>90</v>
      </c>
      <c r="E38" s="77" t="s">
        <v>91</v>
      </c>
      <c r="F38" s="77"/>
      <c r="G38" s="16"/>
      <c r="H38" s="16"/>
      <c r="I38" s="16"/>
      <c r="J38" s="16"/>
      <c r="K38" s="16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</row>
    <row r="39" spans="1:27" ht="16.5" customHeight="1" outlineLevel="1" x14ac:dyDescent="0.15">
      <c r="A39" s="77"/>
      <c r="B39" s="77"/>
      <c r="C39" s="77"/>
      <c r="D39" s="77" t="s">
        <v>92</v>
      </c>
      <c r="E39" s="77" t="s">
        <v>93</v>
      </c>
      <c r="F39" s="77"/>
      <c r="G39" s="118"/>
      <c r="H39" s="118"/>
      <c r="I39" s="118"/>
      <c r="J39" s="118"/>
      <c r="K39" s="118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</row>
    <row r="40" spans="1:27" ht="16.5" customHeight="1" outlineLevel="1" x14ac:dyDescent="0.15">
      <c r="A40" s="77"/>
      <c r="B40" s="77"/>
      <c r="C40" s="77"/>
      <c r="D40" s="77" t="s">
        <v>94</v>
      </c>
      <c r="E40" s="77"/>
      <c r="F40" s="77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</row>
    <row r="41" spans="1:27" ht="16.5" customHeight="1" outlineLevel="1" x14ac:dyDescent="0.15">
      <c r="A41" s="77"/>
      <c r="B41" s="77"/>
      <c r="C41" s="77"/>
      <c r="D41" s="114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6.5" customHeight="1" outlineLevel="1" x14ac:dyDescent="0.15">
      <c r="A42" s="77" t="s">
        <v>272</v>
      </c>
      <c r="B42" s="77"/>
      <c r="C42" s="77"/>
      <c r="D42" s="6" t="s">
        <v>95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6.5" customHeight="1" outlineLevel="1" x14ac:dyDescent="0.15">
      <c r="A43" s="89">
        <v>45474</v>
      </c>
      <c r="B43" s="77"/>
      <c r="C43" s="77"/>
      <c r="D43" s="121" t="s">
        <v>81</v>
      </c>
      <c r="E43" s="121"/>
      <c r="F43" s="97" t="s">
        <v>96</v>
      </c>
      <c r="G43" s="97" t="s">
        <v>288</v>
      </c>
      <c r="H43" s="97" t="s">
        <v>98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6.5" customHeight="1" outlineLevel="1" x14ac:dyDescent="0.15">
      <c r="A44" s="77"/>
      <c r="B44" s="77"/>
      <c r="C44" s="77"/>
      <c r="D44" s="114" t="s">
        <v>289</v>
      </c>
      <c r="E44" s="77"/>
      <c r="F44" s="96"/>
      <c r="G44" s="206"/>
      <c r="H44" s="9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6.5" customHeight="1" outlineLevel="1" x14ac:dyDescent="0.15">
      <c r="A45" s="77"/>
      <c r="B45" s="77"/>
      <c r="C45" s="77"/>
      <c r="D45" s="77" t="s">
        <v>100</v>
      </c>
      <c r="E45" s="77"/>
      <c r="F45" s="82">
        <v>28000000</v>
      </c>
      <c r="G45" s="115">
        <v>0.182</v>
      </c>
      <c r="H45" s="81">
        <f>F45*G45</f>
        <v>5096000</v>
      </c>
      <c r="I45" s="148">
        <f>F45+F49+F53</f>
        <v>171000000</v>
      </c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6.5" customHeight="1" outlineLevel="1" x14ac:dyDescent="0.15">
      <c r="A46" s="143"/>
      <c r="B46" s="143"/>
      <c r="C46" s="143"/>
      <c r="D46" s="77" t="s">
        <v>101</v>
      </c>
      <c r="E46" s="77"/>
      <c r="F46" s="13">
        <v>37800000</v>
      </c>
      <c r="G46" s="115">
        <v>0.01</v>
      </c>
      <c r="H46" s="81">
        <f>F46*G46</f>
        <v>378000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6.5" customHeight="1" outlineLevel="1" x14ac:dyDescent="0.15">
      <c r="A47" s="77"/>
      <c r="B47" s="77"/>
      <c r="C47" s="77"/>
      <c r="D47" s="77" t="s">
        <v>102</v>
      </c>
      <c r="E47" s="77"/>
      <c r="F47" s="144">
        <f>SUM(F45:F46)</f>
        <v>65800000</v>
      </c>
      <c r="G47" s="19">
        <f>H47/F47</f>
        <v>8.3191489361702134E-2</v>
      </c>
      <c r="H47" s="12">
        <f>SUM(H45:H46)</f>
        <v>5474000</v>
      </c>
      <c r="I47" s="77"/>
      <c r="J47" s="54">
        <f>G47</f>
        <v>8.3191489361702134E-2</v>
      </c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6.5" customHeight="1" outlineLevel="1" x14ac:dyDescent="0.15">
      <c r="A48" s="77"/>
      <c r="B48" s="77"/>
      <c r="C48" s="77"/>
      <c r="D48" s="114" t="s">
        <v>290</v>
      </c>
      <c r="E48" s="77"/>
      <c r="F48" s="123"/>
      <c r="G48" s="117"/>
      <c r="H48" s="81"/>
      <c r="I48" s="77"/>
      <c r="J48" s="54">
        <f>G51</f>
        <v>1.747190922075861E-3</v>
      </c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10" ht="16.5" customHeight="1" outlineLevel="1" x14ac:dyDescent="0.15">
      <c r="A49" s="77"/>
      <c r="B49" s="77"/>
      <c r="C49" s="77"/>
      <c r="D49" s="77" t="s">
        <v>100</v>
      </c>
      <c r="E49" s="77"/>
      <c r="F49" s="82">
        <f>141900000</f>
        <v>141900000</v>
      </c>
      <c r="G49" s="115">
        <v>0.01</v>
      </c>
      <c r="H49" s="81">
        <f>F49*G49</f>
        <v>1419000</v>
      </c>
      <c r="J49" s="54">
        <f>G56</f>
        <v>1.2325648925013109E-2</v>
      </c>
    </row>
    <row r="50" spans="1:10" ht="16.5" customHeight="1" outlineLevel="1" x14ac:dyDescent="0.15">
      <c r="A50" s="77"/>
      <c r="B50" s="77"/>
      <c r="C50" s="77"/>
      <c r="D50" s="77" t="s">
        <v>101</v>
      </c>
      <c r="E50" s="77"/>
      <c r="F50" s="13">
        <v>1118300000</v>
      </c>
      <c r="G50" s="16">
        <v>6.9999999999999999E-4</v>
      </c>
      <c r="H50" s="81">
        <f>F50*G50</f>
        <v>782810</v>
      </c>
    </row>
    <row r="51" spans="1:10" ht="16.5" customHeight="1" outlineLevel="1" x14ac:dyDescent="0.15">
      <c r="A51" s="77"/>
      <c r="B51" s="77"/>
      <c r="C51" s="77"/>
      <c r="D51" s="77" t="s">
        <v>102</v>
      </c>
      <c r="E51" s="77"/>
      <c r="F51" s="144">
        <f>SUM(F49:F50)</f>
        <v>1260200000</v>
      </c>
      <c r="G51" s="19">
        <f>H51/F51</f>
        <v>1.747190922075861E-3</v>
      </c>
      <c r="H51" s="12">
        <f>SUM(H49:H50)</f>
        <v>2201810</v>
      </c>
    </row>
    <row r="52" spans="1:10" ht="16.5" customHeight="1" outlineLevel="1" x14ac:dyDescent="0.15">
      <c r="A52" s="77"/>
      <c r="B52" s="77"/>
      <c r="C52" s="77"/>
      <c r="D52" s="114" t="s">
        <v>291</v>
      </c>
      <c r="E52" s="77"/>
      <c r="F52" s="123"/>
      <c r="G52" s="117"/>
      <c r="H52" s="81"/>
    </row>
    <row r="53" spans="1:10" ht="16.5" customHeight="1" outlineLevel="1" x14ac:dyDescent="0.15">
      <c r="A53" s="77"/>
      <c r="B53" s="77"/>
      <c r="C53" s="77"/>
      <c r="D53" s="77" t="s">
        <v>100</v>
      </c>
      <c r="E53" s="77"/>
      <c r="F53" s="82">
        <v>1100000</v>
      </c>
      <c r="G53" s="115">
        <f>0.027</f>
        <v>2.7E-2</v>
      </c>
      <c r="H53" s="81">
        <f>F53*G53</f>
        <v>29700</v>
      </c>
    </row>
    <row r="54" spans="1:10" ht="16.5" customHeight="1" outlineLevel="1" x14ac:dyDescent="0.15">
      <c r="A54" s="77"/>
      <c r="B54" s="77"/>
      <c r="C54" s="77"/>
      <c r="D54" s="77" t="s">
        <v>101</v>
      </c>
      <c r="E54" s="77"/>
      <c r="F54" s="13">
        <v>226500000</v>
      </c>
      <c r="G54" s="16">
        <v>4.9000000000000002E-2</v>
      </c>
      <c r="H54" s="81">
        <f>F54*G54</f>
        <v>11098500</v>
      </c>
    </row>
    <row r="55" spans="1:10" ht="16.5" customHeight="1" outlineLevel="1" x14ac:dyDescent="0.15">
      <c r="A55" s="77"/>
      <c r="B55" s="77"/>
      <c r="C55" s="77"/>
      <c r="D55" s="77" t="s">
        <v>102</v>
      </c>
      <c r="E55" s="77"/>
      <c r="F55" s="144">
        <f>SUM(F53:F54)</f>
        <v>227600000</v>
      </c>
      <c r="G55" s="19">
        <f>H55/F55</f>
        <v>4.8893673110720563E-2</v>
      </c>
      <c r="H55" s="12">
        <f>SUM(H53:H54)</f>
        <v>11128200</v>
      </c>
    </row>
    <row r="56" spans="1:10" ht="16.5" customHeight="1" outlineLevel="1" x14ac:dyDescent="0.15">
      <c r="A56" s="77"/>
      <c r="B56" s="77"/>
      <c r="C56" s="77"/>
      <c r="D56" s="10" t="s">
        <v>64</v>
      </c>
      <c r="E56" s="92"/>
      <c r="F56" s="144">
        <f>F46+F51+F55</f>
        <v>1525600000</v>
      </c>
      <c r="G56" s="19">
        <f>H56/F56</f>
        <v>1.2325648925013109E-2</v>
      </c>
      <c r="H56" s="12">
        <f>H47+H51+H55</f>
        <v>18804010</v>
      </c>
    </row>
    <row r="57" spans="1:10" ht="16.5" customHeight="1" outlineLevel="1" x14ac:dyDescent="0.15">
      <c r="A57" s="77"/>
      <c r="B57" s="77"/>
      <c r="C57" s="77"/>
      <c r="D57" s="77"/>
      <c r="E57" s="77"/>
      <c r="F57" s="77"/>
      <c r="G57" s="77"/>
      <c r="H57" s="77"/>
    </row>
    <row r="58" spans="1:10" ht="16.5" customHeight="1" outlineLevel="1" x14ac:dyDescent="0.15">
      <c r="A58" s="77" t="s">
        <v>273</v>
      </c>
      <c r="B58" s="77"/>
      <c r="C58" s="77"/>
      <c r="D58" s="86" t="s">
        <v>137</v>
      </c>
      <c r="E58" s="121"/>
      <c r="F58" s="121"/>
      <c r="G58" s="77"/>
      <c r="H58" s="77"/>
      <c r="I58" s="77"/>
    </row>
    <row r="59" spans="1:10" ht="16.5" customHeight="1" outlineLevel="1" x14ac:dyDescent="0.15">
      <c r="A59" s="89"/>
      <c r="B59" s="77"/>
      <c r="C59" s="77"/>
      <c r="D59" s="77" t="s">
        <v>141</v>
      </c>
      <c r="E59" s="77"/>
      <c r="F59" s="26">
        <v>0.4</v>
      </c>
      <c r="G59" s="77"/>
      <c r="H59" s="77"/>
      <c r="I59" s="77"/>
    </row>
    <row r="60" spans="1:10" outlineLevel="1" x14ac:dyDescent="0.15">
      <c r="A60" s="77"/>
      <c r="B60" s="77"/>
      <c r="C60" s="77"/>
      <c r="D60" s="77"/>
      <c r="E60" s="77"/>
      <c r="F60" s="77"/>
      <c r="G60" s="77"/>
      <c r="H60" s="77"/>
      <c r="I60" s="77"/>
    </row>
    <row r="61" spans="1:10" outlineLevel="1" x14ac:dyDescent="0.15">
      <c r="A61" s="77"/>
      <c r="B61" s="77"/>
      <c r="C61" s="77"/>
      <c r="D61" s="77" t="s">
        <v>262</v>
      </c>
      <c r="E61" s="77"/>
      <c r="F61" s="83">
        <v>3.1E-2</v>
      </c>
      <c r="G61" s="77"/>
      <c r="H61" s="77"/>
      <c r="I61" s="77"/>
    </row>
    <row r="62" spans="1:10" outlineLevel="1" x14ac:dyDescent="0.15">
      <c r="A62" s="77"/>
      <c r="B62" s="77"/>
      <c r="C62" s="77"/>
      <c r="D62" s="77" t="s">
        <v>263</v>
      </c>
      <c r="E62" s="77"/>
      <c r="F62" s="95">
        <v>1.29</v>
      </c>
      <c r="G62" s="77"/>
      <c r="H62" s="77"/>
      <c r="I62" s="77"/>
    </row>
    <row r="63" spans="1:10" outlineLevel="1" x14ac:dyDescent="0.15">
      <c r="A63" s="77"/>
      <c r="B63" s="77"/>
      <c r="C63" s="77"/>
      <c r="D63" s="77" t="s">
        <v>264</v>
      </c>
      <c r="E63" s="77"/>
      <c r="F63" s="83">
        <v>0.1</v>
      </c>
      <c r="G63" s="77"/>
      <c r="H63" s="77"/>
      <c r="I63" s="77"/>
    </row>
    <row r="64" spans="1:10" outlineLevel="1" x14ac:dyDescent="0.15">
      <c r="A64" s="77"/>
      <c r="B64" s="77"/>
      <c r="C64" s="77"/>
      <c r="D64" s="77" t="s">
        <v>265</v>
      </c>
      <c r="E64" s="77"/>
      <c r="F64" s="83">
        <f>F61+F62*F63</f>
        <v>0.16</v>
      </c>
      <c r="G64" s="77"/>
      <c r="H64" s="77"/>
      <c r="I64" s="77"/>
    </row>
    <row r="65" spans="1:27" outlineLevel="1" x14ac:dyDescent="0.15">
      <c r="A65" s="77"/>
      <c r="B65" s="77"/>
      <c r="C65" s="77"/>
      <c r="D65" s="77" t="s">
        <v>266</v>
      </c>
      <c r="E65" s="77"/>
      <c r="F65" s="83">
        <f>5%</f>
        <v>0.05</v>
      </c>
      <c r="G65" s="77"/>
      <c r="H65" s="77"/>
      <c r="I65" s="77"/>
    </row>
    <row r="66" spans="1:27" outlineLevel="1" x14ac:dyDescent="0.15">
      <c r="A66" s="77"/>
      <c r="B66" s="77"/>
      <c r="C66" s="77"/>
      <c r="D66" s="77" t="s">
        <v>267</v>
      </c>
      <c r="E66" s="77"/>
      <c r="F66" s="83">
        <v>0.02</v>
      </c>
      <c r="G66" s="77"/>
      <c r="H66" s="77"/>
      <c r="I66" s="77"/>
    </row>
    <row r="67" spans="1:27" outlineLevel="1" x14ac:dyDescent="0.15">
      <c r="A67" s="77"/>
      <c r="B67" s="77"/>
      <c r="C67" s="77"/>
      <c r="D67" s="77" t="s">
        <v>147</v>
      </c>
      <c r="E67" s="77"/>
      <c r="F67" s="83">
        <f>F66*F65*(1-F59)+F64*(1-F65)</f>
        <v>0.15259999999999999</v>
      </c>
      <c r="G67" s="77"/>
      <c r="H67" s="77"/>
      <c r="I67" s="77"/>
    </row>
    <row r="68" spans="1:27" outlineLevel="1" x14ac:dyDescent="0.15">
      <c r="A68" s="77"/>
      <c r="B68" s="77"/>
      <c r="C68" s="77"/>
      <c r="D68" s="77" t="s">
        <v>148</v>
      </c>
      <c r="E68" s="77"/>
      <c r="F68" s="83">
        <v>2.4E-2</v>
      </c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outlineLevel="1" x14ac:dyDescent="0.15">
      <c r="A69" s="77"/>
      <c r="B69" s="77"/>
      <c r="C69" s="77"/>
      <c r="D69" s="6" t="s">
        <v>149</v>
      </c>
      <c r="E69" s="77"/>
      <c r="F69" s="83">
        <f>F67-F68</f>
        <v>0.12859999999999999</v>
      </c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outlineLevel="1" x14ac:dyDescent="0.15">
      <c r="A70" s="77"/>
      <c r="B70" s="77"/>
      <c r="C70" s="77"/>
      <c r="D70" s="6"/>
      <c r="E70" s="77"/>
      <c r="F70" s="83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outlineLevel="1" x14ac:dyDescent="0.15">
      <c r="A71" s="77"/>
      <c r="B71" s="77"/>
      <c r="C71" s="77"/>
      <c r="D71" s="6" t="s">
        <v>150</v>
      </c>
      <c r="E71" s="77"/>
      <c r="F71" s="95">
        <v>10.87</v>
      </c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outlineLevel="1" x14ac:dyDescent="0.15">
      <c r="A72" s="77"/>
      <c r="B72" s="77"/>
      <c r="C72" s="77"/>
      <c r="D72" s="6"/>
      <c r="E72" s="77"/>
      <c r="F72" s="83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outlineLevel="1" x14ac:dyDescent="0.15">
      <c r="A73" s="77"/>
      <c r="B73" s="77"/>
      <c r="C73" s="77"/>
      <c r="D73" s="6" t="s">
        <v>151</v>
      </c>
      <c r="E73" s="77"/>
      <c r="F73" s="53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3.5" customHeight="1" x14ac:dyDescent="0.15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s="50" customFormat="1" ht="18.75" customHeight="1" x14ac:dyDescent="0.2">
      <c r="A75" s="107" t="s">
        <v>152</v>
      </c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</row>
    <row r="76" spans="1:27" s="33" customFormat="1" outlineLevel="1" x14ac:dyDescent="0.15">
      <c r="A76" s="73" t="s">
        <v>166</v>
      </c>
      <c r="B76" s="74"/>
      <c r="C76" s="74"/>
      <c r="D76" s="75"/>
      <c r="E76" s="75"/>
      <c r="F76" s="74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 s="33" customFormat="1" outlineLevel="1" x14ac:dyDescent="0.15">
      <c r="A77" s="78"/>
      <c r="B77" s="78"/>
      <c r="C77" s="78"/>
      <c r="D77" s="79"/>
      <c r="E77" s="150"/>
      <c r="F77" s="15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 s="33" customFormat="1" outlineLevel="1" x14ac:dyDescent="0.15">
      <c r="A78" s="78" t="s">
        <v>167</v>
      </c>
      <c r="B78" s="78"/>
      <c r="C78" s="78"/>
      <c r="D78" s="79"/>
      <c r="E78" s="150"/>
      <c r="F78" s="15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 s="33" customFormat="1" outlineLevel="1" x14ac:dyDescent="0.15">
      <c r="A79" s="78"/>
      <c r="B79" s="114" t="s">
        <v>289</v>
      </c>
      <c r="C79" s="78"/>
      <c r="D79" s="79" t="s">
        <v>156</v>
      </c>
      <c r="E79" s="150">
        <f>IFERROR(AVERAGE(G79:P79),"na")</f>
        <v>3490000</v>
      </c>
      <c r="F79" s="152">
        <f>SUM(G79:AA79)</f>
        <v>68090000</v>
      </c>
      <c r="G79" s="78">
        <f t="shared" ref="G79:P79" si="44">G27</f>
        <v>3290000</v>
      </c>
      <c r="H79" s="78">
        <f t="shared" si="44"/>
        <v>3290000</v>
      </c>
      <c r="I79" s="78">
        <f t="shared" si="44"/>
        <v>3290000</v>
      </c>
      <c r="J79" s="78">
        <f t="shared" si="44"/>
        <v>3290000</v>
      </c>
      <c r="K79" s="78">
        <f t="shared" si="44"/>
        <v>3790000</v>
      </c>
      <c r="L79" s="78">
        <f t="shared" si="44"/>
        <v>3790000</v>
      </c>
      <c r="M79" s="78">
        <f t="shared" si="44"/>
        <v>3790000</v>
      </c>
      <c r="N79" s="78">
        <f t="shared" si="44"/>
        <v>3790000</v>
      </c>
      <c r="O79" s="78">
        <f t="shared" si="44"/>
        <v>3290000</v>
      </c>
      <c r="P79" s="78">
        <f t="shared" si="44"/>
        <v>3290000</v>
      </c>
      <c r="Q79" s="78">
        <f t="shared" ref="Q79:AA79" si="45">Q27</f>
        <v>3290000</v>
      </c>
      <c r="R79" s="78">
        <f t="shared" si="45"/>
        <v>3290000</v>
      </c>
      <c r="S79" s="78">
        <f t="shared" si="45"/>
        <v>3290000</v>
      </c>
      <c r="T79" s="78">
        <f t="shared" si="45"/>
        <v>3290000</v>
      </c>
      <c r="U79" s="78">
        <f t="shared" si="45"/>
        <v>3290000</v>
      </c>
      <c r="V79" s="78">
        <f t="shared" si="45"/>
        <v>3290000</v>
      </c>
      <c r="W79" s="78">
        <f t="shared" si="45"/>
        <v>3290000</v>
      </c>
      <c r="X79" s="78">
        <f t="shared" si="45"/>
        <v>3290000</v>
      </c>
      <c r="Y79" s="78">
        <f t="shared" si="45"/>
        <v>3290000</v>
      </c>
      <c r="Z79" s="78">
        <f t="shared" si="45"/>
        <v>3290000</v>
      </c>
      <c r="AA79" s="78">
        <f t="shared" si="45"/>
        <v>290000</v>
      </c>
    </row>
    <row r="80" spans="1:27" s="33" customFormat="1" outlineLevel="1" x14ac:dyDescent="0.15">
      <c r="A80" s="78"/>
      <c r="B80" s="114" t="s">
        <v>290</v>
      </c>
      <c r="C80" s="78"/>
      <c r="D80" s="79" t="s">
        <v>156</v>
      </c>
      <c r="E80" s="150">
        <f>IFERROR(AVERAGE(G80:P80),"na")</f>
        <v>77011111.111111119</v>
      </c>
      <c r="F80" s="152">
        <f>SUM(G80:AA80)</f>
        <v>1340211111.0000005</v>
      </c>
      <c r="G80" s="78">
        <f t="shared" ref="G80:P80" si="46">G32</f>
        <v>70011111.111111104</v>
      </c>
      <c r="H80" s="78">
        <f t="shared" si="46"/>
        <v>70011111.111111104</v>
      </c>
      <c r="I80" s="78">
        <f t="shared" si="46"/>
        <v>70011111.111111104</v>
      </c>
      <c r="J80" s="78">
        <f t="shared" si="46"/>
        <v>80011111.111111104</v>
      </c>
      <c r="K80" s="78">
        <f t="shared" si="46"/>
        <v>80011111.111111104</v>
      </c>
      <c r="L80" s="78">
        <f t="shared" si="46"/>
        <v>80011111.111111104</v>
      </c>
      <c r="M80" s="78">
        <f t="shared" si="46"/>
        <v>80011111.111111104</v>
      </c>
      <c r="N80" s="78">
        <f t="shared" si="46"/>
        <v>80011111.111111104</v>
      </c>
      <c r="O80" s="78">
        <f t="shared" si="46"/>
        <v>80011111.111111104</v>
      </c>
      <c r="P80" s="78">
        <f t="shared" si="46"/>
        <v>80011111.111111104</v>
      </c>
      <c r="Q80" s="78">
        <f t="shared" ref="Q80:AA80" si="47">Q32</f>
        <v>80011111.111111104</v>
      </c>
      <c r="R80" s="78">
        <f t="shared" si="47"/>
        <v>70011111.111111104</v>
      </c>
      <c r="S80" s="78">
        <f t="shared" si="47"/>
        <v>70011111.111111104</v>
      </c>
      <c r="T80" s="78">
        <f t="shared" si="47"/>
        <v>70011111.111111104</v>
      </c>
      <c r="U80" s="78">
        <f t="shared" si="47"/>
        <v>70011111.111111104</v>
      </c>
      <c r="V80" s="78">
        <f t="shared" si="47"/>
        <v>70011111.111111104</v>
      </c>
      <c r="W80" s="78">
        <f t="shared" si="47"/>
        <v>70011111.111111104</v>
      </c>
      <c r="X80" s="78">
        <f t="shared" si="47"/>
        <v>70011111.111111104</v>
      </c>
      <c r="Y80" s="78">
        <f t="shared" si="47"/>
        <v>11111</v>
      </c>
      <c r="Z80" s="78">
        <f t="shared" si="47"/>
        <v>0</v>
      </c>
      <c r="AA80" s="78">
        <f t="shared" si="47"/>
        <v>0</v>
      </c>
    </row>
    <row r="81" spans="1:27" s="33" customFormat="1" outlineLevel="1" x14ac:dyDescent="0.15">
      <c r="A81" s="78"/>
      <c r="B81" s="114" t="s">
        <v>291</v>
      </c>
      <c r="C81" s="78"/>
      <c r="D81" s="79" t="s">
        <v>156</v>
      </c>
      <c r="E81" s="150">
        <f>IFERROR(AVERAGE(G81:P81),"na")</f>
        <v>16673333.333333338</v>
      </c>
      <c r="F81" s="152">
        <f>SUM(G81:AA81)</f>
        <v>227599999.66666675</v>
      </c>
      <c r="G81" s="78">
        <f>G37</f>
        <v>18173333.333333336</v>
      </c>
      <c r="H81" s="78">
        <f t="shared" ref="H81:AA81" si="48">H37</f>
        <v>18173333.333333336</v>
      </c>
      <c r="I81" s="78">
        <f t="shared" si="48"/>
        <v>18173333.333333336</v>
      </c>
      <c r="J81" s="78">
        <f t="shared" si="48"/>
        <v>18173333.333333336</v>
      </c>
      <c r="K81" s="78">
        <f t="shared" si="48"/>
        <v>18173333.333333336</v>
      </c>
      <c r="L81" s="78">
        <f t="shared" si="48"/>
        <v>15173333.333333334</v>
      </c>
      <c r="M81" s="78">
        <f t="shared" si="48"/>
        <v>15173333.333333334</v>
      </c>
      <c r="N81" s="78">
        <f t="shared" si="48"/>
        <v>15173333.333333334</v>
      </c>
      <c r="O81" s="78">
        <f t="shared" si="48"/>
        <v>15173333.333333334</v>
      </c>
      <c r="P81" s="78">
        <f t="shared" si="48"/>
        <v>15173333.333333334</v>
      </c>
      <c r="Q81" s="78">
        <f t="shared" si="48"/>
        <v>15173333.333333334</v>
      </c>
      <c r="R81" s="78">
        <f t="shared" si="48"/>
        <v>15173333.333333334</v>
      </c>
      <c r="S81" s="78">
        <f t="shared" si="48"/>
        <v>15173333.333333334</v>
      </c>
      <c r="T81" s="78">
        <f t="shared" si="48"/>
        <v>15173333.333333334</v>
      </c>
      <c r="U81" s="78">
        <f t="shared" si="48"/>
        <v>173333</v>
      </c>
      <c r="V81" s="78">
        <f t="shared" si="48"/>
        <v>0</v>
      </c>
      <c r="W81" s="78">
        <f t="shared" si="48"/>
        <v>0</v>
      </c>
      <c r="X81" s="78">
        <f t="shared" si="48"/>
        <v>0</v>
      </c>
      <c r="Y81" s="78">
        <f t="shared" si="48"/>
        <v>0</v>
      </c>
      <c r="Z81" s="78">
        <f t="shared" si="48"/>
        <v>0</v>
      </c>
      <c r="AA81" s="78">
        <f t="shared" si="48"/>
        <v>0</v>
      </c>
    </row>
    <row r="82" spans="1:27" s="33" customFormat="1" outlineLevel="1" x14ac:dyDescent="0.15">
      <c r="A82" s="78" t="s">
        <v>92</v>
      </c>
      <c r="B82" s="78"/>
      <c r="C82" s="78"/>
      <c r="D82" s="79"/>
      <c r="E82" s="79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 s="33" customFormat="1" outlineLevel="1" x14ac:dyDescent="0.15">
      <c r="A83" s="78"/>
      <c r="B83" s="114" t="s">
        <v>289</v>
      </c>
      <c r="C83" s="78"/>
      <c r="D83" s="79" t="s">
        <v>93</v>
      </c>
      <c r="E83" s="159">
        <f>IFERROR(AVERAGE(G83:P83),"na")</f>
        <v>0.93700000000000006</v>
      </c>
      <c r="F83" s="160"/>
      <c r="G83" s="36">
        <v>0.93700000000000006</v>
      </c>
      <c r="H83" s="36">
        <v>0.93700000000000006</v>
      </c>
      <c r="I83" s="36">
        <v>0.93700000000000006</v>
      </c>
      <c r="J83" s="36">
        <v>0.93700000000000006</v>
      </c>
      <c r="K83" s="36">
        <v>0.93700000000000006</v>
      </c>
      <c r="L83" s="36">
        <v>0.93700000000000006</v>
      </c>
      <c r="M83" s="36">
        <v>0.93700000000000006</v>
      </c>
      <c r="N83" s="36">
        <v>0.93700000000000006</v>
      </c>
      <c r="O83" s="36">
        <v>0.93700000000000006</v>
      </c>
      <c r="P83" s="36">
        <v>0.93700000000000006</v>
      </c>
      <c r="Q83" s="36">
        <v>0.93700000000000006</v>
      </c>
      <c r="R83" s="36">
        <v>0.93700000000000006</v>
      </c>
      <c r="S83" s="36">
        <v>0.93700000000000006</v>
      </c>
      <c r="T83" s="36">
        <v>0.93700000000000006</v>
      </c>
      <c r="U83" s="36">
        <v>0.93700000000000006</v>
      </c>
      <c r="V83" s="36">
        <v>0.93700000000000006</v>
      </c>
      <c r="W83" s="36">
        <v>0.93700000000000006</v>
      </c>
      <c r="X83" s="36">
        <v>0.93700000000000006</v>
      </c>
      <c r="Y83" s="36">
        <v>0.93700000000000006</v>
      </c>
      <c r="Z83" s="36">
        <v>0.93700000000000006</v>
      </c>
      <c r="AA83" s="36">
        <v>0.93700000000000006</v>
      </c>
    </row>
    <row r="84" spans="1:27" s="33" customFormat="1" outlineLevel="1" x14ac:dyDescent="0.15">
      <c r="A84" s="78"/>
      <c r="B84" s="114" t="s">
        <v>290</v>
      </c>
      <c r="C84" s="78"/>
      <c r="D84" s="79" t="s">
        <v>93</v>
      </c>
      <c r="E84" s="159">
        <f>IFERROR(AVERAGE(G84:P84),"na")</f>
        <v>0.93700000000000006</v>
      </c>
      <c r="F84" s="160"/>
      <c r="G84" s="36">
        <v>0.93700000000000006</v>
      </c>
      <c r="H84" s="36">
        <v>0.93700000000000006</v>
      </c>
      <c r="I84" s="36">
        <v>0.93700000000000006</v>
      </c>
      <c r="J84" s="36">
        <v>0.93700000000000006</v>
      </c>
      <c r="K84" s="36">
        <v>0.93700000000000006</v>
      </c>
      <c r="L84" s="36">
        <v>0.93700000000000006</v>
      </c>
      <c r="M84" s="36">
        <v>0.93700000000000006</v>
      </c>
      <c r="N84" s="36">
        <v>0.93700000000000006</v>
      </c>
      <c r="O84" s="36">
        <v>0.93700000000000006</v>
      </c>
      <c r="P84" s="36">
        <v>0.93700000000000006</v>
      </c>
      <c r="Q84" s="36">
        <v>0.93700000000000006</v>
      </c>
      <c r="R84" s="36">
        <v>0.93700000000000006</v>
      </c>
      <c r="S84" s="36">
        <v>0.93700000000000006</v>
      </c>
      <c r="T84" s="36">
        <v>0.93700000000000006</v>
      </c>
      <c r="U84" s="36">
        <v>0.93700000000000006</v>
      </c>
      <c r="V84" s="36">
        <v>0.93700000000000006</v>
      </c>
      <c r="W84" s="36">
        <v>0.93700000000000006</v>
      </c>
      <c r="X84" s="36">
        <v>0.93700000000000006</v>
      </c>
      <c r="Y84" s="36">
        <v>0.93700000000000006</v>
      </c>
      <c r="Z84" s="36">
        <v>0.93700000000000006</v>
      </c>
      <c r="AA84" s="36">
        <v>0.93700000000000006</v>
      </c>
    </row>
    <row r="85" spans="1:27" s="33" customFormat="1" outlineLevel="1" x14ac:dyDescent="0.15">
      <c r="A85" s="78"/>
      <c r="B85" s="114" t="s">
        <v>291</v>
      </c>
      <c r="C85" s="78"/>
      <c r="D85" s="79" t="s">
        <v>93</v>
      </c>
      <c r="E85" s="159">
        <f>IFERROR(AVERAGE(G85:P85),"na")</f>
        <v>0.93700000000000006</v>
      </c>
      <c r="F85" s="78"/>
      <c r="G85" s="36">
        <v>0.93700000000000006</v>
      </c>
      <c r="H85" s="36">
        <v>0.93700000000000006</v>
      </c>
      <c r="I85" s="36">
        <v>0.93700000000000006</v>
      </c>
      <c r="J85" s="36">
        <v>0.93700000000000006</v>
      </c>
      <c r="K85" s="36">
        <v>0.93700000000000006</v>
      </c>
      <c r="L85" s="36">
        <v>0.93700000000000006</v>
      </c>
      <c r="M85" s="36">
        <v>0.93700000000000006</v>
      </c>
      <c r="N85" s="36">
        <v>0.93700000000000006</v>
      </c>
      <c r="O85" s="36">
        <v>0.93700000000000006</v>
      </c>
      <c r="P85" s="36">
        <v>0.93700000000000006</v>
      </c>
      <c r="Q85" s="36">
        <v>0.93700000000000006</v>
      </c>
      <c r="R85" s="36">
        <v>0.93700000000000006</v>
      </c>
      <c r="S85" s="36">
        <v>0.93700000000000006</v>
      </c>
      <c r="T85" s="36">
        <v>0.93700000000000006</v>
      </c>
      <c r="U85" s="36">
        <v>0.93700000000000006</v>
      </c>
      <c r="V85" s="36">
        <v>0.93700000000000006</v>
      </c>
      <c r="W85" s="36">
        <v>0.93700000000000006</v>
      </c>
      <c r="X85" s="36">
        <v>0.93700000000000006</v>
      </c>
      <c r="Y85" s="36">
        <v>0.93700000000000006</v>
      </c>
      <c r="Z85" s="36">
        <v>0.93700000000000006</v>
      </c>
      <c r="AA85" s="36">
        <v>0.93700000000000006</v>
      </c>
    </row>
    <row r="86" spans="1:27" s="33" customFormat="1" outlineLevel="1" x14ac:dyDescent="0.15">
      <c r="A86" s="78" t="s">
        <v>168</v>
      </c>
      <c r="B86" s="78"/>
      <c r="C86" s="78"/>
      <c r="D86" s="78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 s="33" customFormat="1" outlineLevel="1" x14ac:dyDescent="0.15">
      <c r="A87" s="78"/>
      <c r="B87" s="114" t="s">
        <v>289</v>
      </c>
      <c r="C87" s="78"/>
      <c r="D87" s="79" t="s">
        <v>165</v>
      </c>
      <c r="E87" s="150">
        <f>IFERROR(AVERAGE(G87:P87),"na")</f>
        <v>272046.98510638304</v>
      </c>
      <c r="F87" s="152">
        <f>SUM(G87:AA87)</f>
        <v>5307644.4744680868</v>
      </c>
      <c r="G87" s="78">
        <f>G79*$J$47*G83</f>
        <v>256456.90000000002</v>
      </c>
      <c r="H87" s="78">
        <f t="shared" ref="H87:AA87" si="49">H79*$J$47*H83</f>
        <v>256456.90000000002</v>
      </c>
      <c r="I87" s="78">
        <f t="shared" si="49"/>
        <v>256456.90000000002</v>
      </c>
      <c r="J87" s="78">
        <f t="shared" si="49"/>
        <v>256456.90000000002</v>
      </c>
      <c r="K87" s="78">
        <f t="shared" si="49"/>
        <v>295432.11276595748</v>
      </c>
      <c r="L87" s="78">
        <f t="shared" si="49"/>
        <v>295432.11276595748</v>
      </c>
      <c r="M87" s="78">
        <f t="shared" si="49"/>
        <v>295432.11276595748</v>
      </c>
      <c r="N87" s="78">
        <f t="shared" si="49"/>
        <v>295432.11276595748</v>
      </c>
      <c r="O87" s="78">
        <f t="shared" si="49"/>
        <v>256456.90000000002</v>
      </c>
      <c r="P87" s="78">
        <f t="shared" si="49"/>
        <v>256456.90000000002</v>
      </c>
      <c r="Q87" s="78">
        <f t="shared" si="49"/>
        <v>256456.90000000002</v>
      </c>
      <c r="R87" s="78">
        <f t="shared" si="49"/>
        <v>256456.90000000002</v>
      </c>
      <c r="S87" s="78">
        <f t="shared" si="49"/>
        <v>256456.90000000002</v>
      </c>
      <c r="T87" s="78">
        <f t="shared" si="49"/>
        <v>256456.90000000002</v>
      </c>
      <c r="U87" s="78">
        <f t="shared" si="49"/>
        <v>256456.90000000002</v>
      </c>
      <c r="V87" s="78">
        <f t="shared" si="49"/>
        <v>256456.90000000002</v>
      </c>
      <c r="W87" s="78">
        <f t="shared" si="49"/>
        <v>256456.90000000002</v>
      </c>
      <c r="X87" s="78">
        <f t="shared" si="49"/>
        <v>256456.90000000002</v>
      </c>
      <c r="Y87" s="78">
        <f t="shared" si="49"/>
        <v>256456.90000000002</v>
      </c>
      <c r="Z87" s="78">
        <f t="shared" si="49"/>
        <v>256456.90000000002</v>
      </c>
      <c r="AA87" s="78">
        <f t="shared" si="49"/>
        <v>22605.623404255322</v>
      </c>
    </row>
    <row r="88" spans="1:27" s="33" customFormat="1" outlineLevel="1" x14ac:dyDescent="0.15">
      <c r="A88" s="78"/>
      <c r="B88" s="114" t="s">
        <v>290</v>
      </c>
      <c r="C88" s="78"/>
      <c r="D88" s="79" t="s">
        <v>165</v>
      </c>
      <c r="E88" s="150">
        <f>IFERROR(AVERAGE(G88:P88),"na")</f>
        <v>126076.26803567333</v>
      </c>
      <c r="F88" s="152">
        <f>SUM(G88:AA88)</f>
        <v>2194083.5915357266</v>
      </c>
      <c r="G88" s="78">
        <f>G80*$J$48*G84</f>
        <v>114616.44277777777</v>
      </c>
      <c r="H88" s="78">
        <f t="shared" ref="H88:AA88" si="50">H80*$J$48*H84</f>
        <v>114616.44277777777</v>
      </c>
      <c r="I88" s="78">
        <f t="shared" si="50"/>
        <v>114616.44277777777</v>
      </c>
      <c r="J88" s="78">
        <f t="shared" si="50"/>
        <v>130987.62171762859</v>
      </c>
      <c r="K88" s="78">
        <f t="shared" si="50"/>
        <v>130987.62171762859</v>
      </c>
      <c r="L88" s="78">
        <f t="shared" si="50"/>
        <v>130987.62171762859</v>
      </c>
      <c r="M88" s="78">
        <f t="shared" si="50"/>
        <v>130987.62171762859</v>
      </c>
      <c r="N88" s="78">
        <f t="shared" si="50"/>
        <v>130987.62171762859</v>
      </c>
      <c r="O88" s="78">
        <f t="shared" si="50"/>
        <v>130987.62171762859</v>
      </c>
      <c r="P88" s="78">
        <f t="shared" si="50"/>
        <v>130987.62171762859</v>
      </c>
      <c r="Q88" s="78">
        <f t="shared" si="50"/>
        <v>130987.62171762859</v>
      </c>
      <c r="R88" s="78">
        <f t="shared" si="50"/>
        <v>114616.44277777777</v>
      </c>
      <c r="S88" s="78">
        <f t="shared" si="50"/>
        <v>114616.44277777777</v>
      </c>
      <c r="T88" s="78">
        <f t="shared" si="50"/>
        <v>114616.44277777777</v>
      </c>
      <c r="U88" s="78">
        <f t="shared" si="50"/>
        <v>114616.44277777777</v>
      </c>
      <c r="V88" s="78">
        <f t="shared" si="50"/>
        <v>114616.44277777777</v>
      </c>
      <c r="W88" s="78">
        <f t="shared" si="50"/>
        <v>114616.44277777777</v>
      </c>
      <c r="X88" s="78">
        <f t="shared" si="50"/>
        <v>114616.44277777777</v>
      </c>
      <c r="Y88" s="78">
        <f t="shared" si="50"/>
        <v>18.190016920068242</v>
      </c>
      <c r="Z88" s="78">
        <f t="shared" si="50"/>
        <v>0</v>
      </c>
      <c r="AA88" s="78">
        <f t="shared" si="50"/>
        <v>0</v>
      </c>
    </row>
    <row r="89" spans="1:27" s="37" customFormat="1" outlineLevel="1" x14ac:dyDescent="0.15">
      <c r="B89" s="114" t="s">
        <v>291</v>
      </c>
      <c r="D89" s="79" t="s">
        <v>165</v>
      </c>
      <c r="E89" s="150">
        <f>IFERROR(AVERAGE(G89:P89),"na")</f>
        <v>192562.54493257302</v>
      </c>
      <c r="F89" s="152">
        <f>SUM(G89:AA89)</f>
        <v>2628582.6766772959</v>
      </c>
      <c r="G89" s="78">
        <f>G81*$J$49*G85</f>
        <v>209886.24449667896</v>
      </c>
      <c r="H89" s="78">
        <f t="shared" ref="H89:AA89" si="51">H81*$J$49*H85</f>
        <v>209886.24449667896</v>
      </c>
      <c r="I89" s="78">
        <f t="shared" si="51"/>
        <v>209886.24449667896</v>
      </c>
      <c r="J89" s="78">
        <f t="shared" si="51"/>
        <v>209886.24449667896</v>
      </c>
      <c r="K89" s="78">
        <f t="shared" si="51"/>
        <v>209886.24449667896</v>
      </c>
      <c r="L89" s="78">
        <f t="shared" si="51"/>
        <v>175238.84536846707</v>
      </c>
      <c r="M89" s="78">
        <f t="shared" si="51"/>
        <v>175238.84536846707</v>
      </c>
      <c r="N89" s="78">
        <f t="shared" si="51"/>
        <v>175238.84536846707</v>
      </c>
      <c r="O89" s="78">
        <f t="shared" si="51"/>
        <v>175238.84536846707</v>
      </c>
      <c r="P89" s="78">
        <f t="shared" si="51"/>
        <v>175238.84536846707</v>
      </c>
      <c r="Q89" s="78">
        <f t="shared" si="51"/>
        <v>175238.84536846707</v>
      </c>
      <c r="R89" s="78">
        <f t="shared" si="51"/>
        <v>175238.84536846707</v>
      </c>
      <c r="S89" s="78">
        <f t="shared" si="51"/>
        <v>175238.84536846707</v>
      </c>
      <c r="T89" s="78">
        <f t="shared" si="51"/>
        <v>175238.84536846707</v>
      </c>
      <c r="U89" s="78">
        <f t="shared" si="51"/>
        <v>2001.8458776967816</v>
      </c>
      <c r="V89" s="78">
        <f t="shared" si="51"/>
        <v>0</v>
      </c>
      <c r="W89" s="78">
        <f t="shared" si="51"/>
        <v>0</v>
      </c>
      <c r="X89" s="78">
        <f t="shared" si="51"/>
        <v>0</v>
      </c>
      <c r="Y89" s="78">
        <f t="shared" si="51"/>
        <v>0</v>
      </c>
      <c r="Z89" s="78">
        <f t="shared" si="51"/>
        <v>0</v>
      </c>
      <c r="AA89" s="78">
        <f t="shared" si="51"/>
        <v>0</v>
      </c>
    </row>
    <row r="90" spans="1:27" s="37" customFormat="1" outlineLevel="1" x14ac:dyDescent="0.15">
      <c r="A90" s="78" t="s">
        <v>114</v>
      </c>
      <c r="E90" s="38"/>
    </row>
    <row r="91" spans="1:27" s="33" customFormat="1" outlineLevel="1" x14ac:dyDescent="0.15">
      <c r="A91" s="78"/>
      <c r="B91" s="78" t="s">
        <v>81</v>
      </c>
      <c r="C91" s="78"/>
      <c r="D91" s="79" t="s">
        <v>165</v>
      </c>
      <c r="E91" s="161">
        <f>IFERROR(AVERAGE(G91:P91),"na")</f>
        <v>0.99</v>
      </c>
      <c r="F91" s="162" t="s">
        <v>157</v>
      </c>
      <c r="G91" s="85">
        <v>0.99</v>
      </c>
      <c r="H91" s="85">
        <v>0.99</v>
      </c>
      <c r="I91" s="85">
        <v>0.99</v>
      </c>
      <c r="J91" s="85">
        <v>0.99</v>
      </c>
      <c r="K91" s="85">
        <v>0.99</v>
      </c>
      <c r="L91" s="85">
        <v>0.99</v>
      </c>
      <c r="M91" s="85">
        <v>0.99</v>
      </c>
      <c r="N91" s="85">
        <v>0.99</v>
      </c>
      <c r="O91" s="85">
        <v>0.99</v>
      </c>
      <c r="P91" s="85">
        <v>0.99</v>
      </c>
      <c r="Q91" s="85">
        <v>0.99</v>
      </c>
      <c r="R91" s="85">
        <v>0.99</v>
      </c>
      <c r="S91" s="85">
        <v>0.99</v>
      </c>
      <c r="T91" s="85">
        <v>0.99</v>
      </c>
      <c r="U91" s="85">
        <v>0.99</v>
      </c>
      <c r="V91" s="85">
        <v>0.99</v>
      </c>
      <c r="W91" s="85">
        <v>0.99</v>
      </c>
      <c r="X91" s="85">
        <v>0.99</v>
      </c>
      <c r="Y91" s="85">
        <v>0.99</v>
      </c>
      <c r="Z91" s="85">
        <v>0.99</v>
      </c>
      <c r="AA91" s="85">
        <v>0.99</v>
      </c>
    </row>
    <row r="92" spans="1:27" s="33" customFormat="1" outlineLevel="1" x14ac:dyDescent="0.15">
      <c r="A92" s="78"/>
      <c r="B92" s="78"/>
      <c r="C92" s="78"/>
      <c r="D92" s="79"/>
      <c r="E92" s="79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 s="33" customFormat="1" outlineLevel="1" x14ac:dyDescent="0.15">
      <c r="A93" s="78" t="s">
        <v>169</v>
      </c>
      <c r="B93" s="78"/>
      <c r="C93" s="78"/>
      <c r="D93" s="79"/>
      <c r="E93" s="79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 s="33" customFormat="1" outlineLevel="1" x14ac:dyDescent="0.15">
      <c r="A94" s="78"/>
      <c r="B94" s="78" t="s">
        <v>81</v>
      </c>
      <c r="C94" s="78"/>
      <c r="D94" s="79" t="s">
        <v>165</v>
      </c>
      <c r="E94" s="150">
        <f>IFERROR(AVERAGE(G94:AA94),"na")</f>
        <v>477571.79215496627</v>
      </c>
      <c r="F94" s="152">
        <f>SUM(G94:P94)</f>
        <v>5847789.4009388303</v>
      </c>
      <c r="G94" s="78" cm="1">
        <f t="array" ref="G94">SUM(G87:G89*G91)</f>
        <v>575149.99140171218</v>
      </c>
      <c r="H94" s="78" cm="1">
        <f t="array" ref="H94">SUM(H87:H89*H91)</f>
        <v>575149.99140171218</v>
      </c>
      <c r="I94" s="78" cm="1">
        <f t="array" ref="I94">SUM(I87:I89*I91)</f>
        <v>575149.99140171218</v>
      </c>
      <c r="J94" s="78" cm="1">
        <f t="array" ref="J94">SUM(J87:J89*J91)</f>
        <v>591357.45855216449</v>
      </c>
      <c r="K94" s="78" cm="1">
        <f t="array" ref="K94">SUM(K87:K89*K91)</f>
        <v>629942.91919046233</v>
      </c>
      <c r="L94" s="78" cm="1">
        <f t="array" ref="L94">SUM(L87:L89*L91)</f>
        <v>595641.9940535326</v>
      </c>
      <c r="M94" s="78" cm="1">
        <f t="array" ref="M94">SUM(M87:M89*M91)</f>
        <v>595641.9940535326</v>
      </c>
      <c r="N94" s="78" cm="1">
        <f t="array" ref="N94">SUM(N87:N89*N91)</f>
        <v>595641.9940535326</v>
      </c>
      <c r="O94" s="78" cm="1">
        <f t="array" ref="O94">SUM(O87:O89*O91)</f>
        <v>557056.53341523476</v>
      </c>
      <c r="P94" s="78" cm="1">
        <f t="array" ref="P94">SUM(P87:P89*P91)</f>
        <v>557056.53341523476</v>
      </c>
      <c r="Q94" s="78" cm="1">
        <f t="array" ref="Q94">SUM(Q87:Q89*Q91)</f>
        <v>557056.53341523476</v>
      </c>
      <c r="R94" s="78" cm="1">
        <f t="array" ref="R94">SUM(R87:R89*R91)</f>
        <v>540849.06626478245</v>
      </c>
      <c r="S94" s="78" cm="1">
        <f t="array" ref="S94">SUM(S87:S89*S91)</f>
        <v>540849.06626478245</v>
      </c>
      <c r="T94" s="78" cm="1">
        <f t="array" ref="T94">SUM(T87:T89*T91)</f>
        <v>540849.06626478245</v>
      </c>
      <c r="U94" s="78" cm="1">
        <f t="array" ref="U94">SUM(U87:U89*U91)</f>
        <v>369344.43676891987</v>
      </c>
      <c r="V94" s="78" cm="1">
        <f t="array" ref="V94">SUM(V87:V89*V91)</f>
        <v>367362.60935000004</v>
      </c>
      <c r="W94" s="78" cm="1">
        <f t="array" ref="W94">SUM(W87:W89*W91)</f>
        <v>367362.60935000004</v>
      </c>
      <c r="X94" s="78" cm="1">
        <f t="array" ref="X94">SUM(X87:X89*X91)</f>
        <v>367362.60935000004</v>
      </c>
      <c r="Y94" s="78" cm="1">
        <f t="array" ref="Y94">SUM(Y87:Y89*Y91)</f>
        <v>253910.3391167509</v>
      </c>
      <c r="Z94" s="78" cm="1">
        <f t="array" ref="Z94">SUM(Z87:Z89*Z91)</f>
        <v>253892.33100000003</v>
      </c>
      <c r="AA94" s="78" cm="1">
        <f t="array" ref="AA94">SUM(AA87:AA89*AA91)</f>
        <v>22379.567170212769</v>
      </c>
    </row>
    <row r="95" spans="1:27" s="33" customFormat="1" outlineLevel="1" x14ac:dyDescent="0.15">
      <c r="A95" s="78"/>
      <c r="B95" s="78"/>
      <c r="C95" s="78"/>
      <c r="D95" s="79"/>
      <c r="E95" s="79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 s="33" customFormat="1" x14ac:dyDescent="0.15">
      <c r="A96" s="78"/>
      <c r="B96" s="78"/>
      <c r="C96" s="78"/>
      <c r="D96" s="79"/>
      <c r="E96" s="79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 s="50" customFormat="1" ht="18.75" customHeight="1" x14ac:dyDescent="0.2">
      <c r="A97" s="107" t="s">
        <v>4</v>
      </c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</row>
    <row r="98" spans="1:27" s="39" customFormat="1" ht="16.5" customHeight="1" outlineLevel="1" x14ac:dyDescent="0.15">
      <c r="D98" s="40"/>
      <c r="E98" s="40"/>
      <c r="F98" s="4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s="29" customFormat="1" outlineLevel="1" x14ac:dyDescent="0.15">
      <c r="A99" s="28" t="s">
        <v>78</v>
      </c>
      <c r="B99" s="80"/>
      <c r="C99" s="80"/>
      <c r="D99" s="149"/>
      <c r="E99" s="149"/>
      <c r="F99" s="149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</row>
    <row r="100" spans="1:27" s="29" customFormat="1" outlineLevel="1" x14ac:dyDescent="0.15">
      <c r="A100" s="80"/>
      <c r="B100" s="80" t="s">
        <v>81</v>
      </c>
      <c r="C100" s="80"/>
      <c r="D100" s="149" t="s">
        <v>125</v>
      </c>
      <c r="E100" s="150">
        <f>IFERROR(AVERAGE(G100:P100),"na")</f>
        <v>2100</v>
      </c>
      <c r="F100" s="163" t="s">
        <v>157</v>
      </c>
      <c r="G100" s="164">
        <f t="shared" ref="G100:P100" si="52">G22</f>
        <v>2100</v>
      </c>
      <c r="H100" s="164">
        <f t="shared" si="52"/>
        <v>2100</v>
      </c>
      <c r="I100" s="164">
        <f t="shared" si="52"/>
        <v>2100</v>
      </c>
      <c r="J100" s="164">
        <f t="shared" si="52"/>
        <v>2100</v>
      </c>
      <c r="K100" s="164">
        <f t="shared" si="52"/>
        <v>2100</v>
      </c>
      <c r="L100" s="164">
        <f t="shared" si="52"/>
        <v>2100</v>
      </c>
      <c r="M100" s="164">
        <f t="shared" si="52"/>
        <v>2100</v>
      </c>
      <c r="N100" s="164">
        <f t="shared" si="52"/>
        <v>2100</v>
      </c>
      <c r="O100" s="164">
        <f t="shared" si="52"/>
        <v>2100</v>
      </c>
      <c r="P100" s="164">
        <f t="shared" si="52"/>
        <v>2100</v>
      </c>
      <c r="Q100" s="164">
        <f t="shared" ref="Q100:AA100" si="53">Q22</f>
        <v>2100</v>
      </c>
      <c r="R100" s="164">
        <f t="shared" si="53"/>
        <v>2100</v>
      </c>
      <c r="S100" s="164">
        <f t="shared" si="53"/>
        <v>2100</v>
      </c>
      <c r="T100" s="164">
        <f t="shared" si="53"/>
        <v>2100</v>
      </c>
      <c r="U100" s="164">
        <f t="shared" si="53"/>
        <v>2100</v>
      </c>
      <c r="V100" s="164">
        <f t="shared" si="53"/>
        <v>2100</v>
      </c>
      <c r="W100" s="164">
        <f t="shared" si="53"/>
        <v>2100</v>
      </c>
      <c r="X100" s="164">
        <f t="shared" si="53"/>
        <v>2100</v>
      </c>
      <c r="Y100" s="164">
        <f t="shared" si="53"/>
        <v>2100</v>
      </c>
      <c r="Z100" s="164">
        <f t="shared" si="53"/>
        <v>2100</v>
      </c>
      <c r="AA100" s="164">
        <f t="shared" si="53"/>
        <v>2100</v>
      </c>
    </row>
    <row r="101" spans="1:27" s="29" customFormat="1" outlineLevel="1" x14ac:dyDescent="0.15">
      <c r="A101" s="80"/>
      <c r="B101" s="80"/>
      <c r="C101" s="80"/>
      <c r="D101" s="149"/>
      <c r="E101" s="149"/>
      <c r="F101" s="149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</row>
    <row r="102" spans="1:27" s="33" customFormat="1" outlineLevel="1" x14ac:dyDescent="0.15">
      <c r="A102" s="28" t="s">
        <v>169</v>
      </c>
      <c r="B102" s="78"/>
      <c r="C102" s="78"/>
      <c r="D102" s="78"/>
      <c r="E102" s="79"/>
      <c r="F102" s="79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 s="37" customFormat="1" outlineLevel="1" x14ac:dyDescent="0.15">
      <c r="B103" s="80" t="s">
        <v>81</v>
      </c>
      <c r="D103" s="79" t="s">
        <v>165</v>
      </c>
      <c r="E103" s="150">
        <f>IFERROR(AVERAGE(G103:P103),"na")</f>
        <v>584778.94009388308</v>
      </c>
      <c r="F103" s="150">
        <f>SUM(G103:P103)</f>
        <v>5847789.4009388303</v>
      </c>
      <c r="G103" s="164">
        <f>G94</f>
        <v>575149.99140171218</v>
      </c>
      <c r="H103" s="164">
        <f t="shared" ref="H103:P103" si="54">H94</f>
        <v>575149.99140171218</v>
      </c>
      <c r="I103" s="164">
        <f t="shared" si="54"/>
        <v>575149.99140171218</v>
      </c>
      <c r="J103" s="164">
        <f t="shared" si="54"/>
        <v>591357.45855216449</v>
      </c>
      <c r="K103" s="164">
        <f t="shared" si="54"/>
        <v>629942.91919046233</v>
      </c>
      <c r="L103" s="164">
        <f t="shared" si="54"/>
        <v>595641.9940535326</v>
      </c>
      <c r="M103" s="164">
        <f t="shared" si="54"/>
        <v>595641.9940535326</v>
      </c>
      <c r="N103" s="164">
        <f t="shared" si="54"/>
        <v>595641.9940535326</v>
      </c>
      <c r="O103" s="164">
        <f t="shared" si="54"/>
        <v>557056.53341523476</v>
      </c>
      <c r="P103" s="164">
        <f t="shared" si="54"/>
        <v>557056.53341523476</v>
      </c>
      <c r="Q103" s="164">
        <f t="shared" ref="Q103:AA103" si="55">Q94</f>
        <v>557056.53341523476</v>
      </c>
      <c r="R103" s="164">
        <f t="shared" si="55"/>
        <v>540849.06626478245</v>
      </c>
      <c r="S103" s="164">
        <f t="shared" si="55"/>
        <v>540849.06626478245</v>
      </c>
      <c r="T103" s="164">
        <f t="shared" si="55"/>
        <v>540849.06626478245</v>
      </c>
      <c r="U103" s="164">
        <f t="shared" si="55"/>
        <v>369344.43676891987</v>
      </c>
      <c r="V103" s="164">
        <f t="shared" si="55"/>
        <v>367362.60935000004</v>
      </c>
      <c r="W103" s="164">
        <f t="shared" si="55"/>
        <v>367362.60935000004</v>
      </c>
      <c r="X103" s="164">
        <f t="shared" si="55"/>
        <v>367362.60935000004</v>
      </c>
      <c r="Y103" s="164">
        <f t="shared" si="55"/>
        <v>253910.3391167509</v>
      </c>
      <c r="Z103" s="164">
        <f t="shared" si="55"/>
        <v>253892.33100000003</v>
      </c>
      <c r="AA103" s="164">
        <f t="shared" si="55"/>
        <v>22379.567170212769</v>
      </c>
    </row>
    <row r="104" spans="1:27" s="29" customFormat="1" outlineLevel="1" x14ac:dyDescent="0.15">
      <c r="A104" s="80"/>
      <c r="B104" s="80"/>
      <c r="C104" s="80"/>
      <c r="D104" s="149"/>
      <c r="E104" s="150"/>
      <c r="F104" s="163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s="29" customFormat="1" outlineLevel="1" x14ac:dyDescent="0.15">
      <c r="A105" s="28" t="s">
        <v>170</v>
      </c>
      <c r="B105" s="80"/>
      <c r="C105" s="80"/>
      <c r="D105" s="149"/>
      <c r="E105" s="150"/>
      <c r="F105" s="163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s="29" customFormat="1" outlineLevel="1" x14ac:dyDescent="0.15">
      <c r="A106" s="80"/>
      <c r="B106" s="80" t="s">
        <v>167</v>
      </c>
      <c r="C106" s="80"/>
      <c r="D106" s="149" t="s">
        <v>156</v>
      </c>
      <c r="E106" s="150">
        <f>IFERROR(AVERAGE(G106:P106),"na")</f>
        <v>97174444.444444433</v>
      </c>
      <c r="F106" s="150">
        <f>SUM(G106:P106)</f>
        <v>971744444.4444443</v>
      </c>
      <c r="G106" s="164">
        <f>SUM(G79:G81)</f>
        <v>91474444.444444448</v>
      </c>
      <c r="H106" s="164">
        <f t="shared" ref="H106:AA106" si="56">SUM(H79:H81)</f>
        <v>91474444.444444448</v>
      </c>
      <c r="I106" s="164">
        <f t="shared" si="56"/>
        <v>91474444.444444448</v>
      </c>
      <c r="J106" s="164">
        <f t="shared" si="56"/>
        <v>101474444.44444445</v>
      </c>
      <c r="K106" s="164">
        <f t="shared" si="56"/>
        <v>101974444.44444445</v>
      </c>
      <c r="L106" s="164">
        <f t="shared" si="56"/>
        <v>98974444.444444433</v>
      </c>
      <c r="M106" s="164">
        <f t="shared" si="56"/>
        <v>98974444.444444433</v>
      </c>
      <c r="N106" s="164">
        <f t="shared" si="56"/>
        <v>98974444.444444433</v>
      </c>
      <c r="O106" s="164">
        <f t="shared" si="56"/>
        <v>98474444.444444433</v>
      </c>
      <c r="P106" s="164">
        <f t="shared" si="56"/>
        <v>98474444.444444433</v>
      </c>
      <c r="Q106" s="164">
        <f t="shared" si="56"/>
        <v>98474444.444444433</v>
      </c>
      <c r="R106" s="164">
        <f t="shared" si="56"/>
        <v>88474444.444444433</v>
      </c>
      <c r="S106" s="164">
        <f t="shared" si="56"/>
        <v>88474444.444444433</v>
      </c>
      <c r="T106" s="164">
        <f t="shared" si="56"/>
        <v>88474444.444444433</v>
      </c>
      <c r="U106" s="164">
        <f t="shared" si="56"/>
        <v>73474444.111111104</v>
      </c>
      <c r="V106" s="164">
        <f t="shared" si="56"/>
        <v>73301111.111111104</v>
      </c>
      <c r="W106" s="164">
        <f t="shared" si="56"/>
        <v>73301111.111111104</v>
      </c>
      <c r="X106" s="164">
        <f t="shared" si="56"/>
        <v>73301111.111111104</v>
      </c>
      <c r="Y106" s="164">
        <f t="shared" si="56"/>
        <v>3301111</v>
      </c>
      <c r="Z106" s="164">
        <f t="shared" si="56"/>
        <v>3290000</v>
      </c>
      <c r="AA106" s="164">
        <f t="shared" si="56"/>
        <v>290000</v>
      </c>
    </row>
    <row r="107" spans="1:27" s="37" customFormat="1" outlineLevel="1" x14ac:dyDescent="0.15">
      <c r="E107" s="38"/>
      <c r="F107" s="150"/>
    </row>
    <row r="108" spans="1:27" s="37" customFormat="1" outlineLevel="1" x14ac:dyDescent="0.15">
      <c r="E108" s="38"/>
      <c r="F108" s="38"/>
    </row>
    <row r="109" spans="1:27" s="33" customFormat="1" outlineLevel="1" x14ac:dyDescent="0.15">
      <c r="A109" s="70" t="s">
        <v>171</v>
      </c>
      <c r="B109" s="71"/>
      <c r="C109" s="71"/>
      <c r="D109" s="72"/>
      <c r="E109" s="72"/>
      <c r="F109" s="72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 s="33" customFormat="1" outlineLevel="1" x14ac:dyDescent="0.15">
      <c r="A110" s="37"/>
      <c r="B110" s="78"/>
      <c r="C110" s="78"/>
      <c r="D110" s="79"/>
      <c r="E110" s="79"/>
      <c r="F110" s="79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 s="33" customFormat="1" outlineLevel="1" x14ac:dyDescent="0.15">
      <c r="A111" s="78" t="s">
        <v>172</v>
      </c>
      <c r="B111" s="78"/>
      <c r="C111" s="78"/>
      <c r="D111" s="79"/>
      <c r="E111" s="79"/>
      <c r="F111" s="79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 s="33" customFormat="1" outlineLevel="1" x14ac:dyDescent="0.15">
      <c r="A112" s="78"/>
      <c r="B112" s="78" t="s">
        <v>81</v>
      </c>
      <c r="C112" s="78"/>
      <c r="D112" s="79" t="s">
        <v>173</v>
      </c>
      <c r="E112" s="150">
        <f>IFERROR(AVERAGE(G112:P112),"na")</f>
        <v>1228035774.1971545</v>
      </c>
      <c r="F112" s="150">
        <f>SUM(G112:P112)</f>
        <v>12280357741.971544</v>
      </c>
      <c r="G112" s="78">
        <f>G103*G100</f>
        <v>1207814981.9435956</v>
      </c>
      <c r="H112" s="78">
        <f t="shared" ref="H112:P112" si="57">H103*H100</f>
        <v>1207814981.9435956</v>
      </c>
      <c r="I112" s="78">
        <f t="shared" si="57"/>
        <v>1207814981.9435956</v>
      </c>
      <c r="J112" s="78">
        <f t="shared" si="57"/>
        <v>1241850662.9595454</v>
      </c>
      <c r="K112" s="78">
        <f t="shared" si="57"/>
        <v>1322880130.2999709</v>
      </c>
      <c r="L112" s="78">
        <f t="shared" si="57"/>
        <v>1250848187.5124185</v>
      </c>
      <c r="M112" s="78">
        <f t="shared" si="57"/>
        <v>1250848187.5124185</v>
      </c>
      <c r="N112" s="78">
        <f t="shared" si="57"/>
        <v>1250848187.5124185</v>
      </c>
      <c r="O112" s="78">
        <f t="shared" si="57"/>
        <v>1169818720.171993</v>
      </c>
      <c r="P112" s="78">
        <f t="shared" si="57"/>
        <v>1169818720.171993</v>
      </c>
      <c r="Q112" s="78">
        <f t="shared" ref="Q112:AA112" si="58">Q103*Q100</f>
        <v>1169818720.171993</v>
      </c>
      <c r="R112" s="78">
        <f t="shared" si="58"/>
        <v>1135783039.1560431</v>
      </c>
      <c r="S112" s="78">
        <f t="shared" si="58"/>
        <v>1135783039.1560431</v>
      </c>
      <c r="T112" s="78">
        <f t="shared" si="58"/>
        <v>1135783039.1560431</v>
      </c>
      <c r="U112" s="78">
        <f t="shared" si="58"/>
        <v>775623317.21473169</v>
      </c>
      <c r="V112" s="78">
        <f t="shared" si="58"/>
        <v>771461479.63500011</v>
      </c>
      <c r="W112" s="78">
        <f t="shared" si="58"/>
        <v>771461479.63500011</v>
      </c>
      <c r="X112" s="78">
        <f t="shared" si="58"/>
        <v>771461479.63500011</v>
      </c>
      <c r="Y112" s="78">
        <f t="shared" si="58"/>
        <v>533211712.14517689</v>
      </c>
      <c r="Z112" s="78">
        <f t="shared" si="58"/>
        <v>533173895.10000008</v>
      </c>
      <c r="AA112" s="78">
        <f t="shared" si="58"/>
        <v>46997091.057446815</v>
      </c>
    </row>
    <row r="113" spans="1:27" s="33" customFormat="1" outlineLevel="1" x14ac:dyDescent="0.15">
      <c r="A113" s="42" t="s">
        <v>174</v>
      </c>
      <c r="B113" s="165"/>
      <c r="C113" s="165"/>
      <c r="D113" s="166"/>
      <c r="E113" s="65">
        <f>IFERROR(AVERAGE(G113:P113),"na")</f>
        <v>1228035774.1971545</v>
      </c>
      <c r="F113" s="65">
        <f>SUM(G113:P113)</f>
        <v>12280357741.971544</v>
      </c>
      <c r="G113" s="42">
        <f t="shared" ref="G113:P113" si="59">SUM(G112:G112)</f>
        <v>1207814981.9435956</v>
      </c>
      <c r="H113" s="42">
        <f t="shared" si="59"/>
        <v>1207814981.9435956</v>
      </c>
      <c r="I113" s="42">
        <f t="shared" si="59"/>
        <v>1207814981.9435956</v>
      </c>
      <c r="J113" s="42">
        <f t="shared" si="59"/>
        <v>1241850662.9595454</v>
      </c>
      <c r="K113" s="42">
        <f t="shared" si="59"/>
        <v>1322880130.2999709</v>
      </c>
      <c r="L113" s="42">
        <f t="shared" si="59"/>
        <v>1250848187.5124185</v>
      </c>
      <c r="M113" s="42">
        <f t="shared" si="59"/>
        <v>1250848187.5124185</v>
      </c>
      <c r="N113" s="42">
        <f t="shared" si="59"/>
        <v>1250848187.5124185</v>
      </c>
      <c r="O113" s="42">
        <f t="shared" si="59"/>
        <v>1169818720.171993</v>
      </c>
      <c r="P113" s="42">
        <f t="shared" si="59"/>
        <v>1169818720.171993</v>
      </c>
      <c r="Q113" s="42">
        <f t="shared" ref="Q113:AA113" si="60">SUM(Q112:Q112)</f>
        <v>1169818720.171993</v>
      </c>
      <c r="R113" s="42">
        <f t="shared" si="60"/>
        <v>1135783039.1560431</v>
      </c>
      <c r="S113" s="42">
        <f t="shared" si="60"/>
        <v>1135783039.1560431</v>
      </c>
      <c r="T113" s="42">
        <f t="shared" si="60"/>
        <v>1135783039.1560431</v>
      </c>
      <c r="U113" s="42">
        <f t="shared" si="60"/>
        <v>775623317.21473169</v>
      </c>
      <c r="V113" s="42">
        <f t="shared" si="60"/>
        <v>771461479.63500011</v>
      </c>
      <c r="W113" s="42">
        <f t="shared" si="60"/>
        <v>771461479.63500011</v>
      </c>
      <c r="X113" s="42">
        <f t="shared" si="60"/>
        <v>771461479.63500011</v>
      </c>
      <c r="Y113" s="42">
        <f t="shared" si="60"/>
        <v>533211712.14517689</v>
      </c>
      <c r="Z113" s="42">
        <f t="shared" si="60"/>
        <v>533173895.10000008</v>
      </c>
      <c r="AA113" s="42">
        <f t="shared" si="60"/>
        <v>46997091.057446815</v>
      </c>
    </row>
    <row r="114" spans="1:27" s="33" customFormat="1" outlineLevel="1" x14ac:dyDescent="0.15">
      <c r="A114" s="173"/>
      <c r="B114" s="173"/>
      <c r="C114" s="173"/>
      <c r="D114" s="207"/>
      <c r="E114" s="207"/>
      <c r="F114" s="150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</row>
    <row r="115" spans="1:27" s="33" customFormat="1" outlineLevel="1" x14ac:dyDescent="0.15">
      <c r="A115" s="173" t="s">
        <v>271</v>
      </c>
      <c r="B115" s="173"/>
      <c r="C115" s="173"/>
      <c r="D115" s="131"/>
      <c r="E115" s="41"/>
      <c r="F115" s="132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</row>
    <row r="116" spans="1:27" s="33" customFormat="1" outlineLevel="1" x14ac:dyDescent="0.15">
      <c r="A116" s="130"/>
      <c r="B116" s="114" t="s">
        <v>289</v>
      </c>
      <c r="C116" s="173"/>
      <c r="D116" s="207" t="s">
        <v>125</v>
      </c>
      <c r="E116" s="150">
        <f t="shared" ref="E116:E118" si="61">IFERROR(AVERAGE(G116:P116),"na")</f>
        <v>1800</v>
      </c>
      <c r="F116" s="163"/>
      <c r="G116" s="208">
        <v>1800</v>
      </c>
      <c r="H116" s="208">
        <v>1800</v>
      </c>
      <c r="I116" s="208">
        <v>1800</v>
      </c>
      <c r="J116" s="208">
        <v>1800</v>
      </c>
      <c r="K116" s="208">
        <v>1800</v>
      </c>
      <c r="L116" s="208">
        <v>1800</v>
      </c>
      <c r="M116" s="208">
        <v>1800</v>
      </c>
      <c r="N116" s="208">
        <v>1800</v>
      </c>
      <c r="O116" s="208">
        <v>1800</v>
      </c>
      <c r="P116" s="208">
        <v>1800</v>
      </c>
      <c r="Q116" s="208">
        <v>1800</v>
      </c>
      <c r="R116" s="208">
        <v>1800</v>
      </c>
      <c r="S116" s="208">
        <v>1800</v>
      </c>
      <c r="T116" s="208">
        <v>1800</v>
      </c>
      <c r="U116" s="208">
        <v>1800</v>
      </c>
      <c r="V116" s="208">
        <v>1800</v>
      </c>
      <c r="W116" s="208">
        <v>1800</v>
      </c>
      <c r="X116" s="208">
        <v>1800</v>
      </c>
      <c r="Y116" s="208">
        <v>1800</v>
      </c>
      <c r="Z116" s="208">
        <v>1800</v>
      </c>
      <c r="AA116" s="208">
        <v>1800</v>
      </c>
    </row>
    <row r="117" spans="1:27" s="33" customFormat="1" outlineLevel="1" x14ac:dyDescent="0.15">
      <c r="A117" s="130"/>
      <c r="B117" s="114" t="s">
        <v>290</v>
      </c>
      <c r="C117" s="173"/>
      <c r="D117" s="207" t="s">
        <v>125</v>
      </c>
      <c r="E117" s="150">
        <f t="shared" si="61"/>
        <v>1300</v>
      </c>
      <c r="F117" s="163"/>
      <c r="G117" s="208">
        <v>1300</v>
      </c>
      <c r="H117" s="208">
        <v>1300</v>
      </c>
      <c r="I117" s="208">
        <v>1300</v>
      </c>
      <c r="J117" s="208">
        <v>1300</v>
      </c>
      <c r="K117" s="208">
        <v>1300</v>
      </c>
      <c r="L117" s="208">
        <v>1300</v>
      </c>
      <c r="M117" s="208">
        <v>1300</v>
      </c>
      <c r="N117" s="208">
        <v>1300</v>
      </c>
      <c r="O117" s="208">
        <v>1300</v>
      </c>
      <c r="P117" s="208">
        <v>1300</v>
      </c>
      <c r="Q117" s="208">
        <v>1300</v>
      </c>
      <c r="R117" s="208">
        <v>1300</v>
      </c>
      <c r="S117" s="208">
        <v>1300</v>
      </c>
      <c r="T117" s="208">
        <v>1300</v>
      </c>
      <c r="U117" s="208">
        <v>1300</v>
      </c>
      <c r="V117" s="208">
        <v>1300</v>
      </c>
      <c r="W117" s="208">
        <v>1300</v>
      </c>
      <c r="X117" s="208">
        <v>1300</v>
      </c>
      <c r="Y117" s="208">
        <v>1300</v>
      </c>
      <c r="Z117" s="208">
        <v>1300</v>
      </c>
      <c r="AA117" s="208">
        <v>1300</v>
      </c>
    </row>
    <row r="118" spans="1:27" s="33" customFormat="1" outlineLevel="1" x14ac:dyDescent="0.15">
      <c r="A118" s="130"/>
      <c r="B118" s="114" t="s">
        <v>291</v>
      </c>
      <c r="C118" s="173"/>
      <c r="D118" s="207" t="s">
        <v>125</v>
      </c>
      <c r="E118" s="150">
        <f t="shared" si="61"/>
        <v>1300</v>
      </c>
      <c r="F118" s="207"/>
      <c r="G118" s="208">
        <v>1300</v>
      </c>
      <c r="H118" s="208">
        <v>1300</v>
      </c>
      <c r="I118" s="208">
        <v>1300</v>
      </c>
      <c r="J118" s="208">
        <v>1300</v>
      </c>
      <c r="K118" s="208">
        <v>1300</v>
      </c>
      <c r="L118" s="208">
        <v>1300</v>
      </c>
      <c r="M118" s="208">
        <v>1300</v>
      </c>
      <c r="N118" s="208">
        <v>1300</v>
      </c>
      <c r="O118" s="208">
        <v>1300</v>
      </c>
      <c r="P118" s="208">
        <v>1300</v>
      </c>
      <c r="Q118" s="208">
        <v>1300</v>
      </c>
      <c r="R118" s="208">
        <v>1300</v>
      </c>
      <c r="S118" s="208">
        <v>1300</v>
      </c>
      <c r="T118" s="208">
        <v>1300</v>
      </c>
      <c r="U118" s="208">
        <v>1300</v>
      </c>
      <c r="V118" s="208">
        <v>1300</v>
      </c>
      <c r="W118" s="208">
        <v>1300</v>
      </c>
      <c r="X118" s="208">
        <v>1300</v>
      </c>
      <c r="Y118" s="208">
        <v>1300</v>
      </c>
      <c r="Z118" s="208">
        <v>1300</v>
      </c>
      <c r="AA118" s="208">
        <v>1300</v>
      </c>
    </row>
    <row r="119" spans="1:27" s="33" customFormat="1" outlineLevel="1" x14ac:dyDescent="0.15">
      <c r="A119" s="173" t="s">
        <v>181</v>
      </c>
      <c r="B119" s="173"/>
      <c r="C119" s="173"/>
      <c r="D119" s="131"/>
      <c r="E119" s="41"/>
      <c r="F119" s="132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</row>
    <row r="120" spans="1:27" s="33" customFormat="1" outlineLevel="1" x14ac:dyDescent="0.15">
      <c r="A120" s="130"/>
      <c r="B120" s="114" t="s">
        <v>289</v>
      </c>
      <c r="C120" s="173"/>
      <c r="D120" s="207" t="s">
        <v>173</v>
      </c>
      <c r="E120" s="150">
        <f>IFERROR(AVERAGE(G120:AA120),"na")</f>
        <v>454940954.95440727</v>
      </c>
      <c r="F120" s="163">
        <f>SUM(G120:AA120)</f>
        <v>9553760054.0425529</v>
      </c>
      <c r="G120" s="173">
        <f>G116*G87</f>
        <v>461622420.00000006</v>
      </c>
      <c r="H120" s="173">
        <f>H116*H87</f>
        <v>461622420.00000006</v>
      </c>
      <c r="I120" s="173">
        <f t="shared" ref="H120:AA122" si="62">I116*I87</f>
        <v>461622420.00000006</v>
      </c>
      <c r="J120" s="173">
        <f t="shared" si="62"/>
        <v>461622420.00000006</v>
      </c>
      <c r="K120" s="173">
        <f t="shared" si="62"/>
        <v>531777802.97872347</v>
      </c>
      <c r="L120" s="173">
        <f t="shared" si="62"/>
        <v>531777802.97872347</v>
      </c>
      <c r="M120" s="173">
        <f t="shared" si="62"/>
        <v>531777802.97872347</v>
      </c>
      <c r="N120" s="173">
        <f t="shared" si="62"/>
        <v>531777802.97872347</v>
      </c>
      <c r="O120" s="173">
        <f t="shared" si="62"/>
        <v>461622420.00000006</v>
      </c>
      <c r="P120" s="173">
        <f t="shared" si="62"/>
        <v>461622420.00000006</v>
      </c>
      <c r="Q120" s="173">
        <f t="shared" si="62"/>
        <v>461622420.00000006</v>
      </c>
      <c r="R120" s="173">
        <f t="shared" si="62"/>
        <v>461622420.00000006</v>
      </c>
      <c r="S120" s="173">
        <f t="shared" si="62"/>
        <v>461622420.00000006</v>
      </c>
      <c r="T120" s="173">
        <f t="shared" si="62"/>
        <v>461622420.00000006</v>
      </c>
      <c r="U120" s="173">
        <f t="shared" si="62"/>
        <v>461622420.00000006</v>
      </c>
      <c r="V120" s="173">
        <f>V116*V87</f>
        <v>461622420.00000006</v>
      </c>
      <c r="W120" s="173">
        <f t="shared" si="62"/>
        <v>461622420.00000006</v>
      </c>
      <c r="X120" s="173">
        <f t="shared" si="62"/>
        <v>461622420.00000006</v>
      </c>
      <c r="Y120" s="173">
        <f t="shared" si="62"/>
        <v>461622420.00000006</v>
      </c>
      <c r="Z120" s="173">
        <f>Z116*Z87</f>
        <v>461622420.00000006</v>
      </c>
      <c r="AA120" s="173">
        <f t="shared" si="62"/>
        <v>40690122.127659582</v>
      </c>
    </row>
    <row r="121" spans="1:27" s="33" customFormat="1" outlineLevel="1" x14ac:dyDescent="0.15">
      <c r="A121" s="130"/>
      <c r="B121" s="114" t="s">
        <v>290</v>
      </c>
      <c r="C121" s="173"/>
      <c r="D121" s="207" t="s">
        <v>173</v>
      </c>
      <c r="E121" s="150">
        <f>IFERROR(AVERAGE(G121:AA121),"na")</f>
        <v>135824222.33316401</v>
      </c>
      <c r="F121" s="163">
        <f>SUM(G121:AA121)</f>
        <v>2852308668.9964442</v>
      </c>
      <c r="G121" s="173">
        <f t="shared" ref="G121:V122" si="63">G117*G88</f>
        <v>149001375.6111111</v>
      </c>
      <c r="H121" s="173">
        <f t="shared" si="63"/>
        <v>149001375.6111111</v>
      </c>
      <c r="I121" s="173">
        <f t="shared" si="63"/>
        <v>149001375.6111111</v>
      </c>
      <c r="J121" s="173">
        <f t="shared" si="63"/>
        <v>170283908.23291716</v>
      </c>
      <c r="K121" s="173">
        <f t="shared" si="63"/>
        <v>170283908.23291716</v>
      </c>
      <c r="L121" s="173">
        <f t="shared" si="63"/>
        <v>170283908.23291716</v>
      </c>
      <c r="M121" s="173">
        <f t="shared" si="63"/>
        <v>170283908.23291716</v>
      </c>
      <c r="N121" s="173">
        <f t="shared" si="63"/>
        <v>170283908.23291716</v>
      </c>
      <c r="O121" s="173">
        <f t="shared" si="63"/>
        <v>170283908.23291716</v>
      </c>
      <c r="P121" s="173">
        <f t="shared" si="63"/>
        <v>170283908.23291716</v>
      </c>
      <c r="Q121" s="173">
        <f t="shared" si="63"/>
        <v>170283908.23291716</v>
      </c>
      <c r="R121" s="173">
        <f t="shared" si="63"/>
        <v>149001375.6111111</v>
      </c>
      <c r="S121" s="173">
        <f t="shared" si="63"/>
        <v>149001375.6111111</v>
      </c>
      <c r="T121" s="173">
        <f t="shared" si="63"/>
        <v>149001375.6111111</v>
      </c>
      <c r="U121" s="173">
        <f t="shared" si="63"/>
        <v>149001375.6111111</v>
      </c>
      <c r="V121" s="173">
        <f t="shared" si="63"/>
        <v>149001375.6111111</v>
      </c>
      <c r="W121" s="173">
        <f t="shared" si="62"/>
        <v>149001375.6111111</v>
      </c>
      <c r="X121" s="173">
        <f t="shared" si="62"/>
        <v>149001375.6111111</v>
      </c>
      <c r="Y121" s="173">
        <f t="shared" si="62"/>
        <v>23647.021996088715</v>
      </c>
      <c r="Z121" s="173">
        <f t="shared" si="62"/>
        <v>0</v>
      </c>
      <c r="AA121" s="173">
        <f t="shared" si="62"/>
        <v>0</v>
      </c>
    </row>
    <row r="122" spans="1:27" s="33" customFormat="1" outlineLevel="1" x14ac:dyDescent="0.15">
      <c r="A122" s="130"/>
      <c r="B122" s="114" t="s">
        <v>291</v>
      </c>
      <c r="C122" s="173"/>
      <c r="D122" s="202" t="s">
        <v>173</v>
      </c>
      <c r="E122" s="203">
        <f>IFERROR(AVERAGE(G122:AA122),"na")</f>
        <v>162721784.74668974</v>
      </c>
      <c r="F122" s="211">
        <f>SUM(G122:AA122)</f>
        <v>3417157479.6804843</v>
      </c>
      <c r="G122" s="201">
        <f t="shared" si="63"/>
        <v>272852117.84568268</v>
      </c>
      <c r="H122" s="201">
        <f t="shared" si="62"/>
        <v>272852117.84568268</v>
      </c>
      <c r="I122" s="201">
        <f t="shared" si="62"/>
        <v>272852117.84568268</v>
      </c>
      <c r="J122" s="201">
        <f t="shared" si="62"/>
        <v>272852117.84568268</v>
      </c>
      <c r="K122" s="201">
        <f t="shared" si="62"/>
        <v>272852117.84568268</v>
      </c>
      <c r="L122" s="201">
        <f t="shared" si="62"/>
        <v>227810498.97900718</v>
      </c>
      <c r="M122" s="201">
        <f t="shared" si="62"/>
        <v>227810498.97900718</v>
      </c>
      <c r="N122" s="201">
        <f t="shared" si="62"/>
        <v>227810498.97900718</v>
      </c>
      <c r="O122" s="201">
        <f t="shared" si="62"/>
        <v>227810498.97900718</v>
      </c>
      <c r="P122" s="201">
        <f t="shared" si="62"/>
        <v>227810498.97900718</v>
      </c>
      <c r="Q122" s="201">
        <f t="shared" si="62"/>
        <v>227810498.97900718</v>
      </c>
      <c r="R122" s="201">
        <f t="shared" si="62"/>
        <v>227810498.97900718</v>
      </c>
      <c r="S122" s="201">
        <f t="shared" si="62"/>
        <v>227810498.97900718</v>
      </c>
      <c r="T122" s="201">
        <f t="shared" si="62"/>
        <v>227810498.97900718</v>
      </c>
      <c r="U122" s="201">
        <f t="shared" si="62"/>
        <v>2602399.6410058159</v>
      </c>
      <c r="V122" s="201">
        <f t="shared" si="62"/>
        <v>0</v>
      </c>
      <c r="W122" s="201">
        <f t="shared" si="62"/>
        <v>0</v>
      </c>
      <c r="X122" s="201">
        <f t="shared" si="62"/>
        <v>0</v>
      </c>
      <c r="Y122" s="201">
        <f t="shared" si="62"/>
        <v>0</v>
      </c>
      <c r="Z122" s="201">
        <f t="shared" si="62"/>
        <v>0</v>
      </c>
      <c r="AA122" s="201">
        <f t="shared" si="62"/>
        <v>0</v>
      </c>
    </row>
    <row r="123" spans="1:27" s="33" customFormat="1" outlineLevel="1" x14ac:dyDescent="0.15">
      <c r="A123" s="42" t="s">
        <v>64</v>
      </c>
      <c r="B123" s="165"/>
      <c r="C123" s="165"/>
      <c r="D123" s="207" t="s">
        <v>173</v>
      </c>
      <c r="E123" s="150">
        <f>IFERROR(AVERAGE(G123:AA123),"na")</f>
        <v>753486962.03426099</v>
      </c>
      <c r="F123" s="163">
        <f>SUM(G123:AA123)</f>
        <v>15823226202.719481</v>
      </c>
      <c r="G123" s="173">
        <f>SUM(G120:G122)</f>
        <v>883475913.45679379</v>
      </c>
      <c r="H123" s="173">
        <f t="shared" ref="H123:AA123" si="64">SUM(H120:H122)</f>
        <v>883475913.45679379</v>
      </c>
      <c r="I123" s="173">
        <f t="shared" si="64"/>
        <v>883475913.45679379</v>
      </c>
      <c r="J123" s="173">
        <f t="shared" si="64"/>
        <v>904758446.07859993</v>
      </c>
      <c r="K123" s="173">
        <f t="shared" si="64"/>
        <v>974913829.05732322</v>
      </c>
      <c r="L123" s="173">
        <f t="shared" si="64"/>
        <v>929872210.19064784</v>
      </c>
      <c r="M123" s="173">
        <f t="shared" si="64"/>
        <v>929872210.19064784</v>
      </c>
      <c r="N123" s="173">
        <f t="shared" si="64"/>
        <v>929872210.19064784</v>
      </c>
      <c r="O123" s="173">
        <f t="shared" si="64"/>
        <v>859716827.21192431</v>
      </c>
      <c r="P123" s="173">
        <f t="shared" si="64"/>
        <v>859716827.21192431</v>
      </c>
      <c r="Q123" s="173">
        <f t="shared" si="64"/>
        <v>859716827.21192431</v>
      </c>
      <c r="R123" s="173">
        <f t="shared" si="64"/>
        <v>838434294.59011841</v>
      </c>
      <c r="S123" s="173">
        <f t="shared" si="64"/>
        <v>838434294.59011841</v>
      </c>
      <c r="T123" s="173">
        <f t="shared" si="64"/>
        <v>838434294.59011841</v>
      </c>
      <c r="U123" s="173">
        <f t="shared" si="64"/>
        <v>613226195.25211704</v>
      </c>
      <c r="V123" s="173">
        <f t="shared" si="64"/>
        <v>610623795.61111116</v>
      </c>
      <c r="W123" s="173">
        <f t="shared" si="64"/>
        <v>610623795.61111116</v>
      </c>
      <c r="X123" s="173">
        <f t="shared" si="64"/>
        <v>610623795.61111116</v>
      </c>
      <c r="Y123" s="173">
        <f t="shared" si="64"/>
        <v>461646067.02199614</v>
      </c>
      <c r="Z123" s="173">
        <f t="shared" si="64"/>
        <v>461622420.00000006</v>
      </c>
      <c r="AA123" s="173">
        <f t="shared" si="64"/>
        <v>40690122.127659582</v>
      </c>
    </row>
    <row r="124" spans="1:27" s="33" customFormat="1" outlineLevel="1" x14ac:dyDescent="0.15">
      <c r="A124" s="130"/>
      <c r="B124" s="173"/>
      <c r="C124" s="173"/>
      <c r="D124" s="207"/>
      <c r="E124" s="150"/>
      <c r="F124" s="207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spans="1:27" s="33" customFormat="1" ht="16" customHeight="1" outlineLevel="1" x14ac:dyDescent="0.15">
      <c r="A125" s="37" t="s">
        <v>21</v>
      </c>
      <c r="B125" s="78"/>
      <c r="C125" s="78"/>
      <c r="D125" s="38" t="s">
        <v>173</v>
      </c>
      <c r="E125" s="41">
        <f>IFERROR(AVERAGE(G125:P125),"na")</f>
        <v>324120744.14694482</v>
      </c>
      <c r="F125" s="41">
        <f t="shared" ref="F125:P125" si="65">F113-F123</f>
        <v>-3542868460.7479362</v>
      </c>
      <c r="G125" s="41">
        <f>G113-G123</f>
        <v>324339068.48680186</v>
      </c>
      <c r="H125" s="41">
        <f t="shared" si="65"/>
        <v>324339068.48680186</v>
      </c>
      <c r="I125" s="41">
        <f t="shared" si="65"/>
        <v>324339068.48680186</v>
      </c>
      <c r="J125" s="41">
        <f t="shared" si="65"/>
        <v>337092216.88094544</v>
      </c>
      <c r="K125" s="41">
        <f t="shared" si="65"/>
        <v>347966301.24264765</v>
      </c>
      <c r="L125" s="41">
        <f t="shared" si="65"/>
        <v>320975977.32177067</v>
      </c>
      <c r="M125" s="41">
        <f t="shared" si="65"/>
        <v>320975977.32177067</v>
      </c>
      <c r="N125" s="41">
        <f t="shared" si="65"/>
        <v>320975977.32177067</v>
      </c>
      <c r="O125" s="41">
        <f t="shared" si="65"/>
        <v>310101892.9600687</v>
      </c>
      <c r="P125" s="41">
        <f t="shared" si="65"/>
        <v>310101892.9600687</v>
      </c>
      <c r="Q125" s="41">
        <f t="shared" ref="Q125:AA125" si="66">Q113-Q123</f>
        <v>310101892.9600687</v>
      </c>
      <c r="R125" s="41">
        <f t="shared" si="66"/>
        <v>297348744.56592464</v>
      </c>
      <c r="S125" s="41">
        <f t="shared" si="66"/>
        <v>297348744.56592464</v>
      </c>
      <c r="T125" s="41">
        <f t="shared" si="66"/>
        <v>297348744.56592464</v>
      </c>
      <c r="U125" s="41">
        <f t="shared" si="66"/>
        <v>162397121.96261466</v>
      </c>
      <c r="V125" s="41">
        <f t="shared" si="66"/>
        <v>160837684.02388895</v>
      </c>
      <c r="W125" s="41">
        <f t="shared" si="66"/>
        <v>160837684.02388895</v>
      </c>
      <c r="X125" s="41">
        <f t="shared" si="66"/>
        <v>160837684.02388895</v>
      </c>
      <c r="Y125" s="41">
        <f t="shared" si="66"/>
        <v>71565645.123180747</v>
      </c>
      <c r="Z125" s="41">
        <f t="shared" si="66"/>
        <v>71551475.100000024</v>
      </c>
      <c r="AA125" s="41">
        <f t="shared" si="66"/>
        <v>6306968.9297872335</v>
      </c>
    </row>
    <row r="126" spans="1:27" s="33" customFormat="1" x14ac:dyDescent="0.15">
      <c r="A126" s="78"/>
      <c r="B126" s="78"/>
      <c r="C126" s="78"/>
      <c r="D126" s="79"/>
      <c r="E126" s="79"/>
      <c r="F126" s="79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spans="1:27" s="50" customFormat="1" ht="18.75" customHeight="1" x14ac:dyDescent="0.2">
      <c r="A127" s="107" t="s">
        <v>198</v>
      </c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</row>
    <row r="128" spans="1:27" s="33" customFormat="1" outlineLevel="1" x14ac:dyDescent="0.15">
      <c r="A128" s="78"/>
      <c r="B128" s="78"/>
      <c r="C128" s="78"/>
      <c r="D128" s="79"/>
      <c r="E128" s="79"/>
      <c r="F128" s="79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spans="1:27" s="33" customFormat="1" outlineLevel="1" x14ac:dyDescent="0.15">
      <c r="A129" s="37" t="s">
        <v>199</v>
      </c>
      <c r="B129" s="78"/>
      <c r="C129" s="78"/>
      <c r="D129" s="79"/>
      <c r="E129" s="79"/>
      <c r="F129" s="79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spans="1:27" s="33" customFormat="1" outlineLevel="1" x14ac:dyDescent="0.15">
      <c r="A130" s="78" t="s">
        <v>21</v>
      </c>
      <c r="B130" s="78"/>
      <c r="C130" s="78"/>
      <c r="D130" s="79" t="s">
        <v>173</v>
      </c>
      <c r="E130" s="150">
        <f>IFERROR(AVERAGE(G130:P130),"na")</f>
        <v>324120744.14694482</v>
      </c>
      <c r="F130" s="150">
        <f>SUM(G130:P130)</f>
        <v>3241207441.4694481</v>
      </c>
      <c r="G130" s="78">
        <f>G125</f>
        <v>324339068.48680186</v>
      </c>
      <c r="H130" s="78">
        <f t="shared" ref="H130:P130" si="67">H125</f>
        <v>324339068.48680186</v>
      </c>
      <c r="I130" s="78">
        <f t="shared" si="67"/>
        <v>324339068.48680186</v>
      </c>
      <c r="J130" s="78">
        <f t="shared" si="67"/>
        <v>337092216.88094544</v>
      </c>
      <c r="K130" s="78">
        <f t="shared" si="67"/>
        <v>347966301.24264765</v>
      </c>
      <c r="L130" s="78">
        <f t="shared" si="67"/>
        <v>320975977.32177067</v>
      </c>
      <c r="M130" s="78">
        <f t="shared" si="67"/>
        <v>320975977.32177067</v>
      </c>
      <c r="N130" s="78">
        <f t="shared" si="67"/>
        <v>320975977.32177067</v>
      </c>
      <c r="O130" s="78">
        <f t="shared" si="67"/>
        <v>310101892.9600687</v>
      </c>
      <c r="P130" s="78">
        <f t="shared" si="67"/>
        <v>310101892.9600687</v>
      </c>
      <c r="Q130" s="78">
        <f t="shared" ref="Q130:AA130" si="68">Q125</f>
        <v>310101892.9600687</v>
      </c>
      <c r="R130" s="78">
        <f t="shared" si="68"/>
        <v>297348744.56592464</v>
      </c>
      <c r="S130" s="78">
        <f t="shared" si="68"/>
        <v>297348744.56592464</v>
      </c>
      <c r="T130" s="78">
        <f t="shared" si="68"/>
        <v>297348744.56592464</v>
      </c>
      <c r="U130" s="78">
        <f t="shared" si="68"/>
        <v>162397121.96261466</v>
      </c>
      <c r="V130" s="78">
        <f t="shared" si="68"/>
        <v>160837684.02388895</v>
      </c>
      <c r="W130" s="78">
        <f t="shared" si="68"/>
        <v>160837684.02388895</v>
      </c>
      <c r="X130" s="78">
        <f t="shared" si="68"/>
        <v>160837684.02388895</v>
      </c>
      <c r="Y130" s="78">
        <f t="shared" si="68"/>
        <v>71565645.123180747</v>
      </c>
      <c r="Z130" s="78">
        <f t="shared" si="68"/>
        <v>71551475.100000024</v>
      </c>
      <c r="AA130" s="78">
        <f t="shared" si="68"/>
        <v>6306968.9297872335</v>
      </c>
    </row>
    <row r="131" spans="1:27" s="33" customFormat="1" outlineLevel="1" x14ac:dyDescent="0.15">
      <c r="A131" s="78" t="s">
        <v>200</v>
      </c>
      <c r="B131" s="78"/>
      <c r="C131" s="78"/>
      <c r="D131" s="79"/>
      <c r="E131" s="79"/>
      <c r="F131" s="79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spans="1:27" s="33" customFormat="1" outlineLevel="1" x14ac:dyDescent="0.15">
      <c r="A132" s="78" t="s">
        <v>202</v>
      </c>
      <c r="B132" s="78" t="s">
        <v>141</v>
      </c>
      <c r="C132" s="78"/>
      <c r="D132" s="79" t="s">
        <v>173</v>
      </c>
      <c r="E132" s="150">
        <f>IFERROR(AVERAGE(G132:P132),"na")</f>
        <v>129648297.65877795</v>
      </c>
      <c r="F132" s="150">
        <f>SUM(G132:P132)</f>
        <v>1296482976.5877795</v>
      </c>
      <c r="G132" s="78">
        <f>G130*$F$59</f>
        <v>129735627.39472075</v>
      </c>
      <c r="H132" s="78">
        <f t="shared" ref="H132:P132" si="69">H130*$F$59</f>
        <v>129735627.39472075</v>
      </c>
      <c r="I132" s="78">
        <f t="shared" si="69"/>
        <v>129735627.39472075</v>
      </c>
      <c r="J132" s="78">
        <f t="shared" si="69"/>
        <v>134836886.7523782</v>
      </c>
      <c r="K132" s="78">
        <f t="shared" si="69"/>
        <v>139186520.49705908</v>
      </c>
      <c r="L132" s="78">
        <f t="shared" si="69"/>
        <v>128390390.92870827</v>
      </c>
      <c r="M132" s="78">
        <f t="shared" si="69"/>
        <v>128390390.92870827</v>
      </c>
      <c r="N132" s="78">
        <f t="shared" si="69"/>
        <v>128390390.92870827</v>
      </c>
      <c r="O132" s="78">
        <f t="shared" si="69"/>
        <v>124040757.18402749</v>
      </c>
      <c r="P132" s="78">
        <f t="shared" si="69"/>
        <v>124040757.18402749</v>
      </c>
      <c r="Q132" s="78">
        <f t="shared" ref="Q132:AA132" si="70">Q130*$F$59</f>
        <v>124040757.18402749</v>
      </c>
      <c r="R132" s="78">
        <f t="shared" si="70"/>
        <v>118939497.82636987</v>
      </c>
      <c r="S132" s="78">
        <f t="shared" si="70"/>
        <v>118939497.82636987</v>
      </c>
      <c r="T132" s="78">
        <f t="shared" si="70"/>
        <v>118939497.82636987</v>
      </c>
      <c r="U132" s="78">
        <f t="shared" si="70"/>
        <v>64958848.785045862</v>
      </c>
      <c r="V132" s="78">
        <f t="shared" si="70"/>
        <v>64335073.60955558</v>
      </c>
      <c r="W132" s="78">
        <f t="shared" si="70"/>
        <v>64335073.60955558</v>
      </c>
      <c r="X132" s="78">
        <f t="shared" si="70"/>
        <v>64335073.60955558</v>
      </c>
      <c r="Y132" s="78">
        <f t="shared" si="70"/>
        <v>28626258.049272299</v>
      </c>
      <c r="Z132" s="78">
        <f t="shared" si="70"/>
        <v>28620590.04000001</v>
      </c>
      <c r="AA132" s="78">
        <f t="shared" si="70"/>
        <v>2522787.5719148936</v>
      </c>
    </row>
    <row r="133" spans="1:27" s="33" customFormat="1" outlineLevel="1" x14ac:dyDescent="0.15">
      <c r="A133" s="165"/>
      <c r="B133" s="165" t="s">
        <v>205</v>
      </c>
      <c r="C133" s="165"/>
      <c r="D133" s="166" t="s">
        <v>173</v>
      </c>
      <c r="E133" s="155">
        <f>IFERROR(AVERAGE(G133:P133),"na")</f>
        <v>129648297.65877795</v>
      </c>
      <c r="F133" s="155">
        <f>SUM(G133:P133)</f>
        <v>1296482976.5877795</v>
      </c>
      <c r="G133" s="165">
        <f t="shared" ref="G133:P133" si="71">SUM(G132:G132)</f>
        <v>129735627.39472075</v>
      </c>
      <c r="H133" s="165">
        <f t="shared" si="71"/>
        <v>129735627.39472075</v>
      </c>
      <c r="I133" s="165">
        <f t="shared" si="71"/>
        <v>129735627.39472075</v>
      </c>
      <c r="J133" s="165">
        <f t="shared" si="71"/>
        <v>134836886.7523782</v>
      </c>
      <c r="K133" s="165">
        <f t="shared" si="71"/>
        <v>139186520.49705908</v>
      </c>
      <c r="L133" s="165">
        <f t="shared" si="71"/>
        <v>128390390.92870827</v>
      </c>
      <c r="M133" s="165">
        <f t="shared" si="71"/>
        <v>128390390.92870827</v>
      </c>
      <c r="N133" s="165">
        <f t="shared" si="71"/>
        <v>128390390.92870827</v>
      </c>
      <c r="O133" s="165">
        <f t="shared" si="71"/>
        <v>124040757.18402749</v>
      </c>
      <c r="P133" s="165">
        <f t="shared" si="71"/>
        <v>124040757.18402749</v>
      </c>
      <c r="Q133" s="165">
        <f t="shared" ref="Q133:AA133" si="72">SUM(Q132:Q132)</f>
        <v>124040757.18402749</v>
      </c>
      <c r="R133" s="165">
        <f t="shared" si="72"/>
        <v>118939497.82636987</v>
      </c>
      <c r="S133" s="165">
        <f t="shared" si="72"/>
        <v>118939497.82636987</v>
      </c>
      <c r="T133" s="165">
        <f t="shared" si="72"/>
        <v>118939497.82636987</v>
      </c>
      <c r="U133" s="165">
        <f t="shared" si="72"/>
        <v>64958848.785045862</v>
      </c>
      <c r="V133" s="165">
        <f t="shared" si="72"/>
        <v>64335073.60955558</v>
      </c>
      <c r="W133" s="165">
        <f t="shared" si="72"/>
        <v>64335073.60955558</v>
      </c>
      <c r="X133" s="165">
        <f t="shared" si="72"/>
        <v>64335073.60955558</v>
      </c>
      <c r="Y133" s="165">
        <f t="shared" si="72"/>
        <v>28626258.049272299</v>
      </c>
      <c r="Z133" s="165">
        <f t="shared" si="72"/>
        <v>28620590.04000001</v>
      </c>
      <c r="AA133" s="165">
        <f t="shared" si="72"/>
        <v>2522787.5719148936</v>
      </c>
    </row>
    <row r="134" spans="1:27" s="33" customFormat="1" outlineLevel="1" x14ac:dyDescent="0.15">
      <c r="A134" s="78"/>
      <c r="B134" s="78"/>
      <c r="C134" s="78"/>
      <c r="D134" s="79"/>
      <c r="E134" s="79"/>
      <c r="F134" s="79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spans="1:27" s="33" customFormat="1" outlineLevel="1" x14ac:dyDescent="0.15">
      <c r="A135" s="37" t="s">
        <v>199</v>
      </c>
      <c r="B135" s="78"/>
      <c r="C135" s="78"/>
      <c r="D135" s="79"/>
      <c r="E135" s="150">
        <f>IFERROR(AVERAGE(G135:P135),"na")</f>
        <v>453769041.80572271</v>
      </c>
      <c r="F135" s="150">
        <f>SUM(G135:P135)</f>
        <v>4537690418.0572271</v>
      </c>
      <c r="G135" s="37">
        <f t="shared" ref="G135:P135" si="73">G130+G133</f>
        <v>454074695.8815226</v>
      </c>
      <c r="H135" s="37">
        <f t="shared" si="73"/>
        <v>454074695.8815226</v>
      </c>
      <c r="I135" s="37">
        <f t="shared" si="73"/>
        <v>454074695.8815226</v>
      </c>
      <c r="J135" s="37">
        <f t="shared" si="73"/>
        <v>471929103.63332367</v>
      </c>
      <c r="K135" s="37">
        <f t="shared" si="73"/>
        <v>487152821.73970675</v>
      </c>
      <c r="L135" s="37">
        <f t="shared" si="73"/>
        <v>449366368.25047892</v>
      </c>
      <c r="M135" s="37">
        <f t="shared" si="73"/>
        <v>449366368.25047892</v>
      </c>
      <c r="N135" s="37">
        <f t="shared" si="73"/>
        <v>449366368.25047892</v>
      </c>
      <c r="O135" s="37">
        <f t="shared" si="73"/>
        <v>434142650.1440962</v>
      </c>
      <c r="P135" s="37">
        <f t="shared" si="73"/>
        <v>434142650.1440962</v>
      </c>
      <c r="Q135" s="37">
        <f t="shared" ref="Q135:AA135" si="74">Q130+Q133</f>
        <v>434142650.1440962</v>
      </c>
      <c r="R135" s="37">
        <f t="shared" si="74"/>
        <v>416288242.39229453</v>
      </c>
      <c r="S135" s="37">
        <f t="shared" si="74"/>
        <v>416288242.39229453</v>
      </c>
      <c r="T135" s="37">
        <f t="shared" si="74"/>
        <v>416288242.39229453</v>
      </c>
      <c r="U135" s="37">
        <f t="shared" si="74"/>
        <v>227355970.74766052</v>
      </c>
      <c r="V135" s="37">
        <f t="shared" si="74"/>
        <v>225172757.63344452</v>
      </c>
      <c r="W135" s="37">
        <f t="shared" si="74"/>
        <v>225172757.63344452</v>
      </c>
      <c r="X135" s="37">
        <f t="shared" si="74"/>
        <v>225172757.63344452</v>
      </c>
      <c r="Y135" s="37">
        <f t="shared" si="74"/>
        <v>100191903.17245305</v>
      </c>
      <c r="Z135" s="37">
        <f t="shared" si="74"/>
        <v>100172065.14000003</v>
      </c>
      <c r="AA135" s="37">
        <f t="shared" si="74"/>
        <v>8829756.5017021261</v>
      </c>
    </row>
    <row r="136" spans="1:27" s="33" customFormat="1" outlineLevel="1" x14ac:dyDescent="0.15">
      <c r="A136" s="78"/>
      <c r="B136" s="78"/>
      <c r="C136" s="78"/>
      <c r="D136" s="79"/>
      <c r="E136" s="79"/>
      <c r="F136" s="79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spans="1:27" s="33" customFormat="1" outlineLevel="1" x14ac:dyDescent="0.15">
      <c r="A137" s="37" t="s">
        <v>206</v>
      </c>
      <c r="B137" s="78"/>
      <c r="C137" s="78"/>
      <c r="D137" s="94">
        <f>F69</f>
        <v>0.12859999999999999</v>
      </c>
      <c r="E137" s="163" t="s">
        <v>157</v>
      </c>
      <c r="F137" s="163" t="s">
        <v>157</v>
      </c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s="33" customFormat="1" outlineLevel="1" x14ac:dyDescent="0.15">
      <c r="A138" s="78"/>
      <c r="B138" s="78"/>
      <c r="C138" s="78"/>
      <c r="D138" s="79"/>
      <c r="E138" s="79"/>
      <c r="F138" s="79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spans="1:27" s="33" customFormat="1" outlineLevel="1" x14ac:dyDescent="0.15">
      <c r="A139" s="37" t="s">
        <v>207</v>
      </c>
      <c r="B139" s="37"/>
      <c r="C139" s="37"/>
      <c r="D139" s="79" t="s">
        <v>173</v>
      </c>
      <c r="E139" s="3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spans="1:27" s="33" customFormat="1" outlineLevel="1" x14ac:dyDescent="0.15">
      <c r="A140" s="113" t="s">
        <v>208</v>
      </c>
      <c r="B140" s="174"/>
      <c r="C140" s="175"/>
      <c r="D140" s="79"/>
      <c r="E140" s="108">
        <f>XNPV(D137,G140:AA140,G1:AA1)</f>
        <v>3392336984.6204176</v>
      </c>
      <c r="F140" s="37">
        <v>0</v>
      </c>
      <c r="G140" s="37">
        <f>G135</f>
        <v>454074695.8815226</v>
      </c>
      <c r="H140" s="37">
        <f t="shared" ref="H140:P140" si="75">H135</f>
        <v>454074695.8815226</v>
      </c>
      <c r="I140" s="37">
        <f t="shared" si="75"/>
        <v>454074695.8815226</v>
      </c>
      <c r="J140" s="37">
        <f t="shared" si="75"/>
        <v>471929103.63332367</v>
      </c>
      <c r="K140" s="37">
        <f t="shared" si="75"/>
        <v>487152821.73970675</v>
      </c>
      <c r="L140" s="37">
        <f t="shared" si="75"/>
        <v>449366368.25047892</v>
      </c>
      <c r="M140" s="37">
        <f t="shared" si="75"/>
        <v>449366368.25047892</v>
      </c>
      <c r="N140" s="37">
        <f t="shared" si="75"/>
        <v>449366368.25047892</v>
      </c>
      <c r="O140" s="37">
        <f t="shared" si="75"/>
        <v>434142650.1440962</v>
      </c>
      <c r="P140" s="37">
        <f t="shared" si="75"/>
        <v>434142650.1440962</v>
      </c>
      <c r="Q140" s="37">
        <f t="shared" ref="Q140:AA140" si="76">Q135</f>
        <v>434142650.1440962</v>
      </c>
      <c r="R140" s="37">
        <f t="shared" si="76"/>
        <v>416288242.39229453</v>
      </c>
      <c r="S140" s="37">
        <f t="shared" si="76"/>
        <v>416288242.39229453</v>
      </c>
      <c r="T140" s="37">
        <f t="shared" si="76"/>
        <v>416288242.39229453</v>
      </c>
      <c r="U140" s="37">
        <f t="shared" si="76"/>
        <v>227355970.74766052</v>
      </c>
      <c r="V140" s="37">
        <f t="shared" si="76"/>
        <v>225172757.63344452</v>
      </c>
      <c r="W140" s="37">
        <f t="shared" si="76"/>
        <v>225172757.63344452</v>
      </c>
      <c r="X140" s="37">
        <f t="shared" si="76"/>
        <v>225172757.63344452</v>
      </c>
      <c r="Y140" s="37">
        <f t="shared" si="76"/>
        <v>100191903.17245305</v>
      </c>
      <c r="Z140" s="37">
        <f t="shared" si="76"/>
        <v>100172065.14000003</v>
      </c>
      <c r="AA140" s="37">
        <f t="shared" si="76"/>
        <v>8829756.5017021261</v>
      </c>
    </row>
    <row r="141" spans="1:27" s="33" customFormat="1" outlineLevel="1" x14ac:dyDescent="0.15">
      <c r="A141" s="78" t="s">
        <v>209</v>
      </c>
      <c r="B141" s="78"/>
      <c r="C141" s="79"/>
      <c r="D141" s="79"/>
      <c r="E141" s="45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spans="1:27" s="33" customFormat="1" outlineLevel="1" x14ac:dyDescent="0.15">
      <c r="A142" s="78"/>
      <c r="B142" s="78"/>
      <c r="C142" s="79"/>
      <c r="D142" s="79"/>
      <c r="E142" s="3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spans="1:27" s="33" customFormat="1" outlineLevel="1" x14ac:dyDescent="0.15">
      <c r="A143" s="78" t="s">
        <v>210</v>
      </c>
      <c r="B143" s="78"/>
      <c r="C143" s="176" t="s">
        <v>211</v>
      </c>
      <c r="D143" s="79"/>
      <c r="E143" s="37"/>
      <c r="F143" s="37"/>
      <c r="G143" s="37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spans="1:27" s="33" customFormat="1" outlineLevel="1" x14ac:dyDescent="0.15">
      <c r="A144" s="78"/>
      <c r="B144" s="78"/>
      <c r="C144" s="176" t="s">
        <v>212</v>
      </c>
      <c r="D144" s="79"/>
      <c r="E144" s="44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s="33" customFormat="1" outlineLevel="1" x14ac:dyDescent="0.15">
      <c r="A145" s="165" t="s">
        <v>213</v>
      </c>
      <c r="B145" s="165"/>
      <c r="C145" s="177" t="s">
        <v>214</v>
      </c>
      <c r="D145" s="166"/>
      <c r="E145" s="11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s="33" customFormat="1" outlineLevel="1" x14ac:dyDescent="0.15">
      <c r="A146" s="78"/>
      <c r="B146" s="78"/>
      <c r="C146" s="78"/>
      <c r="D146" s="79"/>
      <c r="E146" s="79"/>
      <c r="F146" s="3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spans="1:27" s="33" customFormat="1" outlineLevel="1" x14ac:dyDescent="0.15">
      <c r="A147" s="37" t="s">
        <v>215</v>
      </c>
      <c r="B147" s="78"/>
      <c r="C147" s="78"/>
      <c r="D147" s="79"/>
      <c r="E147" s="79"/>
      <c r="F147" s="79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spans="1:27" s="33" customFormat="1" outlineLevel="1" x14ac:dyDescent="0.15">
      <c r="A148" s="78"/>
      <c r="B148" s="78" t="s">
        <v>211</v>
      </c>
      <c r="C148" s="78"/>
      <c r="D148" s="79"/>
      <c r="E148" s="79"/>
      <c r="F148" s="79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spans="1:27" s="33" customFormat="1" outlineLevel="1" x14ac:dyDescent="0.15">
      <c r="A149" s="78"/>
      <c r="B149" s="78" t="s">
        <v>216</v>
      </c>
      <c r="C149" s="78"/>
      <c r="D149" s="79"/>
      <c r="E149" s="79"/>
      <c r="F149" s="79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spans="1:27" s="33" customFormat="1" outlineLevel="1" x14ac:dyDescent="0.15">
      <c r="A150" s="165"/>
      <c r="B150" s="165" t="s">
        <v>64</v>
      </c>
      <c r="C150" s="165"/>
      <c r="D150" s="166"/>
      <c r="E150" s="166"/>
      <c r="F150" s="166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</row>
    <row r="151" spans="1:27" s="33" customFormat="1" outlineLevel="1" x14ac:dyDescent="0.15">
      <c r="A151" s="78"/>
      <c r="B151" s="78"/>
      <c r="C151" s="78"/>
      <c r="D151" s="79"/>
      <c r="E151" s="79"/>
      <c r="F151" s="79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spans="1:27" s="33" customFormat="1" outlineLevel="1" x14ac:dyDescent="0.15">
      <c r="A152" s="78"/>
      <c r="B152" s="78" t="s">
        <v>217</v>
      </c>
      <c r="C152" s="78"/>
      <c r="D152" s="79"/>
      <c r="E152" s="79"/>
      <c r="F152" s="79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spans="1:27" s="33" customFormat="1" outlineLevel="1" x14ac:dyDescent="0.15">
      <c r="A153" s="78"/>
      <c r="B153" s="78" t="s">
        <v>218</v>
      </c>
      <c r="C153" s="78"/>
      <c r="D153" s="79"/>
      <c r="E153" s="111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spans="1:27" s="33" customFormat="1" outlineLevel="1" x14ac:dyDescent="0.15">
      <c r="A154" s="78"/>
      <c r="B154" s="78"/>
      <c r="C154" s="78"/>
      <c r="D154" s="79"/>
      <c r="E154" s="79"/>
      <c r="F154" s="79"/>
      <c r="G154" s="78"/>
      <c r="H154" s="78"/>
      <c r="I154" s="178"/>
      <c r="J154" s="1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spans="1:27" s="33" customFormat="1" outlineLevel="1" x14ac:dyDescent="0.15">
      <c r="A155" s="37" t="s">
        <v>12</v>
      </c>
      <c r="B155" s="78"/>
      <c r="C155" s="78"/>
      <c r="D155" s="79"/>
      <c r="E155" s="79"/>
      <c r="F155" s="79"/>
      <c r="G155" s="78"/>
      <c r="H155" s="78"/>
      <c r="I155" s="178"/>
      <c r="J155" s="1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spans="1:27" s="33" customFormat="1" outlineLevel="1" x14ac:dyDescent="0.15">
      <c r="A156" s="78" t="s">
        <v>219</v>
      </c>
      <c r="B156" s="78"/>
      <c r="C156" s="78"/>
      <c r="D156" s="79"/>
      <c r="E156" s="79">
        <f>E140</f>
        <v>3392336984.6204176</v>
      </c>
      <c r="F156" s="79"/>
      <c r="G156" s="78"/>
      <c r="H156" s="78"/>
      <c r="I156" s="178"/>
      <c r="J156" s="1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spans="1:27" s="33" customFormat="1" outlineLevel="1" x14ac:dyDescent="0.15">
      <c r="A157" s="78" t="s">
        <v>220</v>
      </c>
      <c r="B157" s="78"/>
      <c r="C157" s="78"/>
      <c r="D157" s="79"/>
      <c r="E157" s="136">
        <v>9600000</v>
      </c>
      <c r="F157" s="79"/>
      <c r="G157" s="78"/>
      <c r="H157" s="78"/>
      <c r="I157" s="178"/>
      <c r="J157" s="1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spans="1:27" s="33" customFormat="1" outlineLevel="1" x14ac:dyDescent="0.15">
      <c r="A158" s="78" t="s">
        <v>221</v>
      </c>
      <c r="B158" s="78"/>
      <c r="C158" s="78"/>
      <c r="D158" s="79"/>
      <c r="E158" s="136">
        <v>25700000</v>
      </c>
      <c r="F158" s="79"/>
      <c r="G158" s="78"/>
      <c r="H158" s="78"/>
      <c r="I158" s="178"/>
      <c r="J158" s="1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spans="1:27" s="33" customFormat="1" outlineLevel="1" x14ac:dyDescent="0.15">
      <c r="A159" s="78" t="s">
        <v>222</v>
      </c>
      <c r="B159" s="78"/>
      <c r="C159" s="78"/>
      <c r="D159" s="79"/>
      <c r="E159" s="136">
        <v>12600000</v>
      </c>
      <c r="F159" s="79"/>
      <c r="G159" s="78"/>
      <c r="H159" s="78"/>
      <c r="I159" s="178"/>
      <c r="J159" s="1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spans="1:27" s="33" customFormat="1" outlineLevel="1" x14ac:dyDescent="0.15">
      <c r="A160" s="37" t="s">
        <v>223</v>
      </c>
      <c r="B160" s="78"/>
      <c r="C160" s="78"/>
      <c r="D160" s="79"/>
      <c r="E160" s="109">
        <f>SUM(E156:E158)-E159</f>
        <v>3415036984.6204176</v>
      </c>
      <c r="F160" s="79"/>
      <c r="G160" s="78"/>
      <c r="H160" s="78"/>
      <c r="I160" s="178"/>
      <c r="J160" s="1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spans="1:27" s="33" customFormat="1" outlineLevel="1" x14ac:dyDescent="0.15">
      <c r="A161" s="37"/>
      <c r="B161" s="78"/>
      <c r="C161" s="78"/>
      <c r="D161" s="79"/>
      <c r="E161" s="79"/>
      <c r="F161" s="79"/>
      <c r="G161" s="78"/>
      <c r="H161" s="78"/>
      <c r="I161" s="178"/>
      <c r="J161" s="1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spans="1:27" s="33" customFormat="1" outlineLevel="1" x14ac:dyDescent="0.15">
      <c r="A162" s="78" t="s">
        <v>224</v>
      </c>
      <c r="B162" s="78"/>
      <c r="C162" s="78"/>
      <c r="D162" s="79"/>
      <c r="E162" s="79">
        <v>619900000</v>
      </c>
      <c r="F162" s="79"/>
      <c r="G162" s="78"/>
      <c r="H162" s="78"/>
      <c r="I162" s="178"/>
      <c r="J162" s="1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spans="1:27" s="33" customFormat="1" outlineLevel="1" x14ac:dyDescent="0.15">
      <c r="A163" s="78" t="s">
        <v>225</v>
      </c>
      <c r="B163" s="78"/>
      <c r="C163" s="78"/>
      <c r="D163" s="79"/>
      <c r="E163" s="179">
        <f>E160/E162</f>
        <v>5.5090127191811868</v>
      </c>
      <c r="F163" s="79"/>
      <c r="G163" s="78"/>
      <c r="H163" s="78"/>
      <c r="I163" s="178"/>
      <c r="J163" s="1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spans="1:27" s="33" customFormat="1" outlineLevel="1" x14ac:dyDescent="0.15">
      <c r="A164" s="37"/>
      <c r="B164" s="78"/>
      <c r="C164" s="78"/>
      <c r="D164" s="79"/>
      <c r="E164" s="79"/>
      <c r="F164" s="79"/>
      <c r="G164" s="78"/>
      <c r="H164" s="78"/>
      <c r="I164" s="178"/>
      <c r="J164" s="1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spans="1:27" s="33" customFormat="1" outlineLevel="1" x14ac:dyDescent="0.15">
      <c r="A165" s="37" t="s">
        <v>15</v>
      </c>
      <c r="B165" s="78"/>
      <c r="C165" s="78"/>
      <c r="D165" s="79"/>
      <c r="E165" s="179">
        <f>$F$71</f>
        <v>10.87</v>
      </c>
      <c r="F165" s="79"/>
      <c r="G165" s="78"/>
      <c r="H165" s="78"/>
      <c r="I165" s="178"/>
      <c r="J165" s="1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spans="1:27" s="33" customFormat="1" outlineLevel="1" x14ac:dyDescent="0.15">
      <c r="A166" s="37" t="s">
        <v>56</v>
      </c>
      <c r="B166" s="78"/>
      <c r="C166" s="78"/>
      <c r="D166" s="79"/>
      <c r="E166" s="110">
        <f>E165/E163</f>
        <v>1.9731303146483976</v>
      </c>
      <c r="F166" s="79"/>
      <c r="G166" s="78"/>
      <c r="H166" s="78"/>
      <c r="I166" s="178"/>
      <c r="J166" s="1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spans="1:27" s="33" customFormat="1" x14ac:dyDescent="0.15">
      <c r="A167" s="78"/>
      <c r="B167" s="78"/>
      <c r="C167" s="78"/>
      <c r="D167" s="79"/>
      <c r="E167" s="79"/>
      <c r="F167" s="79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spans="1:27" s="50" customFormat="1" ht="18.75" customHeight="1" x14ac:dyDescent="0.2">
      <c r="A168" s="107" t="s">
        <v>226</v>
      </c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</row>
    <row r="169" spans="1:27" ht="16.5" hidden="1" customHeight="1" outlineLevel="1" x14ac:dyDescent="0.15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idden="1" outlineLevel="1" x14ac:dyDescent="0.15">
      <c r="A170" s="77"/>
      <c r="B170" s="77"/>
      <c r="C170" s="77"/>
      <c r="D170" s="77"/>
      <c r="E170" s="77"/>
      <c r="F170" s="77"/>
      <c r="G170" s="77" t="s">
        <v>227</v>
      </c>
      <c r="H170" s="180"/>
      <c r="I170" s="146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idden="1" outlineLevel="1" x14ac:dyDescent="0.15">
      <c r="A171" s="77"/>
      <c r="B171" s="77"/>
      <c r="C171" s="77"/>
      <c r="D171" s="77"/>
      <c r="E171" s="77"/>
      <c r="F171" s="77"/>
      <c r="G171" s="77" t="s">
        <v>210</v>
      </c>
      <c r="H171" s="148"/>
      <c r="I171" s="146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idden="1" outlineLevel="1" x14ac:dyDescent="0.15">
      <c r="A172" s="77"/>
      <c r="B172" s="77"/>
      <c r="C172" s="77"/>
      <c r="D172" s="77"/>
      <c r="E172" s="77"/>
      <c r="F172" s="77"/>
      <c r="G172" s="77" t="s">
        <v>228</v>
      </c>
      <c r="H172" s="60"/>
      <c r="I172" s="1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idden="1" outlineLevel="1" x14ac:dyDescent="0.15">
      <c r="A173" s="77"/>
      <c r="B173" s="77"/>
      <c r="C173" s="77"/>
      <c r="D173" s="77"/>
      <c r="E173" s="77"/>
      <c r="F173" s="77"/>
      <c r="G173" s="77" t="s">
        <v>229</v>
      </c>
      <c r="H173" s="181"/>
      <c r="I173" s="142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idden="1" outlineLevel="1" x14ac:dyDescent="0.15">
      <c r="A174" s="77"/>
      <c r="B174" s="77"/>
      <c r="C174" s="77"/>
      <c r="D174" s="77"/>
      <c r="E174" s="77"/>
      <c r="F174" s="77"/>
      <c r="G174" s="77"/>
      <c r="H174" s="142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hidden="1" customHeight="1" outlineLevel="1" x14ac:dyDescent="0.15">
      <c r="A175" s="77"/>
      <c r="B175" s="77"/>
      <c r="C175" s="77"/>
      <c r="D175" s="77"/>
      <c r="E175" s="77"/>
      <c r="F175" s="77"/>
      <c r="G175" s="51" t="s">
        <v>229</v>
      </c>
      <c r="H175" s="52"/>
      <c r="I175" s="52"/>
      <c r="J175" s="52"/>
      <c r="K175" s="52"/>
      <c r="L175" s="52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idden="1" outlineLevel="1" x14ac:dyDescent="0.15">
      <c r="A176" s="77"/>
      <c r="B176" s="77"/>
      <c r="C176" s="77"/>
      <c r="D176" s="77"/>
      <c r="E176" s="77"/>
      <c r="F176" s="77"/>
      <c r="G176" s="46"/>
      <c r="H176" s="182" t="s">
        <v>230</v>
      </c>
      <c r="I176" s="182"/>
      <c r="J176" s="182"/>
      <c r="K176" s="182"/>
      <c r="L176" s="182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7:12" hidden="1" outlineLevel="1" x14ac:dyDescent="0.15">
      <c r="G177" s="47">
        <f>E145</f>
        <v>0</v>
      </c>
      <c r="H177" s="62">
        <v>1000</v>
      </c>
      <c r="I177" s="183">
        <f>+H177+200</f>
        <v>1200</v>
      </c>
      <c r="J177" s="183">
        <f t="shared" ref="J177:L177" si="77">+I177+200</f>
        <v>1400</v>
      </c>
      <c r="K177" s="183">
        <f t="shared" si="77"/>
        <v>1600</v>
      </c>
      <c r="L177" s="183">
        <f t="shared" si="77"/>
        <v>1800</v>
      </c>
    </row>
    <row r="178" spans="7:12" hidden="1" outlineLevel="1" x14ac:dyDescent="0.15">
      <c r="G178" s="61">
        <v>12</v>
      </c>
      <c r="H178" s="184"/>
      <c r="I178" s="184"/>
      <c r="J178" s="184"/>
      <c r="K178" s="184"/>
      <c r="L178" s="184"/>
    </row>
    <row r="179" spans="7:12" hidden="1" outlineLevel="1" x14ac:dyDescent="0.15">
      <c r="G179" s="185">
        <f>+G178-1</f>
        <v>11</v>
      </c>
      <c r="H179" s="142"/>
      <c r="I179" s="142"/>
      <c r="J179" s="142"/>
      <c r="K179" s="142"/>
      <c r="L179" s="142"/>
    </row>
    <row r="180" spans="7:12" hidden="1" outlineLevel="1" x14ac:dyDescent="0.15">
      <c r="G180" s="185">
        <f t="shared" ref="G180:G186" si="78">+G179-1</f>
        <v>10</v>
      </c>
      <c r="H180" s="142"/>
      <c r="I180" s="142"/>
      <c r="J180" s="142"/>
      <c r="K180" s="142"/>
      <c r="L180" s="142"/>
    </row>
    <row r="181" spans="7:12" hidden="1" outlineLevel="1" x14ac:dyDescent="0.15">
      <c r="G181" s="185">
        <f t="shared" si="78"/>
        <v>9</v>
      </c>
      <c r="H181" s="142"/>
      <c r="I181" s="186"/>
      <c r="J181" s="186"/>
      <c r="K181" s="186"/>
      <c r="L181" s="142"/>
    </row>
    <row r="182" spans="7:12" hidden="1" outlineLevel="1" x14ac:dyDescent="0.15">
      <c r="G182" s="185">
        <f t="shared" si="78"/>
        <v>8</v>
      </c>
      <c r="H182" s="142"/>
      <c r="I182" s="186"/>
      <c r="J182" s="186"/>
      <c r="K182" s="186"/>
      <c r="L182" s="142"/>
    </row>
    <row r="183" spans="7:12" hidden="1" outlineLevel="1" x14ac:dyDescent="0.15">
      <c r="G183" s="185">
        <f t="shared" si="78"/>
        <v>7</v>
      </c>
      <c r="H183" s="142"/>
      <c r="I183" s="186"/>
      <c r="J183" s="186"/>
      <c r="K183" s="186"/>
      <c r="L183" s="142"/>
    </row>
    <row r="184" spans="7:12" hidden="1" outlineLevel="1" x14ac:dyDescent="0.15">
      <c r="G184" s="185">
        <f t="shared" si="78"/>
        <v>6</v>
      </c>
      <c r="H184" s="142"/>
      <c r="I184" s="142"/>
      <c r="J184" s="142"/>
      <c r="K184" s="142"/>
      <c r="L184" s="142"/>
    </row>
    <row r="185" spans="7:12" hidden="1" outlineLevel="1" x14ac:dyDescent="0.15">
      <c r="G185" s="185">
        <f t="shared" si="78"/>
        <v>5</v>
      </c>
      <c r="H185" s="142"/>
      <c r="I185" s="142"/>
      <c r="J185" s="142"/>
      <c r="K185" s="142"/>
      <c r="L185" s="142"/>
    </row>
    <row r="186" spans="7:12" hidden="1" outlineLevel="1" x14ac:dyDescent="0.15">
      <c r="G186" s="185">
        <f t="shared" si="78"/>
        <v>4</v>
      </c>
      <c r="H186" s="142"/>
      <c r="I186" s="142"/>
      <c r="J186" s="142"/>
      <c r="K186" s="142"/>
      <c r="L186" s="142"/>
    </row>
    <row r="187" spans="7:12" hidden="1" outlineLevel="1" x14ac:dyDescent="0.15">
      <c r="G187" s="77"/>
      <c r="H187" s="77"/>
      <c r="I187" s="77"/>
      <c r="J187" s="77"/>
      <c r="K187" s="77"/>
      <c r="L187" s="77"/>
    </row>
    <row r="188" spans="7:12" hidden="1" outlineLevel="1" x14ac:dyDescent="0.15">
      <c r="G188" s="77"/>
      <c r="H188" s="77"/>
      <c r="I188" s="77"/>
      <c r="J188" s="77"/>
      <c r="K188" s="77"/>
      <c r="L188" s="77"/>
    </row>
    <row r="189" spans="7:12" ht="15.75" hidden="1" customHeight="1" outlineLevel="1" x14ac:dyDescent="0.15">
      <c r="G189" s="51" t="s">
        <v>231</v>
      </c>
      <c r="H189" s="52"/>
      <c r="I189" s="52"/>
      <c r="J189" s="52"/>
      <c r="K189" s="52"/>
      <c r="L189" s="52"/>
    </row>
    <row r="190" spans="7:12" hidden="1" outlineLevel="1" x14ac:dyDescent="0.15">
      <c r="G190" s="77"/>
      <c r="H190" s="182" t="s">
        <v>230</v>
      </c>
      <c r="I190" s="182"/>
      <c r="J190" s="182"/>
      <c r="K190" s="182"/>
      <c r="L190" s="182"/>
    </row>
    <row r="191" spans="7:12" hidden="1" outlineLevel="1" x14ac:dyDescent="0.15">
      <c r="G191" s="54">
        <f>E143/1000000</f>
        <v>0</v>
      </c>
      <c r="H191" s="62">
        <v>1000</v>
      </c>
      <c r="I191" s="183">
        <f>+H191+200</f>
        <v>1200</v>
      </c>
      <c r="J191" s="183">
        <f t="shared" ref="J191:L191" si="79">+I191+200</f>
        <v>1400</v>
      </c>
      <c r="K191" s="183">
        <f t="shared" si="79"/>
        <v>1600</v>
      </c>
      <c r="L191" s="183">
        <f t="shared" si="79"/>
        <v>1800</v>
      </c>
    </row>
    <row r="192" spans="7:12" hidden="1" outlineLevel="1" x14ac:dyDescent="0.15">
      <c r="G192" s="63">
        <v>0.09</v>
      </c>
      <c r="H192" s="187"/>
      <c r="I192" s="144"/>
      <c r="J192" s="144"/>
      <c r="K192" s="144"/>
      <c r="L192" s="144"/>
    </row>
    <row r="193" spans="1:27" hidden="1" outlineLevel="1" x14ac:dyDescent="0.15">
      <c r="A193" s="77"/>
      <c r="B193" s="77"/>
      <c r="C193" s="77"/>
      <c r="D193" s="77"/>
      <c r="E193" s="77"/>
      <c r="F193" s="77"/>
      <c r="G193" s="188">
        <f>G192-0.01</f>
        <v>0.08</v>
      </c>
      <c r="H193" s="146"/>
      <c r="I193" s="146"/>
      <c r="J193" s="146"/>
      <c r="K193" s="146"/>
      <c r="L193" s="146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idden="1" outlineLevel="1" x14ac:dyDescent="0.15">
      <c r="A194" s="77"/>
      <c r="B194" s="77"/>
      <c r="C194" s="77"/>
      <c r="D194" s="77"/>
      <c r="E194" s="77"/>
      <c r="F194" s="77"/>
      <c r="G194" s="188">
        <f t="shared" ref="G194:G200" si="80">G193-0.01</f>
        <v>7.0000000000000007E-2</v>
      </c>
      <c r="H194" s="146"/>
      <c r="I194" s="146"/>
      <c r="J194" s="146"/>
      <c r="K194" s="146"/>
      <c r="L194" s="146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idden="1" outlineLevel="1" x14ac:dyDescent="0.15">
      <c r="A195" s="77"/>
      <c r="B195" s="77"/>
      <c r="C195" s="77"/>
      <c r="D195" s="77"/>
      <c r="E195" s="77"/>
      <c r="F195" s="77"/>
      <c r="G195" s="188">
        <f t="shared" si="80"/>
        <v>6.0000000000000005E-2</v>
      </c>
      <c r="H195" s="146"/>
      <c r="I195" s="189"/>
      <c r="J195" s="189"/>
      <c r="K195" s="189"/>
      <c r="L195" s="146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idden="1" outlineLevel="1" x14ac:dyDescent="0.15">
      <c r="A196" s="77"/>
      <c r="B196" s="77"/>
      <c r="C196" s="77"/>
      <c r="D196" s="77"/>
      <c r="E196" s="77"/>
      <c r="F196" s="77"/>
      <c r="G196" s="188">
        <f t="shared" si="80"/>
        <v>0.05</v>
      </c>
      <c r="H196" s="146"/>
      <c r="I196" s="189"/>
      <c r="J196" s="189"/>
      <c r="K196" s="189"/>
      <c r="L196" s="146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idden="1" outlineLevel="1" x14ac:dyDescent="0.15">
      <c r="A197" s="77"/>
      <c r="B197" s="77"/>
      <c r="C197" s="77"/>
      <c r="D197" s="77"/>
      <c r="E197" s="77"/>
      <c r="F197" s="77"/>
      <c r="G197" s="188">
        <f t="shared" si="80"/>
        <v>0.04</v>
      </c>
      <c r="H197" s="146"/>
      <c r="I197" s="189"/>
      <c r="J197" s="189"/>
      <c r="K197" s="189"/>
      <c r="L197" s="146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idden="1" outlineLevel="1" x14ac:dyDescent="0.15">
      <c r="A198" s="77"/>
      <c r="B198" s="77"/>
      <c r="C198" s="77"/>
      <c r="D198" s="77"/>
      <c r="E198" s="77"/>
      <c r="F198" s="77"/>
      <c r="G198" s="188">
        <f t="shared" si="80"/>
        <v>0.03</v>
      </c>
      <c r="H198" s="146"/>
      <c r="I198" s="146"/>
      <c r="J198" s="146"/>
      <c r="K198" s="146"/>
      <c r="L198" s="146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idden="1" outlineLevel="1" x14ac:dyDescent="0.15">
      <c r="A199" s="77"/>
      <c r="B199" s="77"/>
      <c r="C199" s="77"/>
      <c r="D199" s="77"/>
      <c r="E199" s="77"/>
      <c r="F199" s="77"/>
      <c r="G199" s="188">
        <f t="shared" si="80"/>
        <v>1.9999999999999997E-2</v>
      </c>
      <c r="H199" s="146"/>
      <c r="I199" s="146"/>
      <c r="J199" s="146"/>
      <c r="K199" s="146"/>
      <c r="L199" s="146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idden="1" outlineLevel="1" x14ac:dyDescent="0.15">
      <c r="A200" s="77"/>
      <c r="B200" s="77"/>
      <c r="C200" s="77"/>
      <c r="D200" s="77"/>
      <c r="E200" s="77"/>
      <c r="F200" s="77"/>
      <c r="G200" s="188">
        <f t="shared" si="80"/>
        <v>9.9999999999999967E-3</v>
      </c>
      <c r="H200" s="146"/>
      <c r="I200" s="146"/>
      <c r="J200" s="146"/>
      <c r="K200" s="146"/>
      <c r="L200" s="146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idden="1" outlineLevel="1" x14ac:dyDescent="0.15">
      <c r="A201" s="77"/>
      <c r="B201" s="77"/>
      <c r="C201" s="77"/>
      <c r="D201" s="77"/>
      <c r="E201" s="77"/>
      <c r="F201" s="77"/>
      <c r="G201" s="142"/>
      <c r="H201" s="146"/>
      <c r="I201" s="146"/>
      <c r="J201" s="146"/>
      <c r="K201" s="146"/>
      <c r="L201" s="146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collapsed="1" x14ac:dyDescent="0.1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s="50" customFormat="1" ht="18.75" customHeight="1" x14ac:dyDescent="0.2">
      <c r="A203" s="107" t="s">
        <v>232</v>
      </c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</row>
    <row r="204" spans="1:27" s="29" customFormat="1" ht="24" hidden="1" customHeight="1" outlineLevel="2" x14ac:dyDescent="0.2">
      <c r="A204" s="80"/>
      <c r="B204" s="80"/>
      <c r="C204" s="80"/>
      <c r="D204" s="80"/>
      <c r="E204" s="80"/>
      <c r="F204" s="80"/>
      <c r="G204" s="56">
        <f t="shared" ref="G204:P204" si="81">G2</f>
        <v>2024</v>
      </c>
      <c r="H204" s="56">
        <f t="shared" si="81"/>
        <v>2025</v>
      </c>
      <c r="I204" s="56">
        <f t="shared" si="81"/>
        <v>2026</v>
      </c>
      <c r="J204" s="56">
        <f t="shared" si="81"/>
        <v>2027</v>
      </c>
      <c r="K204" s="56">
        <f t="shared" si="81"/>
        <v>2028</v>
      </c>
      <c r="L204" s="56">
        <f t="shared" si="81"/>
        <v>2029</v>
      </c>
      <c r="M204" s="56">
        <f t="shared" si="81"/>
        <v>2030</v>
      </c>
      <c r="N204" s="56">
        <f t="shared" si="81"/>
        <v>2031</v>
      </c>
      <c r="O204" s="56">
        <f t="shared" si="81"/>
        <v>2032</v>
      </c>
      <c r="P204" s="56">
        <f t="shared" si="81"/>
        <v>2033</v>
      </c>
    </row>
    <row r="205" spans="1:27" s="29" customFormat="1" hidden="1" outlineLevel="2" x14ac:dyDescent="0.15">
      <c r="A205" s="153" t="s">
        <v>233</v>
      </c>
      <c r="B205" s="153"/>
      <c r="C205" s="153"/>
      <c r="D205" s="153"/>
      <c r="E205" s="153"/>
      <c r="F205" s="153"/>
      <c r="G205" s="57"/>
      <c r="H205" s="57"/>
      <c r="I205" s="57"/>
      <c r="J205" s="57"/>
      <c r="K205" s="57"/>
      <c r="L205" s="57"/>
      <c r="M205" s="57"/>
      <c r="N205" s="57"/>
      <c r="O205" s="57"/>
      <c r="P205" s="57"/>
    </row>
    <row r="206" spans="1:27" s="29" customFormat="1" hidden="1" outlineLevel="2" x14ac:dyDescent="0.15">
      <c r="A206" s="80" t="s">
        <v>203</v>
      </c>
      <c r="B206" s="80"/>
      <c r="C206" s="80"/>
      <c r="D206" s="80"/>
      <c r="E206" s="80"/>
      <c r="F206" s="8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1:27" s="29" customFormat="1" hidden="1" outlineLevel="2" x14ac:dyDescent="0.15">
      <c r="A207" s="153" t="s">
        <v>199</v>
      </c>
      <c r="B207" s="153"/>
      <c r="C207" s="153"/>
      <c r="D207" s="153"/>
      <c r="E207" s="153"/>
      <c r="F207" s="153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spans="1:27" s="29" customFormat="1" hidden="1" outlineLevel="2" x14ac:dyDescent="0.15">
      <c r="A208" s="80"/>
      <c r="B208" s="80"/>
      <c r="C208" s="80"/>
      <c r="D208" s="80"/>
      <c r="E208" s="80"/>
      <c r="F208" s="80"/>
      <c r="G208" s="55"/>
      <c r="H208" s="39"/>
      <c r="I208" s="39"/>
      <c r="J208" s="39"/>
      <c r="K208" s="39"/>
      <c r="L208" s="39"/>
      <c r="M208" s="39"/>
      <c r="N208" s="39"/>
      <c r="O208" s="39"/>
      <c r="P208" s="39"/>
    </row>
    <row r="209" spans="1:16" s="29" customFormat="1" hidden="1" outlineLevel="2" x14ac:dyDescent="0.15">
      <c r="A209" s="80" t="s">
        <v>215</v>
      </c>
      <c r="B209" s="80"/>
      <c r="C209" s="80"/>
      <c r="D209" s="80"/>
      <c r="E209" s="80"/>
      <c r="F209" s="80"/>
      <c r="G209" s="55"/>
      <c r="H209" s="55"/>
      <c r="I209" s="55"/>
      <c r="J209" s="55"/>
      <c r="K209" s="55"/>
      <c r="L209" s="55"/>
      <c r="M209" s="55"/>
      <c r="N209" s="55"/>
      <c r="O209" s="55"/>
      <c r="P209" s="55"/>
    </row>
    <row r="210" spans="1:16" s="29" customFormat="1" hidden="1" outlineLevel="2" x14ac:dyDescent="0.15">
      <c r="A210" s="80" t="s">
        <v>234</v>
      </c>
      <c r="B210" s="80"/>
      <c r="C210" s="80"/>
      <c r="D210" s="80"/>
      <c r="E210" s="80"/>
      <c r="F210" s="8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1:16" s="29" customFormat="1" hidden="1" outlineLevel="2" x14ac:dyDescent="0.15">
      <c r="A211" s="153" t="s">
        <v>199</v>
      </c>
      <c r="B211" s="153"/>
      <c r="C211" s="153"/>
      <c r="D211" s="153"/>
      <c r="E211" s="153"/>
      <c r="F211" s="153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spans="1:16" s="29" customFormat="1" hidden="1" outlineLevel="2" x14ac:dyDescent="0.15">
      <c r="A212" s="80"/>
      <c r="B212" s="80"/>
      <c r="C212" s="80"/>
      <c r="D212" s="80"/>
      <c r="E212" s="80"/>
      <c r="F212" s="80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 spans="1:16" s="29" customFormat="1" hidden="1" outlineLevel="2" x14ac:dyDescent="0.15">
      <c r="A213" s="80" t="s">
        <v>235</v>
      </c>
      <c r="B213" s="80"/>
      <c r="C213" s="80"/>
      <c r="D213" s="80"/>
      <c r="E213" s="80"/>
      <c r="F213" s="8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1:16" s="29" customFormat="1" hidden="1" outlineLevel="2" x14ac:dyDescent="0.15">
      <c r="A214" s="80" t="s">
        <v>236</v>
      </c>
      <c r="B214" s="80"/>
      <c r="C214" s="80"/>
      <c r="D214" s="80"/>
      <c r="E214" s="80"/>
      <c r="F214" s="8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1:16" s="29" customFormat="1" hidden="1" outlineLevel="2" x14ac:dyDescent="0.1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</row>
    <row r="216" spans="1:16" s="29" customFormat="1" hidden="1" outlineLevel="2" x14ac:dyDescent="0.15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</row>
    <row r="217" spans="1:16" s="29" customFormat="1" hidden="1" outlineLevel="2" x14ac:dyDescent="0.15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</row>
    <row r="218" spans="1:16" s="29" customFormat="1" hidden="1" outlineLevel="2" x14ac:dyDescent="0.15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</row>
    <row r="219" spans="1:16" s="29" customFormat="1" hidden="1" outlineLevel="2" x14ac:dyDescent="0.15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</row>
    <row r="220" spans="1:16" s="29" customFormat="1" hidden="1" outlineLevel="2" x14ac:dyDescent="0.15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</row>
    <row r="221" spans="1:16" s="29" customFormat="1" hidden="1" outlineLevel="2" x14ac:dyDescent="0.15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</row>
    <row r="222" spans="1:16" s="29" customFormat="1" hidden="1" outlineLevel="2" x14ac:dyDescent="0.15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</row>
    <row r="223" spans="1:16" s="29" customFormat="1" hidden="1" outlineLevel="2" x14ac:dyDescent="0.15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</row>
    <row r="224" spans="1:16" s="29" customFormat="1" hidden="1" outlineLevel="2" x14ac:dyDescent="0.15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</row>
    <row r="225" s="29" customFormat="1" hidden="1" outlineLevel="2" x14ac:dyDescent="0.15"/>
    <row r="226" s="29" customFormat="1" hidden="1" outlineLevel="2" x14ac:dyDescent="0.15"/>
    <row r="227" s="29" customFormat="1" hidden="1" outlineLevel="2" x14ac:dyDescent="0.15"/>
    <row r="228" s="29" customFormat="1" hidden="1" outlineLevel="2" x14ac:dyDescent="0.15"/>
    <row r="229" s="29" customFormat="1" hidden="1" outlineLevel="2" x14ac:dyDescent="0.15"/>
    <row r="230" s="29" customFormat="1" hidden="1" outlineLevel="2" x14ac:dyDescent="0.15"/>
    <row r="231" s="29" customFormat="1" hidden="1" outlineLevel="2" x14ac:dyDescent="0.15"/>
    <row r="232" s="29" customFormat="1" hidden="1" outlineLevel="2" x14ac:dyDescent="0.15"/>
    <row r="233" s="29" customFormat="1" hidden="1" outlineLevel="2" x14ac:dyDescent="0.15"/>
    <row r="234" s="29" customFormat="1" hidden="1" outlineLevel="2" x14ac:dyDescent="0.15"/>
    <row r="235" s="29" customFormat="1" hidden="1" outlineLevel="2" x14ac:dyDescent="0.15"/>
    <row r="236" s="29" customFormat="1" hidden="1" outlineLevel="2" x14ac:dyDescent="0.15"/>
    <row r="237" s="29" customFormat="1" hidden="1" outlineLevel="2" x14ac:dyDescent="0.15"/>
    <row r="238" hidden="1" outlineLevel="2" x14ac:dyDescent="0.15"/>
    <row r="239" collapsed="1" x14ac:dyDescent="0.15"/>
  </sheetData>
  <conditionalFormatting sqref="A2 C2">
    <cfRule type="containsText" dxfId="11" priority="3" operator="containsText" text="OK">
      <formula>NOT(ISERROR(SEARCH("OK",A2)))</formula>
    </cfRule>
    <cfRule type="containsText" dxfId="10" priority="4" operator="containsText" text="ERROR">
      <formula>NOT(ISERROR(SEARCH("ERROR",A2)))</formula>
    </cfRule>
  </conditionalFormatting>
  <conditionalFormatting sqref="E3:AA3">
    <cfRule type="containsText" dxfId="9" priority="1" operator="containsText" text="OK">
      <formula>NOT(ISERROR(SEARCH("OK",#REF!)))</formula>
    </cfRule>
    <cfRule type="containsText" dxfId="8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53F76092-FAFA-8F4B-8629-81B6D1FFF6C3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07F-CA0B-E14F-A81C-FEB58317872E}">
  <dimension ref="A1:AL213"/>
  <sheetViews>
    <sheetView showGridLines="0" zoomScaleNormal="100" workbookViewId="0">
      <pane ySplit="3" topLeftCell="A29" activePane="bottomLeft" state="frozen"/>
      <selection activeCell="B314" sqref="B314"/>
      <selection pane="bottomLeft" activeCell="G46" sqref="G46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6" width="14.83203125" style="5" bestFit="1" customWidth="1"/>
    <col min="7" max="7" width="13.83203125" style="5" customWidth="1"/>
    <col min="8" max="8" width="15.83203125" style="5" bestFit="1" customWidth="1"/>
    <col min="9" max="16" width="13.83203125" style="5" customWidth="1"/>
    <col min="17" max="17" width="12.1640625" style="5" bestFit="1" customWidth="1"/>
    <col min="18" max="23" width="12.5" style="5" bestFit="1" customWidth="1"/>
    <col min="24" max="27" width="13.83203125" style="5" bestFit="1" customWidth="1"/>
    <col min="28" max="38" width="12.5" style="5" bestFit="1" customWidth="1"/>
    <col min="39" max="16384" width="11.1640625" style="5"/>
  </cols>
  <sheetData>
    <row r="1" spans="1:38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AL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  <c r="Q1" s="101">
        <f t="shared" si="0"/>
        <v>49309</v>
      </c>
      <c r="R1" s="101">
        <f t="shared" si="0"/>
        <v>49674</v>
      </c>
      <c r="S1" s="101">
        <f t="shared" si="0"/>
        <v>50040</v>
      </c>
      <c r="T1" s="101">
        <f t="shared" si="0"/>
        <v>50405</v>
      </c>
      <c r="U1" s="101">
        <f t="shared" si="0"/>
        <v>50770</v>
      </c>
      <c r="V1" s="101">
        <f t="shared" si="0"/>
        <v>51135</v>
      </c>
      <c r="W1" s="101">
        <f t="shared" si="0"/>
        <v>51501</v>
      </c>
      <c r="X1" s="101">
        <f t="shared" si="0"/>
        <v>51866</v>
      </c>
      <c r="Y1" s="101">
        <f t="shared" si="0"/>
        <v>52231</v>
      </c>
      <c r="Z1" s="101">
        <f t="shared" si="0"/>
        <v>52596</v>
      </c>
      <c r="AA1" s="101">
        <f t="shared" si="0"/>
        <v>52962</v>
      </c>
      <c r="AB1" s="101">
        <f t="shared" si="0"/>
        <v>53327</v>
      </c>
      <c r="AC1" s="101">
        <f t="shared" si="0"/>
        <v>53692</v>
      </c>
      <c r="AD1" s="101">
        <f t="shared" si="0"/>
        <v>54057</v>
      </c>
      <c r="AE1" s="101">
        <f t="shared" si="0"/>
        <v>54423</v>
      </c>
      <c r="AF1" s="101">
        <f t="shared" si="0"/>
        <v>54788</v>
      </c>
      <c r="AG1" s="101">
        <f t="shared" si="0"/>
        <v>55153</v>
      </c>
      <c r="AH1" s="101">
        <f t="shared" si="0"/>
        <v>55518</v>
      </c>
      <c r="AI1" s="101">
        <f t="shared" si="0"/>
        <v>55884</v>
      </c>
      <c r="AJ1" s="101">
        <f t="shared" si="0"/>
        <v>56249</v>
      </c>
      <c r="AK1" s="101">
        <f t="shared" si="0"/>
        <v>56614</v>
      </c>
      <c r="AL1" s="101">
        <f t="shared" si="0"/>
        <v>56979</v>
      </c>
    </row>
    <row r="2" spans="1:38" s="49" customFormat="1" ht="16.5" customHeight="1" x14ac:dyDescent="0.2">
      <c r="A2" s="102" t="s">
        <v>61</v>
      </c>
      <c r="B2" s="103"/>
      <c r="C2" s="104">
        <f>F22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AL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  <c r="Q2" s="106">
        <f t="shared" si="1"/>
        <v>2034</v>
      </c>
      <c r="R2" s="106">
        <f t="shared" si="1"/>
        <v>2035</v>
      </c>
      <c r="S2" s="106">
        <f t="shared" si="1"/>
        <v>2036</v>
      </c>
      <c r="T2" s="106">
        <f t="shared" si="1"/>
        <v>2037</v>
      </c>
      <c r="U2" s="106">
        <f t="shared" si="1"/>
        <v>2038</v>
      </c>
      <c r="V2" s="106">
        <f t="shared" si="1"/>
        <v>2039</v>
      </c>
      <c r="W2" s="106">
        <f t="shared" si="1"/>
        <v>2040</v>
      </c>
      <c r="X2" s="106">
        <f t="shared" si="1"/>
        <v>2041</v>
      </c>
      <c r="Y2" s="106">
        <f t="shared" si="1"/>
        <v>2042</v>
      </c>
      <c r="Z2" s="106">
        <f t="shared" si="1"/>
        <v>2043</v>
      </c>
      <c r="AA2" s="106">
        <f t="shared" si="1"/>
        <v>2044</v>
      </c>
      <c r="AB2" s="106">
        <f t="shared" si="1"/>
        <v>2045</v>
      </c>
      <c r="AC2" s="106">
        <f t="shared" si="1"/>
        <v>2046</v>
      </c>
      <c r="AD2" s="106">
        <f t="shared" si="1"/>
        <v>2047</v>
      </c>
      <c r="AE2" s="106">
        <f t="shared" si="1"/>
        <v>2048</v>
      </c>
      <c r="AF2" s="106">
        <f t="shared" si="1"/>
        <v>2049</v>
      </c>
      <c r="AG2" s="106">
        <f t="shared" si="1"/>
        <v>2050</v>
      </c>
      <c r="AH2" s="106">
        <f t="shared" si="1"/>
        <v>2051</v>
      </c>
      <c r="AI2" s="106">
        <f t="shared" si="1"/>
        <v>2052</v>
      </c>
      <c r="AJ2" s="106">
        <f t="shared" si="1"/>
        <v>2053</v>
      </c>
      <c r="AK2" s="106">
        <f t="shared" si="1"/>
        <v>2054</v>
      </c>
      <c r="AL2" s="106">
        <f t="shared" si="1"/>
        <v>2055</v>
      </c>
    </row>
    <row r="3" spans="1:38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66</v>
      </c>
      <c r="AJ3" s="4" t="s">
        <v>66</v>
      </c>
      <c r="AK3" s="4" t="s">
        <v>66</v>
      </c>
      <c r="AL3" s="4" t="s">
        <v>66</v>
      </c>
    </row>
    <row r="5" spans="1:38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</row>
    <row r="6" spans="1:38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</row>
    <row r="8" spans="1:38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</row>
    <row r="12" spans="1:38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spans="1:38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</row>
    <row r="14" spans="1:38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AL14" si="2">+G14+1</f>
        <v>2025</v>
      </c>
      <c r="I14" s="121">
        <f t="shared" si="2"/>
        <v>2026</v>
      </c>
      <c r="J14" s="121">
        <f t="shared" si="2"/>
        <v>2027</v>
      </c>
      <c r="K14" s="121">
        <f t="shared" si="2"/>
        <v>2028</v>
      </c>
      <c r="L14" s="121">
        <f t="shared" si="2"/>
        <v>2029</v>
      </c>
      <c r="M14" s="121">
        <f t="shared" si="2"/>
        <v>2030</v>
      </c>
      <c r="N14" s="121">
        <f t="shared" si="2"/>
        <v>2031</v>
      </c>
      <c r="O14" s="121">
        <f t="shared" si="2"/>
        <v>2032</v>
      </c>
      <c r="P14" s="121">
        <f t="shared" si="2"/>
        <v>2033</v>
      </c>
      <c r="Q14" s="121">
        <f t="shared" si="2"/>
        <v>2034</v>
      </c>
      <c r="R14" s="121">
        <f t="shared" si="2"/>
        <v>2035</v>
      </c>
      <c r="S14" s="121">
        <f t="shared" si="2"/>
        <v>2036</v>
      </c>
      <c r="T14" s="121">
        <f t="shared" si="2"/>
        <v>2037</v>
      </c>
      <c r="U14" s="121">
        <f t="shared" si="2"/>
        <v>2038</v>
      </c>
      <c r="V14" s="121">
        <f t="shared" si="2"/>
        <v>2039</v>
      </c>
      <c r="W14" s="121">
        <f t="shared" si="2"/>
        <v>2040</v>
      </c>
      <c r="X14" s="121">
        <f t="shared" si="2"/>
        <v>2041</v>
      </c>
      <c r="Y14" s="121">
        <f t="shared" si="2"/>
        <v>2042</v>
      </c>
      <c r="Z14" s="121">
        <f t="shared" si="2"/>
        <v>2043</v>
      </c>
      <c r="AA14" s="121">
        <f t="shared" si="2"/>
        <v>2044</v>
      </c>
      <c r="AB14" s="121">
        <f t="shared" si="2"/>
        <v>2045</v>
      </c>
      <c r="AC14" s="121">
        <f t="shared" si="2"/>
        <v>2046</v>
      </c>
      <c r="AD14" s="121">
        <f t="shared" si="2"/>
        <v>2047</v>
      </c>
      <c r="AE14" s="121">
        <f t="shared" si="2"/>
        <v>2048</v>
      </c>
      <c r="AF14" s="121">
        <f t="shared" si="2"/>
        <v>2049</v>
      </c>
      <c r="AG14" s="121">
        <f t="shared" si="2"/>
        <v>2050</v>
      </c>
      <c r="AH14" s="121">
        <f t="shared" si="2"/>
        <v>2051</v>
      </c>
      <c r="AI14" s="121">
        <f t="shared" si="2"/>
        <v>2052</v>
      </c>
      <c r="AJ14" s="121">
        <f t="shared" si="2"/>
        <v>2053</v>
      </c>
      <c r="AK14" s="121">
        <f t="shared" si="2"/>
        <v>2054</v>
      </c>
      <c r="AL14" s="121">
        <f t="shared" si="2"/>
        <v>2055</v>
      </c>
    </row>
    <row r="15" spans="1:38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1700</v>
      </c>
      <c r="H16" s="13">
        <v>1700</v>
      </c>
      <c r="I16" s="13">
        <v>1700</v>
      </c>
      <c r="J16" s="13">
        <v>1700</v>
      </c>
      <c r="K16" s="13">
        <v>1700</v>
      </c>
      <c r="L16" s="13">
        <v>1700</v>
      </c>
      <c r="M16" s="13">
        <v>1700</v>
      </c>
      <c r="N16" s="13">
        <v>1700</v>
      </c>
      <c r="O16" s="13">
        <v>1700</v>
      </c>
      <c r="P16" s="13">
        <v>1700</v>
      </c>
      <c r="Q16" s="13">
        <v>1700</v>
      </c>
      <c r="R16" s="13">
        <v>1700</v>
      </c>
      <c r="S16" s="13">
        <v>1700</v>
      </c>
      <c r="T16" s="13">
        <v>1700</v>
      </c>
      <c r="U16" s="13">
        <v>1700</v>
      </c>
      <c r="V16" s="13">
        <v>1700</v>
      </c>
      <c r="W16" s="13">
        <v>1700</v>
      </c>
      <c r="X16" s="13">
        <v>1700</v>
      </c>
      <c r="Y16" s="13">
        <v>1700</v>
      </c>
      <c r="Z16" s="13">
        <v>1700</v>
      </c>
      <c r="AA16" s="13">
        <v>1700</v>
      </c>
      <c r="AB16" s="13">
        <v>1700</v>
      </c>
      <c r="AC16" s="13">
        <v>1700</v>
      </c>
      <c r="AD16" s="13">
        <v>1700</v>
      </c>
      <c r="AE16" s="13">
        <v>1700</v>
      </c>
      <c r="AF16" s="13">
        <v>1700</v>
      </c>
      <c r="AG16" s="13">
        <v>1700</v>
      </c>
      <c r="AH16" s="13">
        <v>1700</v>
      </c>
      <c r="AI16" s="13">
        <v>1700</v>
      </c>
      <c r="AJ16" s="13">
        <v>1700</v>
      </c>
      <c r="AK16" s="13">
        <v>1700</v>
      </c>
      <c r="AL16" s="13">
        <v>1700</v>
      </c>
    </row>
    <row r="17" spans="1:38" ht="16.5" customHeight="1" outlineLevel="1" x14ac:dyDescent="0.15">
      <c r="A17" s="77" t="s">
        <v>82</v>
      </c>
      <c r="B17" s="77"/>
      <c r="C17" s="77"/>
      <c r="D17" s="6" t="s">
        <v>80</v>
      </c>
      <c r="E17" s="77"/>
      <c r="F17" s="139">
        <v>2</v>
      </c>
      <c r="G17" s="13"/>
      <c r="H17" s="14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</row>
    <row r="18" spans="1:38" ht="16.5" customHeight="1" outlineLevel="1" x14ac:dyDescent="0.15">
      <c r="A18" s="77"/>
      <c r="B18" s="77"/>
      <c r="C18" s="77"/>
      <c r="D18" s="77" t="s">
        <v>81</v>
      </c>
      <c r="E18" s="77"/>
      <c r="F18" s="139"/>
      <c r="G18" s="13">
        <v>2100</v>
      </c>
      <c r="H18" s="13">
        <v>2100</v>
      </c>
      <c r="I18" s="13">
        <v>2100</v>
      </c>
      <c r="J18" s="13">
        <v>2100</v>
      </c>
      <c r="K18" s="13">
        <v>2100</v>
      </c>
      <c r="L18" s="13">
        <v>2100</v>
      </c>
      <c r="M18" s="13">
        <v>2100</v>
      </c>
      <c r="N18" s="13">
        <v>2100</v>
      </c>
      <c r="O18" s="13">
        <v>2100</v>
      </c>
      <c r="P18" s="13">
        <v>2100</v>
      </c>
      <c r="Q18" s="13">
        <v>2100</v>
      </c>
      <c r="R18" s="13">
        <v>2100</v>
      </c>
      <c r="S18" s="13">
        <v>2100</v>
      </c>
      <c r="T18" s="13">
        <v>2100</v>
      </c>
      <c r="U18" s="13">
        <v>2100</v>
      </c>
      <c r="V18" s="13">
        <v>2100</v>
      </c>
      <c r="W18" s="13">
        <v>2100</v>
      </c>
      <c r="X18" s="13">
        <v>2100</v>
      </c>
      <c r="Y18" s="13">
        <v>2100</v>
      </c>
      <c r="Z18" s="13">
        <v>2100</v>
      </c>
      <c r="AA18" s="13">
        <v>2100</v>
      </c>
      <c r="AB18" s="13">
        <v>2100</v>
      </c>
      <c r="AC18" s="13">
        <v>2100</v>
      </c>
      <c r="AD18" s="13">
        <v>2100</v>
      </c>
      <c r="AE18" s="13">
        <v>2100</v>
      </c>
      <c r="AF18" s="13">
        <v>2100</v>
      </c>
      <c r="AG18" s="13">
        <v>2100</v>
      </c>
      <c r="AH18" s="13">
        <v>2100</v>
      </c>
      <c r="AI18" s="13">
        <v>2100</v>
      </c>
      <c r="AJ18" s="13">
        <v>2100</v>
      </c>
      <c r="AK18" s="13">
        <v>2100</v>
      </c>
      <c r="AL18" s="13">
        <v>2100</v>
      </c>
    </row>
    <row r="19" spans="1:38" ht="16.5" customHeight="1" outlineLevel="1" x14ac:dyDescent="0.15">
      <c r="A19" s="77"/>
      <c r="B19" s="77"/>
      <c r="C19" s="77"/>
      <c r="D19" s="6" t="s">
        <v>82</v>
      </c>
      <c r="E19" s="77"/>
      <c r="F19" s="139">
        <v>3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</row>
    <row r="20" spans="1:38" ht="16.5" customHeight="1" outlineLevel="1" x14ac:dyDescent="0.15">
      <c r="A20" s="77"/>
      <c r="B20" s="77"/>
      <c r="C20" s="77"/>
      <c r="D20" s="77" t="s">
        <v>81</v>
      </c>
      <c r="E20" s="77"/>
      <c r="F20" s="77"/>
      <c r="G20" s="13">
        <v>2748</v>
      </c>
      <c r="H20" s="13">
        <v>2748</v>
      </c>
      <c r="I20" s="13">
        <v>2748</v>
      </c>
      <c r="J20" s="13">
        <v>2748</v>
      </c>
      <c r="K20" s="13">
        <v>2748</v>
      </c>
      <c r="L20" s="13">
        <v>2748</v>
      </c>
      <c r="M20" s="13">
        <v>2748</v>
      </c>
      <c r="N20" s="13">
        <v>2748</v>
      </c>
      <c r="O20" s="13">
        <v>2748</v>
      </c>
      <c r="P20" s="13">
        <v>2748</v>
      </c>
      <c r="Q20" s="13">
        <v>2748</v>
      </c>
      <c r="R20" s="13">
        <v>2748</v>
      </c>
      <c r="S20" s="13">
        <v>2748</v>
      </c>
      <c r="T20" s="13">
        <v>2748</v>
      </c>
      <c r="U20" s="13">
        <v>2748</v>
      </c>
      <c r="V20" s="13">
        <v>2748</v>
      </c>
      <c r="W20" s="13">
        <v>2748</v>
      </c>
      <c r="X20" s="13">
        <v>2748</v>
      </c>
      <c r="Y20" s="13">
        <v>2748</v>
      </c>
      <c r="Z20" s="13">
        <v>2748</v>
      </c>
      <c r="AA20" s="13">
        <v>2748</v>
      </c>
      <c r="AB20" s="13">
        <v>2748</v>
      </c>
      <c r="AC20" s="13">
        <v>2748</v>
      </c>
      <c r="AD20" s="13">
        <v>2748</v>
      </c>
      <c r="AE20" s="13">
        <v>2748</v>
      </c>
      <c r="AF20" s="13">
        <v>2748</v>
      </c>
      <c r="AG20" s="13">
        <v>2748</v>
      </c>
      <c r="AH20" s="13">
        <v>2748</v>
      </c>
      <c r="AI20" s="13">
        <v>2748</v>
      </c>
      <c r="AJ20" s="13">
        <v>2748</v>
      </c>
      <c r="AK20" s="13">
        <v>2748</v>
      </c>
      <c r="AL20" s="13">
        <v>2748</v>
      </c>
    </row>
    <row r="21" spans="1:38" ht="16.5" customHeight="1" outlineLevel="1" x14ac:dyDescent="0.15">
      <c r="A21" s="77"/>
      <c r="B21" s="77"/>
      <c r="C21" s="77"/>
      <c r="D21" s="6" t="s">
        <v>83</v>
      </c>
      <c r="E21" s="77"/>
      <c r="F21" s="15" t="s">
        <v>80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</row>
    <row r="22" spans="1:38" ht="16.5" customHeight="1" outlineLevel="1" x14ac:dyDescent="0.15">
      <c r="A22" s="77"/>
      <c r="B22" s="77"/>
      <c r="C22" s="77"/>
      <c r="D22" s="77" t="s">
        <v>81</v>
      </c>
      <c r="E22" s="77"/>
      <c r="F22" s="140">
        <f>INDEX(F15:F20,MATCH(F21,D15:D20,0),0)</f>
        <v>2</v>
      </c>
      <c r="G22" s="14">
        <f t="shared" ref="G22:AL22" si="3">CHOOSE($F$22,G16,G18,G20)</f>
        <v>2100</v>
      </c>
      <c r="H22" s="14">
        <f t="shared" si="3"/>
        <v>2100</v>
      </c>
      <c r="I22" s="14">
        <f t="shared" si="3"/>
        <v>2100</v>
      </c>
      <c r="J22" s="14">
        <f t="shared" si="3"/>
        <v>2100</v>
      </c>
      <c r="K22" s="14">
        <f t="shared" si="3"/>
        <v>2100</v>
      </c>
      <c r="L22" s="14">
        <f t="shared" si="3"/>
        <v>2100</v>
      </c>
      <c r="M22" s="14">
        <f t="shared" si="3"/>
        <v>2100</v>
      </c>
      <c r="N22" s="14">
        <f t="shared" si="3"/>
        <v>2100</v>
      </c>
      <c r="O22" s="14">
        <f t="shared" si="3"/>
        <v>2100</v>
      </c>
      <c r="P22" s="14">
        <f t="shared" si="3"/>
        <v>2100</v>
      </c>
      <c r="Q22" s="14">
        <f t="shared" si="3"/>
        <v>2100</v>
      </c>
      <c r="R22" s="14">
        <f t="shared" si="3"/>
        <v>2100</v>
      </c>
      <c r="S22" s="14">
        <f t="shared" si="3"/>
        <v>2100</v>
      </c>
      <c r="T22" s="14">
        <f t="shared" si="3"/>
        <v>2100</v>
      </c>
      <c r="U22" s="14">
        <f t="shared" si="3"/>
        <v>2100</v>
      </c>
      <c r="V22" s="14">
        <f t="shared" si="3"/>
        <v>2100</v>
      </c>
      <c r="W22" s="14">
        <f t="shared" si="3"/>
        <v>2100</v>
      </c>
      <c r="X22" s="14">
        <f t="shared" si="3"/>
        <v>2100</v>
      </c>
      <c r="Y22" s="14">
        <f t="shared" si="3"/>
        <v>2100</v>
      </c>
      <c r="Z22" s="14">
        <f t="shared" si="3"/>
        <v>2100</v>
      </c>
      <c r="AA22" s="14">
        <f t="shared" si="3"/>
        <v>2100</v>
      </c>
      <c r="AB22" s="14">
        <f t="shared" si="3"/>
        <v>2100</v>
      </c>
      <c r="AC22" s="14">
        <f t="shared" si="3"/>
        <v>2100</v>
      </c>
      <c r="AD22" s="14">
        <f t="shared" si="3"/>
        <v>2100</v>
      </c>
      <c r="AE22" s="14">
        <f t="shared" si="3"/>
        <v>2100</v>
      </c>
      <c r="AF22" s="14">
        <f t="shared" si="3"/>
        <v>2100</v>
      </c>
      <c r="AG22" s="14">
        <f t="shared" si="3"/>
        <v>2100</v>
      </c>
      <c r="AH22" s="14">
        <f t="shared" si="3"/>
        <v>2100</v>
      </c>
      <c r="AI22" s="14">
        <f t="shared" si="3"/>
        <v>2100</v>
      </c>
      <c r="AJ22" s="14">
        <f t="shared" si="3"/>
        <v>2100</v>
      </c>
      <c r="AK22" s="14">
        <f t="shared" si="3"/>
        <v>2100</v>
      </c>
      <c r="AL22" s="14">
        <f t="shared" si="3"/>
        <v>2100</v>
      </c>
    </row>
    <row r="23" spans="1:38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16.5" customHeight="1" outlineLevel="1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</row>
    <row r="25" spans="1:38" ht="17" customHeight="1" outlineLevel="1" x14ac:dyDescent="0.15">
      <c r="A25" s="77" t="s">
        <v>272</v>
      </c>
      <c r="B25" s="77"/>
      <c r="C25" s="77"/>
      <c r="D25" s="86" t="s">
        <v>85</v>
      </c>
      <c r="E25" s="121"/>
      <c r="F25" s="121"/>
      <c r="G25" s="121">
        <v>2024</v>
      </c>
      <c r="H25" s="121">
        <f t="shared" ref="H25:AL25" si="4">+G25+1</f>
        <v>2025</v>
      </c>
      <c r="I25" s="121">
        <f t="shared" si="4"/>
        <v>2026</v>
      </c>
      <c r="J25" s="121">
        <f t="shared" si="4"/>
        <v>2027</v>
      </c>
      <c r="K25" s="121">
        <f t="shared" si="4"/>
        <v>2028</v>
      </c>
      <c r="L25" s="121">
        <f t="shared" si="4"/>
        <v>2029</v>
      </c>
      <c r="M25" s="121">
        <f t="shared" si="4"/>
        <v>2030</v>
      </c>
      <c r="N25" s="121">
        <f t="shared" si="4"/>
        <v>2031</v>
      </c>
      <c r="O25" s="121">
        <f t="shared" si="4"/>
        <v>2032</v>
      </c>
      <c r="P25" s="121">
        <f t="shared" si="4"/>
        <v>2033</v>
      </c>
      <c r="Q25" s="121">
        <f t="shared" si="4"/>
        <v>2034</v>
      </c>
      <c r="R25" s="121">
        <f t="shared" si="4"/>
        <v>2035</v>
      </c>
      <c r="S25" s="121">
        <f t="shared" si="4"/>
        <v>2036</v>
      </c>
      <c r="T25" s="121">
        <f t="shared" si="4"/>
        <v>2037</v>
      </c>
      <c r="U25" s="121">
        <f t="shared" si="4"/>
        <v>2038</v>
      </c>
      <c r="V25" s="121">
        <f t="shared" si="4"/>
        <v>2039</v>
      </c>
      <c r="W25" s="121">
        <f t="shared" si="4"/>
        <v>2040</v>
      </c>
      <c r="X25" s="121">
        <f t="shared" si="4"/>
        <v>2041</v>
      </c>
      <c r="Y25" s="121">
        <f t="shared" si="4"/>
        <v>2042</v>
      </c>
      <c r="Z25" s="121">
        <f t="shared" si="4"/>
        <v>2043</v>
      </c>
      <c r="AA25" s="121">
        <f t="shared" si="4"/>
        <v>2044</v>
      </c>
      <c r="AB25" s="121">
        <f t="shared" si="4"/>
        <v>2045</v>
      </c>
      <c r="AC25" s="121">
        <f t="shared" si="4"/>
        <v>2046</v>
      </c>
      <c r="AD25" s="121">
        <f t="shared" si="4"/>
        <v>2047</v>
      </c>
      <c r="AE25" s="121">
        <f t="shared" si="4"/>
        <v>2048</v>
      </c>
      <c r="AF25" s="121">
        <f t="shared" si="4"/>
        <v>2049</v>
      </c>
      <c r="AG25" s="121">
        <f t="shared" si="4"/>
        <v>2050</v>
      </c>
      <c r="AH25" s="121">
        <f t="shared" si="4"/>
        <v>2051</v>
      </c>
      <c r="AI25" s="121">
        <f t="shared" si="4"/>
        <v>2052</v>
      </c>
      <c r="AJ25" s="121">
        <f t="shared" si="4"/>
        <v>2053</v>
      </c>
      <c r="AK25" s="121">
        <f t="shared" si="4"/>
        <v>2054</v>
      </c>
      <c r="AL25" s="121">
        <f t="shared" si="4"/>
        <v>2055</v>
      </c>
    </row>
    <row r="26" spans="1:38" ht="16.5" customHeight="1" outlineLevel="1" x14ac:dyDescent="0.15">
      <c r="A26" s="89">
        <v>45474</v>
      </c>
      <c r="B26" s="77"/>
      <c r="C26" s="77"/>
      <c r="D26" s="114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</row>
    <row r="27" spans="1:38" ht="16.5" customHeight="1" outlineLevel="1" x14ac:dyDescent="0.15">
      <c r="A27" s="77"/>
      <c r="B27" s="77"/>
      <c r="C27" s="77"/>
      <c r="D27" s="77" t="s">
        <v>87</v>
      </c>
      <c r="E27" s="77" t="s">
        <v>88</v>
      </c>
      <c r="F27" s="148">
        <f>F37</f>
        <v>20200000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ht="16.5" customHeight="1" outlineLevel="1" x14ac:dyDescent="0.15">
      <c r="A28" s="77"/>
      <c r="B28" s="77"/>
      <c r="C28" s="77"/>
      <c r="D28" s="77" t="s">
        <v>90</v>
      </c>
      <c r="E28" s="77" t="s">
        <v>91</v>
      </c>
      <c r="F28" s="7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ht="16.5" customHeight="1" outlineLevel="1" x14ac:dyDescent="0.15">
      <c r="A29" s="77"/>
      <c r="B29" s="77"/>
      <c r="C29" s="77"/>
      <c r="D29" s="77" t="s">
        <v>92</v>
      </c>
      <c r="E29" s="77" t="s">
        <v>93</v>
      </c>
      <c r="F29" s="7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ht="16.5" customHeight="1" outlineLevel="1" x14ac:dyDescent="0.15">
      <c r="A30" s="77"/>
      <c r="B30" s="77"/>
      <c r="C30" s="77"/>
      <c r="D30" s="77" t="s">
        <v>94</v>
      </c>
      <c r="E30" s="77"/>
      <c r="F30" s="7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ht="16.5" customHeight="1" outlineLevel="1" x14ac:dyDescent="0.1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</row>
    <row r="32" spans="1:38" ht="16.5" customHeight="1" outlineLevel="1" x14ac:dyDescent="0.15">
      <c r="A32" s="77" t="s">
        <v>272</v>
      </c>
      <c r="B32" s="77"/>
      <c r="C32" s="77"/>
      <c r="D32" s="6" t="s">
        <v>95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</row>
    <row r="33" spans="1:38" ht="16.5" customHeight="1" outlineLevel="1" x14ac:dyDescent="0.15">
      <c r="A33" s="89">
        <v>45474</v>
      </c>
      <c r="B33" s="77"/>
      <c r="C33" s="77"/>
      <c r="D33" s="121" t="s">
        <v>81</v>
      </c>
      <c r="E33" s="121"/>
      <c r="F33" s="97" t="s">
        <v>96</v>
      </c>
      <c r="G33" s="97" t="s">
        <v>97</v>
      </c>
      <c r="H33" s="97" t="s">
        <v>98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</row>
    <row r="34" spans="1:38" ht="16.5" customHeight="1" outlineLevel="1" x14ac:dyDescent="0.15">
      <c r="A34" s="77"/>
      <c r="B34" s="77"/>
      <c r="C34" s="77"/>
      <c r="D34" s="114"/>
      <c r="E34" s="77"/>
      <c r="F34" s="96"/>
      <c r="G34" s="206"/>
      <c r="H34" s="96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</row>
    <row r="35" spans="1:38" ht="16.5" customHeight="1" outlineLevel="1" x14ac:dyDescent="0.15">
      <c r="A35" s="77"/>
      <c r="B35" s="77"/>
      <c r="C35" s="77"/>
      <c r="D35" s="77" t="s">
        <v>100</v>
      </c>
      <c r="E35" s="77"/>
      <c r="F35" s="82">
        <v>11000000</v>
      </c>
      <c r="G35" s="115">
        <v>0.7</v>
      </c>
      <c r="H35" s="81">
        <f>F35*G35*$F$10</f>
        <v>247560.74857843542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</row>
    <row r="36" spans="1:38" ht="16.5" customHeight="1" outlineLevel="1" x14ac:dyDescent="0.15">
      <c r="A36" s="143"/>
      <c r="B36" s="143"/>
      <c r="C36" s="143"/>
      <c r="D36" s="77" t="s">
        <v>101</v>
      </c>
      <c r="E36" s="77"/>
      <c r="F36" s="13">
        <v>9200000</v>
      </c>
      <c r="G36" s="115">
        <v>2.7</v>
      </c>
      <c r="H36" s="81">
        <f>F36*G36*$F$10</f>
        <v>798624.54476471897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</row>
    <row r="37" spans="1:38" ht="16.5" customHeight="1" outlineLevel="1" x14ac:dyDescent="0.15">
      <c r="A37" s="77"/>
      <c r="B37" s="77"/>
      <c r="C37" s="77"/>
      <c r="D37" s="77" t="s">
        <v>102</v>
      </c>
      <c r="E37" s="77"/>
      <c r="F37" s="144">
        <f>SUM(F35:F36)</f>
        <v>20200000</v>
      </c>
      <c r="G37" s="19">
        <f>H37*$F$12/F37</f>
        <v>1.6108910891089108</v>
      </c>
      <c r="H37" s="12">
        <f>SUM(H35:H36)</f>
        <v>1046185.2933431544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</row>
    <row r="38" spans="1:38" ht="16.5" customHeight="1" outlineLevel="1" x14ac:dyDescent="0.15">
      <c r="A38" s="77"/>
      <c r="B38" s="77"/>
      <c r="C38" s="77"/>
      <c r="D38" s="77"/>
      <c r="E38" s="77"/>
      <c r="F38" s="77"/>
      <c r="G38" s="77"/>
      <c r="H38" s="77"/>
    </row>
    <row r="39" spans="1:38" ht="16.5" customHeight="1" outlineLevel="1" x14ac:dyDescent="0.15">
      <c r="A39" s="77" t="s">
        <v>273</v>
      </c>
      <c r="B39" s="77"/>
      <c r="C39" s="77"/>
      <c r="D39" s="86" t="s">
        <v>137</v>
      </c>
      <c r="E39" s="121"/>
      <c r="F39" s="121"/>
      <c r="G39" s="77"/>
      <c r="H39" s="77"/>
      <c r="I39" s="77"/>
    </row>
    <row r="40" spans="1:38" ht="16.5" customHeight="1" outlineLevel="1" x14ac:dyDescent="0.15">
      <c r="A40" s="89"/>
      <c r="B40" s="77"/>
      <c r="C40" s="77"/>
      <c r="D40" s="77" t="s">
        <v>141</v>
      </c>
      <c r="E40" s="77"/>
      <c r="F40" s="26">
        <v>0.3</v>
      </c>
      <c r="G40" s="77"/>
      <c r="H40" s="77"/>
      <c r="I40" s="77"/>
    </row>
    <row r="41" spans="1:38" outlineLevel="1" x14ac:dyDescent="0.15">
      <c r="A41" s="77"/>
      <c r="B41" s="77"/>
      <c r="C41" s="77"/>
      <c r="D41" s="77"/>
      <c r="E41" s="77"/>
      <c r="F41" s="77"/>
      <c r="G41" s="77"/>
      <c r="H41" s="77"/>
      <c r="I41" s="77"/>
    </row>
    <row r="42" spans="1:38" outlineLevel="1" x14ac:dyDescent="0.15">
      <c r="A42" s="77"/>
      <c r="B42" s="77"/>
      <c r="C42" s="77"/>
      <c r="D42" s="77" t="s">
        <v>262</v>
      </c>
      <c r="E42" s="77"/>
      <c r="F42" s="83">
        <v>3.1E-2</v>
      </c>
      <c r="G42" s="77"/>
      <c r="H42" s="77"/>
      <c r="I42" s="77"/>
    </row>
    <row r="43" spans="1:38" outlineLevel="1" x14ac:dyDescent="0.15">
      <c r="A43" s="77"/>
      <c r="B43" s="77"/>
      <c r="C43" s="77"/>
      <c r="D43" s="77" t="s">
        <v>263</v>
      </c>
      <c r="E43" s="77"/>
      <c r="F43" s="95">
        <v>1.06</v>
      </c>
      <c r="G43" s="77"/>
      <c r="H43" s="77"/>
      <c r="I43" s="77"/>
    </row>
    <row r="44" spans="1:38" outlineLevel="1" x14ac:dyDescent="0.15">
      <c r="A44" s="77"/>
      <c r="B44" s="77"/>
      <c r="C44" s="77"/>
      <c r="D44" s="77" t="s">
        <v>264</v>
      </c>
      <c r="E44" s="77"/>
      <c r="F44" s="83">
        <v>4.5999999999999999E-2</v>
      </c>
      <c r="G44" s="77"/>
      <c r="H44" s="77"/>
      <c r="I44" s="77"/>
    </row>
    <row r="45" spans="1:38" outlineLevel="1" x14ac:dyDescent="0.15">
      <c r="A45" s="77"/>
      <c r="B45" s="77"/>
      <c r="C45" s="77"/>
      <c r="D45" s="77" t="s">
        <v>265</v>
      </c>
      <c r="E45" s="77"/>
      <c r="F45" s="83">
        <f>F42+F43*F44</f>
        <v>7.9759999999999998E-2</v>
      </c>
      <c r="G45" s="77"/>
      <c r="H45" s="77"/>
      <c r="I45" s="77"/>
    </row>
    <row r="46" spans="1:38" outlineLevel="1" x14ac:dyDescent="0.15">
      <c r="A46" s="77"/>
      <c r="B46" s="77"/>
      <c r="C46" s="77"/>
      <c r="D46" s="77" t="s">
        <v>266</v>
      </c>
      <c r="E46" s="77"/>
      <c r="F46" s="83">
        <f>0.008</f>
        <v>8.0000000000000002E-3</v>
      </c>
      <c r="G46" s="77"/>
      <c r="H46" s="77"/>
      <c r="I46" s="77"/>
    </row>
    <row r="47" spans="1:38" outlineLevel="1" x14ac:dyDescent="0.15">
      <c r="A47" s="77"/>
      <c r="B47" s="77"/>
      <c r="C47" s="77"/>
      <c r="D47" s="77" t="s">
        <v>267</v>
      </c>
      <c r="E47" s="77"/>
      <c r="F47" s="83">
        <v>0.12</v>
      </c>
      <c r="G47" s="77"/>
      <c r="H47" s="77"/>
      <c r="I47" s="77"/>
    </row>
    <row r="48" spans="1:38" outlineLevel="1" x14ac:dyDescent="0.15">
      <c r="A48" s="77"/>
      <c r="B48" s="77"/>
      <c r="C48" s="77"/>
      <c r="D48" s="77" t="s">
        <v>147</v>
      </c>
      <c r="E48" s="77"/>
      <c r="F48" s="83">
        <f>F47*F46*(1-F40)+F45*(1-F46)</f>
        <v>7.9793920000000004E-2</v>
      </c>
      <c r="G48" s="77"/>
      <c r="H48" s="77"/>
      <c r="I48" s="77"/>
    </row>
    <row r="49" spans="1:38" outlineLevel="1" x14ac:dyDescent="0.15">
      <c r="A49" s="77"/>
      <c r="B49" s="77"/>
      <c r="C49" s="77"/>
      <c r="D49" s="77" t="s">
        <v>148</v>
      </c>
      <c r="E49" s="77"/>
      <c r="F49" s="83">
        <v>2.4E-2</v>
      </c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</row>
    <row r="50" spans="1:38" outlineLevel="1" x14ac:dyDescent="0.15">
      <c r="A50" s="77"/>
      <c r="B50" s="77"/>
      <c r="C50" s="77"/>
      <c r="D50" s="6" t="s">
        <v>149</v>
      </c>
      <c r="E50" s="77"/>
      <c r="F50" s="83">
        <f>F48-F49</f>
        <v>5.5793920000000004E-2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</row>
    <row r="51" spans="1:38" outlineLevel="1" x14ac:dyDescent="0.15">
      <c r="A51" s="77"/>
      <c r="B51" s="77"/>
      <c r="C51" s="77"/>
      <c r="D51" s="6"/>
      <c r="E51" s="77"/>
      <c r="F51" s="83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</row>
    <row r="52" spans="1:38" outlineLevel="1" x14ac:dyDescent="0.15">
      <c r="A52" s="77"/>
      <c r="B52" s="77"/>
      <c r="C52" s="77"/>
      <c r="D52" s="6" t="s">
        <v>150</v>
      </c>
      <c r="E52" s="77"/>
      <c r="F52" s="95">
        <v>1.54</v>
      </c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</row>
    <row r="53" spans="1:38" outlineLevel="1" x14ac:dyDescent="0.15">
      <c r="A53" s="77"/>
      <c r="B53" s="77"/>
      <c r="C53" s="77"/>
      <c r="D53" s="6"/>
      <c r="E53" s="77"/>
      <c r="F53" s="83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</row>
    <row r="54" spans="1:38" outlineLevel="1" x14ac:dyDescent="0.15">
      <c r="A54" s="77"/>
      <c r="B54" s="77"/>
      <c r="C54" s="77"/>
      <c r="D54" s="6" t="s">
        <v>151</v>
      </c>
      <c r="E54" s="77"/>
      <c r="F54" s="53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</row>
    <row r="55" spans="1:38" ht="13.5" customHeight="1" x14ac:dyDescent="0.1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</row>
    <row r="56" spans="1:38" s="50" customFormat="1" ht="18.75" customHeight="1" x14ac:dyDescent="0.2">
      <c r="A56" s="107" t="s">
        <v>152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</row>
    <row r="57" spans="1:38" s="33" customFormat="1" outlineLevel="1" x14ac:dyDescent="0.15">
      <c r="A57" s="73" t="s">
        <v>166</v>
      </c>
      <c r="B57" s="74"/>
      <c r="C57" s="74"/>
      <c r="D57" s="75"/>
      <c r="E57" s="75"/>
      <c r="F57" s="74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</row>
    <row r="58" spans="1:38" s="33" customFormat="1" outlineLevel="1" x14ac:dyDescent="0.15">
      <c r="A58" s="78"/>
      <c r="B58" s="78"/>
      <c r="C58" s="78"/>
      <c r="D58" s="79"/>
      <c r="E58" s="150"/>
      <c r="F58" s="152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</row>
    <row r="59" spans="1:38" s="33" customFormat="1" outlineLevel="1" x14ac:dyDescent="0.15">
      <c r="A59" s="78" t="s">
        <v>167</v>
      </c>
      <c r="B59" s="78"/>
      <c r="C59" s="78"/>
      <c r="D59" s="79"/>
      <c r="E59" s="150"/>
      <c r="F59" s="152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</row>
    <row r="60" spans="1:38" s="33" customFormat="1" outlineLevel="1" x14ac:dyDescent="0.15">
      <c r="A60" s="78"/>
      <c r="B60" s="114"/>
      <c r="C60" s="78"/>
      <c r="D60" s="79" t="s">
        <v>156</v>
      </c>
      <c r="E60" s="150">
        <f>IFERROR(AVERAGE(G60:P60),"na")</f>
        <v>0</v>
      </c>
      <c r="F60" s="152">
        <f>SUM(G60:P60)</f>
        <v>0</v>
      </c>
      <c r="G60" s="78">
        <f t="shared" ref="G60:AL60" si="5">G27</f>
        <v>0</v>
      </c>
      <c r="H60" s="78">
        <f t="shared" si="5"/>
        <v>0</v>
      </c>
      <c r="I60" s="78">
        <f t="shared" si="5"/>
        <v>0</v>
      </c>
      <c r="J60" s="78">
        <f t="shared" si="5"/>
        <v>0</v>
      </c>
      <c r="K60" s="78">
        <f t="shared" si="5"/>
        <v>0</v>
      </c>
      <c r="L60" s="78">
        <f t="shared" si="5"/>
        <v>0</v>
      </c>
      <c r="M60" s="78">
        <f t="shared" si="5"/>
        <v>0</v>
      </c>
      <c r="N60" s="78">
        <f t="shared" si="5"/>
        <v>0</v>
      </c>
      <c r="O60" s="78">
        <f t="shared" si="5"/>
        <v>0</v>
      </c>
      <c r="P60" s="78">
        <f t="shared" si="5"/>
        <v>0</v>
      </c>
      <c r="Q60" s="78">
        <f t="shared" si="5"/>
        <v>0</v>
      </c>
      <c r="R60" s="78">
        <f t="shared" si="5"/>
        <v>0</v>
      </c>
      <c r="S60" s="78">
        <f t="shared" si="5"/>
        <v>0</v>
      </c>
      <c r="T60" s="78">
        <f t="shared" si="5"/>
        <v>0</v>
      </c>
      <c r="U60" s="78">
        <f t="shared" si="5"/>
        <v>0</v>
      </c>
      <c r="V60" s="78">
        <f t="shared" si="5"/>
        <v>0</v>
      </c>
      <c r="W60" s="78">
        <f t="shared" si="5"/>
        <v>0</v>
      </c>
      <c r="X60" s="78">
        <f t="shared" si="5"/>
        <v>0</v>
      </c>
      <c r="Y60" s="78">
        <f t="shared" si="5"/>
        <v>0</v>
      </c>
      <c r="Z60" s="78">
        <f t="shared" si="5"/>
        <v>0</v>
      </c>
      <c r="AA60" s="78">
        <f t="shared" si="5"/>
        <v>0</v>
      </c>
      <c r="AB60" s="78">
        <f t="shared" si="5"/>
        <v>0</v>
      </c>
      <c r="AC60" s="78">
        <f t="shared" si="5"/>
        <v>0</v>
      </c>
      <c r="AD60" s="78">
        <f t="shared" si="5"/>
        <v>0</v>
      </c>
      <c r="AE60" s="78">
        <f t="shared" si="5"/>
        <v>0</v>
      </c>
      <c r="AF60" s="78">
        <f t="shared" si="5"/>
        <v>0</v>
      </c>
      <c r="AG60" s="78">
        <f t="shared" si="5"/>
        <v>0</v>
      </c>
      <c r="AH60" s="78">
        <f t="shared" si="5"/>
        <v>0</v>
      </c>
      <c r="AI60" s="78">
        <f t="shared" si="5"/>
        <v>0</v>
      </c>
      <c r="AJ60" s="78">
        <f t="shared" si="5"/>
        <v>0</v>
      </c>
      <c r="AK60" s="78">
        <f t="shared" si="5"/>
        <v>0</v>
      </c>
      <c r="AL60" s="78">
        <f t="shared" si="5"/>
        <v>0</v>
      </c>
    </row>
    <row r="61" spans="1:38" s="33" customFormat="1" outlineLevel="1" x14ac:dyDescent="0.15">
      <c r="A61" s="78" t="s">
        <v>92</v>
      </c>
      <c r="B61" s="78"/>
      <c r="C61" s="78"/>
      <c r="D61" s="79"/>
      <c r="E61" s="79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</row>
    <row r="62" spans="1:38" s="33" customFormat="1" outlineLevel="1" x14ac:dyDescent="0.15">
      <c r="A62" s="78"/>
      <c r="B62" s="114"/>
      <c r="C62" s="78"/>
      <c r="D62" s="79" t="s">
        <v>93</v>
      </c>
      <c r="E62" s="159" t="str">
        <f>IFERROR(AVERAGE(G62:P62),"na")</f>
        <v>na</v>
      </c>
      <c r="F62" s="160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33" customFormat="1" outlineLevel="1" x14ac:dyDescent="0.15">
      <c r="A63" s="78" t="s">
        <v>168</v>
      </c>
      <c r="B63" s="78"/>
      <c r="C63" s="78"/>
      <c r="D63" s="78"/>
      <c r="E63" s="79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</row>
    <row r="64" spans="1:38" s="33" customFormat="1" outlineLevel="1" x14ac:dyDescent="0.15">
      <c r="A64" s="78"/>
      <c r="B64" s="114"/>
      <c r="C64" s="78"/>
      <c r="D64" s="79" t="s">
        <v>165</v>
      </c>
      <c r="E64" s="150">
        <f>IFERROR(AVERAGE(G64:AL64),"na")</f>
        <v>35000</v>
      </c>
      <c r="F64" s="152">
        <f>SUM(G64:K64)</f>
        <v>1120000</v>
      </c>
      <c r="G64" s="13">
        <v>280000</v>
      </c>
      <c r="H64" s="13">
        <v>280000</v>
      </c>
      <c r="I64" s="13">
        <v>280000</v>
      </c>
      <c r="J64" s="13">
        <v>280000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</row>
    <row r="65" spans="1:38" s="37" customFormat="1" outlineLevel="1" x14ac:dyDescent="0.15">
      <c r="B65" s="10" t="s">
        <v>64</v>
      </c>
      <c r="C65" s="42"/>
      <c r="D65" s="166" t="s">
        <v>165</v>
      </c>
      <c r="E65" s="150">
        <f>IFERROR(AVERAGE(G65:P65),"na")</f>
        <v>112000</v>
      </c>
      <c r="F65" s="152">
        <f>SUM(G65:AL65)</f>
        <v>1120000</v>
      </c>
      <c r="G65" s="42">
        <f t="shared" ref="G65:AL65" si="6">SUM(G64:G64)</f>
        <v>280000</v>
      </c>
      <c r="H65" s="42">
        <f t="shared" si="6"/>
        <v>280000</v>
      </c>
      <c r="I65" s="42">
        <f t="shared" si="6"/>
        <v>280000</v>
      </c>
      <c r="J65" s="42">
        <f t="shared" si="6"/>
        <v>280000</v>
      </c>
      <c r="K65" s="42">
        <f t="shared" si="6"/>
        <v>0</v>
      </c>
      <c r="L65" s="42">
        <f t="shared" si="6"/>
        <v>0</v>
      </c>
      <c r="M65" s="42">
        <f t="shared" si="6"/>
        <v>0</v>
      </c>
      <c r="N65" s="42">
        <f t="shared" si="6"/>
        <v>0</v>
      </c>
      <c r="O65" s="42">
        <f t="shared" si="6"/>
        <v>0</v>
      </c>
      <c r="P65" s="42">
        <f t="shared" si="6"/>
        <v>0</v>
      </c>
      <c r="Q65" s="42">
        <f t="shared" si="6"/>
        <v>0</v>
      </c>
      <c r="R65" s="42">
        <f t="shared" si="6"/>
        <v>0</v>
      </c>
      <c r="S65" s="42">
        <f t="shared" si="6"/>
        <v>0</v>
      </c>
      <c r="T65" s="42">
        <f t="shared" si="6"/>
        <v>0</v>
      </c>
      <c r="U65" s="42">
        <f t="shared" si="6"/>
        <v>0</v>
      </c>
      <c r="V65" s="42">
        <f t="shared" si="6"/>
        <v>0</v>
      </c>
      <c r="W65" s="42">
        <f t="shared" si="6"/>
        <v>0</v>
      </c>
      <c r="X65" s="42">
        <f t="shared" si="6"/>
        <v>0</v>
      </c>
      <c r="Y65" s="42">
        <f t="shared" si="6"/>
        <v>0</v>
      </c>
      <c r="Z65" s="42">
        <f t="shared" si="6"/>
        <v>0</v>
      </c>
      <c r="AA65" s="42">
        <f t="shared" si="6"/>
        <v>0</v>
      </c>
      <c r="AB65" s="42">
        <f t="shared" si="6"/>
        <v>0</v>
      </c>
      <c r="AC65" s="42">
        <f t="shared" si="6"/>
        <v>0</v>
      </c>
      <c r="AD65" s="42">
        <f t="shared" si="6"/>
        <v>0</v>
      </c>
      <c r="AE65" s="42">
        <f t="shared" si="6"/>
        <v>0</v>
      </c>
      <c r="AF65" s="42">
        <f t="shared" si="6"/>
        <v>0</v>
      </c>
      <c r="AG65" s="42">
        <f t="shared" si="6"/>
        <v>0</v>
      </c>
      <c r="AH65" s="42">
        <f t="shared" si="6"/>
        <v>0</v>
      </c>
      <c r="AI65" s="42">
        <f t="shared" si="6"/>
        <v>0</v>
      </c>
      <c r="AJ65" s="42">
        <f t="shared" si="6"/>
        <v>0</v>
      </c>
      <c r="AK65" s="42">
        <f t="shared" si="6"/>
        <v>0</v>
      </c>
      <c r="AL65" s="42">
        <f t="shared" si="6"/>
        <v>0</v>
      </c>
    </row>
    <row r="66" spans="1:38" s="37" customFormat="1" outlineLevel="1" x14ac:dyDescent="0.15">
      <c r="B66" s="114"/>
      <c r="D66" s="79"/>
      <c r="E66" s="150"/>
      <c r="F66" s="152"/>
    </row>
    <row r="67" spans="1:38" s="37" customFormat="1" outlineLevel="1" x14ac:dyDescent="0.15">
      <c r="A67" s="78" t="s">
        <v>114</v>
      </c>
      <c r="E67" s="38"/>
    </row>
    <row r="68" spans="1:38" s="33" customFormat="1" outlineLevel="1" x14ac:dyDescent="0.15">
      <c r="A68" s="78"/>
      <c r="B68" s="78" t="s">
        <v>81</v>
      </c>
      <c r="C68" s="78"/>
      <c r="D68" s="79" t="s">
        <v>165</v>
      </c>
      <c r="E68" s="161">
        <f>IFERROR(AVERAGE(G68:P68),"na")</f>
        <v>0.99</v>
      </c>
      <c r="F68" s="162" t="s">
        <v>157</v>
      </c>
      <c r="G68" s="85">
        <v>0.99</v>
      </c>
      <c r="H68" s="85">
        <v>0.99</v>
      </c>
      <c r="I68" s="85">
        <v>0.99</v>
      </c>
      <c r="J68" s="85">
        <v>0.99</v>
      </c>
      <c r="K68" s="85">
        <v>0.99</v>
      </c>
      <c r="L68" s="85">
        <v>0.99</v>
      </c>
      <c r="M68" s="85">
        <v>0.99</v>
      </c>
      <c r="N68" s="85">
        <v>0.99</v>
      </c>
      <c r="O68" s="85">
        <v>0.99</v>
      </c>
      <c r="P68" s="85">
        <v>0.99</v>
      </c>
      <c r="Q68" s="85">
        <v>0.99</v>
      </c>
      <c r="R68" s="85">
        <v>0.99</v>
      </c>
      <c r="S68" s="85">
        <v>0.99</v>
      </c>
      <c r="T68" s="85">
        <v>0.99</v>
      </c>
      <c r="U68" s="85">
        <v>0.99</v>
      </c>
      <c r="V68" s="85">
        <v>0.99</v>
      </c>
      <c r="W68" s="85">
        <v>0.99</v>
      </c>
      <c r="X68" s="85">
        <v>0.99</v>
      </c>
      <c r="Y68" s="85">
        <v>0.99</v>
      </c>
      <c r="Z68" s="85">
        <v>0.99</v>
      </c>
      <c r="AA68" s="85">
        <v>0.99</v>
      </c>
      <c r="AB68" s="85">
        <v>0.99</v>
      </c>
      <c r="AC68" s="85">
        <v>0.99</v>
      </c>
      <c r="AD68" s="85">
        <v>0.99</v>
      </c>
      <c r="AE68" s="85">
        <v>0.99</v>
      </c>
      <c r="AF68" s="85">
        <v>0.99</v>
      </c>
      <c r="AG68" s="85">
        <v>0.99</v>
      </c>
      <c r="AH68" s="85">
        <v>0.99</v>
      </c>
      <c r="AI68" s="85">
        <v>0.99</v>
      </c>
      <c r="AJ68" s="85">
        <v>0.99</v>
      </c>
      <c r="AK68" s="85">
        <v>0.99</v>
      </c>
      <c r="AL68" s="85">
        <v>0.99</v>
      </c>
    </row>
    <row r="69" spans="1:38" s="33" customFormat="1" outlineLevel="1" x14ac:dyDescent="0.15">
      <c r="A69" s="78"/>
      <c r="B69" s="78"/>
      <c r="C69" s="78"/>
      <c r="D69" s="79"/>
      <c r="E69" s="79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</row>
    <row r="70" spans="1:38" s="33" customFormat="1" outlineLevel="1" x14ac:dyDescent="0.15">
      <c r="A70" s="78" t="s">
        <v>169</v>
      </c>
      <c r="B70" s="78"/>
      <c r="C70" s="78"/>
      <c r="D70" s="79"/>
      <c r="E70" s="79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</row>
    <row r="71" spans="1:38" s="33" customFormat="1" outlineLevel="1" x14ac:dyDescent="0.15">
      <c r="A71" s="78"/>
      <c r="B71" s="78" t="s">
        <v>81</v>
      </c>
      <c r="C71" s="78"/>
      <c r="D71" s="79" t="s">
        <v>165</v>
      </c>
      <c r="E71" s="150">
        <f>IFERROR(AVERAGE(G71:P71),"na")</f>
        <v>110880</v>
      </c>
      <c r="F71" s="152">
        <f>SUM(G71:P71)</f>
        <v>1108800</v>
      </c>
      <c r="G71" s="78" cm="1">
        <f t="array" ref="G71">SUM(G64:G64*G68)</f>
        <v>277200</v>
      </c>
      <c r="H71" s="78" cm="1">
        <f t="array" ref="H71">SUM(H64:H64*H68)</f>
        <v>277200</v>
      </c>
      <c r="I71" s="78" cm="1">
        <f t="array" ref="I71">SUM(I64:I64*I68)</f>
        <v>277200</v>
      </c>
      <c r="J71" s="78" cm="1">
        <f t="array" ref="J71">SUM(J64:J64*J68)</f>
        <v>277200</v>
      </c>
      <c r="K71" s="78" cm="1">
        <f t="array" ref="K71">SUM(K64:K64*K68)</f>
        <v>0</v>
      </c>
      <c r="L71" s="78" cm="1">
        <f t="array" ref="L71">SUM(L64:L64*L68)</f>
        <v>0</v>
      </c>
      <c r="M71" s="78" cm="1">
        <f t="array" ref="M71">SUM(M64:M64*M68)</f>
        <v>0</v>
      </c>
      <c r="N71" s="78" cm="1">
        <f t="array" ref="N71">SUM(N64:N64*N68)</f>
        <v>0</v>
      </c>
      <c r="O71" s="78" cm="1">
        <f t="array" ref="O71">SUM(O64:O64*O68)</f>
        <v>0</v>
      </c>
      <c r="P71" s="78" cm="1">
        <f t="array" ref="P71">SUM(P64:P64*P68)</f>
        <v>0</v>
      </c>
      <c r="Q71" s="78" cm="1">
        <f t="array" ref="Q71">SUM(Q64:Q64*Q68)</f>
        <v>0</v>
      </c>
      <c r="R71" s="78" cm="1">
        <f t="array" ref="R71">SUM(R64:R64*R68)</f>
        <v>0</v>
      </c>
      <c r="S71" s="78" cm="1">
        <f t="array" ref="S71">SUM(S64:S64*S68)</f>
        <v>0</v>
      </c>
      <c r="T71" s="78" cm="1">
        <f t="array" ref="T71">SUM(T64:T64*T68)</f>
        <v>0</v>
      </c>
      <c r="U71" s="78" cm="1">
        <f t="array" ref="U71">SUM(U64:U64*U68)</f>
        <v>0</v>
      </c>
      <c r="V71" s="78" cm="1">
        <f t="array" ref="V71">SUM(V64:V64*V68)</f>
        <v>0</v>
      </c>
      <c r="W71" s="78" cm="1">
        <f t="array" ref="W71">SUM(W64:W64*W68)</f>
        <v>0</v>
      </c>
      <c r="X71" s="78" cm="1">
        <f t="array" ref="X71">SUM(X64:X64*X68)</f>
        <v>0</v>
      </c>
      <c r="Y71" s="78" cm="1">
        <f t="array" ref="Y71">SUM(Y64:Y64*Y68)</f>
        <v>0</v>
      </c>
      <c r="Z71" s="78" cm="1">
        <f t="array" ref="Z71">SUM(Z64:Z64*Z68)</f>
        <v>0</v>
      </c>
      <c r="AA71" s="78" cm="1">
        <f t="array" ref="AA71">SUM(AA64:AA64*AA68)</f>
        <v>0</v>
      </c>
      <c r="AB71" s="78" cm="1">
        <f t="array" ref="AB71">SUM(AB64:AB64*AB68)</f>
        <v>0</v>
      </c>
      <c r="AC71" s="78" cm="1">
        <f t="array" ref="AC71">SUM(AC64:AC64*AC68)</f>
        <v>0</v>
      </c>
      <c r="AD71" s="78" cm="1">
        <f t="array" ref="AD71">SUM(AD64:AD64*AD68)</f>
        <v>0</v>
      </c>
      <c r="AE71" s="78" cm="1">
        <f t="array" ref="AE71">SUM(AE64:AE64*AE68)</f>
        <v>0</v>
      </c>
      <c r="AF71" s="78" cm="1">
        <f t="array" ref="AF71">SUM(AF64:AF64*AF68)</f>
        <v>0</v>
      </c>
      <c r="AG71" s="78" cm="1">
        <f t="array" ref="AG71">SUM(AG64:AG64*AG68)</f>
        <v>0</v>
      </c>
      <c r="AH71" s="78" cm="1">
        <f t="array" ref="AH71">SUM(AH64:AH64*AH68)</f>
        <v>0</v>
      </c>
      <c r="AI71" s="78" cm="1">
        <f t="array" ref="AI71">SUM(AI64:AI64*AI68)</f>
        <v>0</v>
      </c>
      <c r="AJ71" s="78" cm="1">
        <f t="array" ref="AJ71">SUM(AJ64:AJ64*AJ68)</f>
        <v>0</v>
      </c>
      <c r="AK71" s="78" cm="1">
        <f t="array" ref="AK71">SUM(AK64:AK64*AK68)</f>
        <v>0</v>
      </c>
      <c r="AL71" s="78" cm="1">
        <f t="array" ref="AL71">SUM(AL64:AL64*AL68)</f>
        <v>0</v>
      </c>
    </row>
    <row r="72" spans="1:38" s="33" customFormat="1" outlineLevel="1" x14ac:dyDescent="0.15">
      <c r="A72" s="78"/>
      <c r="B72" s="78"/>
      <c r="C72" s="78"/>
      <c r="D72" s="79"/>
      <c r="E72" s="79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</row>
    <row r="73" spans="1:38" s="33" customFormat="1" x14ac:dyDescent="0.15">
      <c r="A73" s="78"/>
      <c r="B73" s="78"/>
      <c r="C73" s="78"/>
      <c r="D73" s="79"/>
      <c r="E73" s="79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</row>
    <row r="74" spans="1:38" s="50" customFormat="1" ht="18.75" customHeight="1" x14ac:dyDescent="0.2">
      <c r="A74" s="107" t="s">
        <v>4</v>
      </c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</row>
    <row r="75" spans="1:38" s="39" customFormat="1" ht="16.5" customHeight="1" outlineLevel="1" x14ac:dyDescent="0.15">
      <c r="D75" s="40"/>
      <c r="E75" s="40"/>
      <c r="F75" s="40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</row>
    <row r="76" spans="1:38" s="29" customFormat="1" outlineLevel="1" x14ac:dyDescent="0.15">
      <c r="A76" s="28" t="s">
        <v>78</v>
      </c>
      <c r="B76" s="80"/>
      <c r="C76" s="80"/>
      <c r="D76" s="149"/>
      <c r="E76" s="149"/>
      <c r="F76" s="149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</row>
    <row r="77" spans="1:38" s="29" customFormat="1" outlineLevel="1" x14ac:dyDescent="0.15">
      <c r="A77" s="80"/>
      <c r="B77" s="80" t="s">
        <v>81</v>
      </c>
      <c r="C77" s="80"/>
      <c r="D77" s="149" t="s">
        <v>125</v>
      </c>
      <c r="E77" s="150">
        <f>IFERROR(AVERAGE(G77:P77),"na")</f>
        <v>2100</v>
      </c>
      <c r="F77" s="163" t="s">
        <v>157</v>
      </c>
      <c r="G77" s="164">
        <f t="shared" ref="G77:AL77" si="7">G22</f>
        <v>2100</v>
      </c>
      <c r="H77" s="164">
        <f t="shared" si="7"/>
        <v>2100</v>
      </c>
      <c r="I77" s="164">
        <f t="shared" si="7"/>
        <v>2100</v>
      </c>
      <c r="J77" s="164">
        <f t="shared" si="7"/>
        <v>2100</v>
      </c>
      <c r="K77" s="164">
        <f t="shared" si="7"/>
        <v>2100</v>
      </c>
      <c r="L77" s="164">
        <f t="shared" si="7"/>
        <v>2100</v>
      </c>
      <c r="M77" s="164">
        <f t="shared" si="7"/>
        <v>2100</v>
      </c>
      <c r="N77" s="164">
        <f t="shared" si="7"/>
        <v>2100</v>
      </c>
      <c r="O77" s="164">
        <f t="shared" si="7"/>
        <v>2100</v>
      </c>
      <c r="P77" s="164">
        <f t="shared" si="7"/>
        <v>2100</v>
      </c>
      <c r="Q77" s="164">
        <f t="shared" si="7"/>
        <v>2100</v>
      </c>
      <c r="R77" s="164">
        <f t="shared" si="7"/>
        <v>2100</v>
      </c>
      <c r="S77" s="164">
        <f t="shared" si="7"/>
        <v>2100</v>
      </c>
      <c r="T77" s="164">
        <f t="shared" si="7"/>
        <v>2100</v>
      </c>
      <c r="U77" s="164">
        <f t="shared" si="7"/>
        <v>2100</v>
      </c>
      <c r="V77" s="164">
        <f t="shared" si="7"/>
        <v>2100</v>
      </c>
      <c r="W77" s="164">
        <f t="shared" si="7"/>
        <v>2100</v>
      </c>
      <c r="X77" s="164">
        <f t="shared" si="7"/>
        <v>2100</v>
      </c>
      <c r="Y77" s="164">
        <f t="shared" si="7"/>
        <v>2100</v>
      </c>
      <c r="Z77" s="164">
        <f t="shared" si="7"/>
        <v>2100</v>
      </c>
      <c r="AA77" s="164">
        <f t="shared" si="7"/>
        <v>2100</v>
      </c>
      <c r="AB77" s="164">
        <f t="shared" si="7"/>
        <v>2100</v>
      </c>
      <c r="AC77" s="164">
        <f t="shared" si="7"/>
        <v>2100</v>
      </c>
      <c r="AD77" s="164">
        <f t="shared" si="7"/>
        <v>2100</v>
      </c>
      <c r="AE77" s="164">
        <f t="shared" si="7"/>
        <v>2100</v>
      </c>
      <c r="AF77" s="164">
        <f t="shared" si="7"/>
        <v>2100</v>
      </c>
      <c r="AG77" s="164">
        <f t="shared" si="7"/>
        <v>2100</v>
      </c>
      <c r="AH77" s="164">
        <f t="shared" si="7"/>
        <v>2100</v>
      </c>
      <c r="AI77" s="164">
        <f t="shared" si="7"/>
        <v>2100</v>
      </c>
      <c r="AJ77" s="164">
        <f t="shared" si="7"/>
        <v>2100</v>
      </c>
      <c r="AK77" s="164">
        <f t="shared" si="7"/>
        <v>2100</v>
      </c>
      <c r="AL77" s="164">
        <f t="shared" si="7"/>
        <v>2100</v>
      </c>
    </row>
    <row r="78" spans="1:38" s="29" customFormat="1" outlineLevel="1" x14ac:dyDescent="0.15">
      <c r="A78" s="80"/>
      <c r="B78" s="80"/>
      <c r="C78" s="80"/>
      <c r="D78" s="149"/>
      <c r="E78" s="149"/>
      <c r="F78" s="149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</row>
    <row r="79" spans="1:38" s="33" customFormat="1" outlineLevel="1" x14ac:dyDescent="0.15">
      <c r="A79" s="28" t="s">
        <v>169</v>
      </c>
      <c r="B79" s="78"/>
      <c r="C79" s="78"/>
      <c r="D79" s="78"/>
      <c r="E79" s="79"/>
      <c r="F79" s="79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</row>
    <row r="80" spans="1:38" s="37" customFormat="1" outlineLevel="1" x14ac:dyDescent="0.15">
      <c r="B80" s="80" t="s">
        <v>81</v>
      </c>
      <c r="D80" s="79" t="s">
        <v>165</v>
      </c>
      <c r="E80" s="150">
        <f>IFERROR(AVERAGE(G80:P80),"na")</f>
        <v>110880</v>
      </c>
      <c r="F80" s="150">
        <f>SUM(G80:P80)</f>
        <v>1108800</v>
      </c>
      <c r="G80" s="13">
        <f t="shared" ref="G80:AL80" si="8">G71</f>
        <v>277200</v>
      </c>
      <c r="H80" s="13">
        <f t="shared" si="8"/>
        <v>277200</v>
      </c>
      <c r="I80" s="13">
        <f t="shared" si="8"/>
        <v>277200</v>
      </c>
      <c r="J80" s="13">
        <f t="shared" si="8"/>
        <v>277200</v>
      </c>
      <c r="K80" s="13">
        <f t="shared" si="8"/>
        <v>0</v>
      </c>
      <c r="L80" s="13">
        <f t="shared" si="8"/>
        <v>0</v>
      </c>
      <c r="M80" s="13">
        <f t="shared" si="8"/>
        <v>0</v>
      </c>
      <c r="N80" s="13">
        <f t="shared" si="8"/>
        <v>0</v>
      </c>
      <c r="O80" s="13">
        <f t="shared" si="8"/>
        <v>0</v>
      </c>
      <c r="P80" s="13">
        <f t="shared" si="8"/>
        <v>0</v>
      </c>
      <c r="Q80" s="13">
        <f t="shared" si="8"/>
        <v>0</v>
      </c>
      <c r="R80" s="13">
        <f t="shared" si="8"/>
        <v>0</v>
      </c>
      <c r="S80" s="13">
        <f t="shared" si="8"/>
        <v>0</v>
      </c>
      <c r="T80" s="13">
        <f t="shared" si="8"/>
        <v>0</v>
      </c>
      <c r="U80" s="13">
        <f t="shared" si="8"/>
        <v>0</v>
      </c>
      <c r="V80" s="13">
        <f t="shared" si="8"/>
        <v>0</v>
      </c>
      <c r="W80" s="13">
        <f t="shared" si="8"/>
        <v>0</v>
      </c>
      <c r="X80" s="13">
        <f t="shared" si="8"/>
        <v>0</v>
      </c>
      <c r="Y80" s="13">
        <f t="shared" si="8"/>
        <v>0</v>
      </c>
      <c r="Z80" s="13">
        <f t="shared" si="8"/>
        <v>0</v>
      </c>
      <c r="AA80" s="13">
        <f t="shared" si="8"/>
        <v>0</v>
      </c>
      <c r="AB80" s="13">
        <f t="shared" si="8"/>
        <v>0</v>
      </c>
      <c r="AC80" s="13">
        <f t="shared" si="8"/>
        <v>0</v>
      </c>
      <c r="AD80" s="13">
        <f t="shared" si="8"/>
        <v>0</v>
      </c>
      <c r="AE80" s="13">
        <f t="shared" si="8"/>
        <v>0</v>
      </c>
      <c r="AF80" s="13">
        <f t="shared" si="8"/>
        <v>0</v>
      </c>
      <c r="AG80" s="13">
        <f t="shared" si="8"/>
        <v>0</v>
      </c>
      <c r="AH80" s="13">
        <f t="shared" si="8"/>
        <v>0</v>
      </c>
      <c r="AI80" s="13">
        <f t="shared" si="8"/>
        <v>0</v>
      </c>
      <c r="AJ80" s="13">
        <f t="shared" si="8"/>
        <v>0</v>
      </c>
      <c r="AK80" s="13">
        <f t="shared" si="8"/>
        <v>0</v>
      </c>
      <c r="AL80" s="13">
        <f t="shared" si="8"/>
        <v>0</v>
      </c>
    </row>
    <row r="81" spans="1:38" s="29" customFormat="1" outlineLevel="1" x14ac:dyDescent="0.15">
      <c r="A81" s="80"/>
      <c r="B81" s="80"/>
      <c r="C81" s="80"/>
      <c r="D81" s="149"/>
      <c r="E81" s="150"/>
      <c r="F81" s="163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:38" s="29" customFormat="1" outlineLevel="1" x14ac:dyDescent="0.15">
      <c r="A82" s="28" t="s">
        <v>170</v>
      </c>
      <c r="B82" s="80"/>
      <c r="C82" s="80"/>
      <c r="D82" s="149"/>
      <c r="E82" s="150"/>
      <c r="F82" s="163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:38" s="29" customFormat="1" outlineLevel="1" x14ac:dyDescent="0.15">
      <c r="A83" s="80"/>
      <c r="B83" s="80" t="s">
        <v>167</v>
      </c>
      <c r="C83" s="80"/>
      <c r="D83" s="149" t="s">
        <v>156</v>
      </c>
      <c r="E83" s="150" t="str">
        <f>IFERROR(AVERAGE(G83:P83),"na")</f>
        <v>na</v>
      </c>
      <c r="F83" s="150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</row>
    <row r="84" spans="1:38" s="37" customFormat="1" outlineLevel="1" x14ac:dyDescent="0.15">
      <c r="E84" s="38"/>
      <c r="F84" s="150"/>
    </row>
    <row r="85" spans="1:38" s="37" customFormat="1" outlineLevel="1" x14ac:dyDescent="0.15">
      <c r="E85" s="38"/>
      <c r="F85" s="38"/>
    </row>
    <row r="86" spans="1:38" s="33" customFormat="1" outlineLevel="1" x14ac:dyDescent="0.15">
      <c r="A86" s="70" t="s">
        <v>171</v>
      </c>
      <c r="B86" s="71"/>
      <c r="C86" s="71"/>
      <c r="D86" s="72"/>
      <c r="E86" s="72"/>
      <c r="F86" s="72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</row>
    <row r="87" spans="1:38" s="33" customFormat="1" outlineLevel="1" x14ac:dyDescent="0.15">
      <c r="A87" s="37"/>
      <c r="B87" s="78"/>
      <c r="C87" s="78"/>
      <c r="D87" s="79"/>
      <c r="E87" s="79"/>
      <c r="F87" s="79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</row>
    <row r="88" spans="1:38" s="33" customFormat="1" outlineLevel="1" x14ac:dyDescent="0.15">
      <c r="A88" s="78" t="s">
        <v>172</v>
      </c>
      <c r="B88" s="78"/>
      <c r="C88" s="78"/>
      <c r="D88" s="79"/>
      <c r="E88" s="79"/>
      <c r="F88" s="79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</row>
    <row r="89" spans="1:38" s="33" customFormat="1" outlineLevel="1" x14ac:dyDescent="0.15">
      <c r="A89" s="78"/>
      <c r="B89" s="78" t="s">
        <v>81</v>
      </c>
      <c r="C89" s="78"/>
      <c r="D89" s="79" t="s">
        <v>173</v>
      </c>
      <c r="E89" s="150">
        <f>IFERROR(AVERAGE(G89:P89),"na")</f>
        <v>232848000</v>
      </c>
      <c r="F89" s="150">
        <f>SUM(G89:P89)</f>
        <v>2328480000</v>
      </c>
      <c r="G89" s="78">
        <f>G80*G77</f>
        <v>582120000</v>
      </c>
      <c r="H89" s="78">
        <f t="shared" ref="H89:Q89" si="9">H80*H77</f>
        <v>582120000</v>
      </c>
      <c r="I89" s="78">
        <f t="shared" si="9"/>
        <v>582120000</v>
      </c>
      <c r="J89" s="78">
        <f t="shared" si="9"/>
        <v>582120000</v>
      </c>
      <c r="K89" s="78">
        <f t="shared" si="9"/>
        <v>0</v>
      </c>
      <c r="L89" s="78">
        <f t="shared" si="9"/>
        <v>0</v>
      </c>
      <c r="M89" s="78">
        <f t="shared" si="9"/>
        <v>0</v>
      </c>
      <c r="N89" s="78">
        <f t="shared" si="9"/>
        <v>0</v>
      </c>
      <c r="O89" s="78">
        <f t="shared" si="9"/>
        <v>0</v>
      </c>
      <c r="P89" s="78">
        <f t="shared" si="9"/>
        <v>0</v>
      </c>
      <c r="Q89" s="78">
        <f t="shared" si="9"/>
        <v>0</v>
      </c>
      <c r="R89" s="78">
        <f>R80*R77</f>
        <v>0</v>
      </c>
      <c r="S89" s="78">
        <f t="shared" ref="S89:AL89" si="10">S80*S77</f>
        <v>0</v>
      </c>
      <c r="T89" s="78">
        <f t="shared" si="10"/>
        <v>0</v>
      </c>
      <c r="U89" s="78">
        <f t="shared" si="10"/>
        <v>0</v>
      </c>
      <c r="V89" s="78">
        <f t="shared" si="10"/>
        <v>0</v>
      </c>
      <c r="W89" s="78">
        <f t="shared" si="10"/>
        <v>0</v>
      </c>
      <c r="X89" s="78">
        <f t="shared" si="10"/>
        <v>0</v>
      </c>
      <c r="Y89" s="78">
        <f t="shared" si="10"/>
        <v>0</v>
      </c>
      <c r="Z89" s="78">
        <f t="shared" si="10"/>
        <v>0</v>
      </c>
      <c r="AA89" s="78">
        <f t="shared" si="10"/>
        <v>0</v>
      </c>
      <c r="AB89" s="78">
        <f t="shared" si="10"/>
        <v>0</v>
      </c>
      <c r="AC89" s="78">
        <f t="shared" si="10"/>
        <v>0</v>
      </c>
      <c r="AD89" s="78">
        <f t="shared" si="10"/>
        <v>0</v>
      </c>
      <c r="AE89" s="78">
        <f t="shared" si="10"/>
        <v>0</v>
      </c>
      <c r="AF89" s="78">
        <f t="shared" si="10"/>
        <v>0</v>
      </c>
      <c r="AG89" s="78">
        <f t="shared" si="10"/>
        <v>0</v>
      </c>
      <c r="AH89" s="78">
        <f t="shared" si="10"/>
        <v>0</v>
      </c>
      <c r="AI89" s="78">
        <f t="shared" si="10"/>
        <v>0</v>
      </c>
      <c r="AJ89" s="78">
        <f t="shared" si="10"/>
        <v>0</v>
      </c>
      <c r="AK89" s="78">
        <f t="shared" si="10"/>
        <v>0</v>
      </c>
      <c r="AL89" s="78">
        <f t="shared" si="10"/>
        <v>0</v>
      </c>
    </row>
    <row r="90" spans="1:38" s="33" customFormat="1" outlineLevel="1" x14ac:dyDescent="0.15">
      <c r="A90" s="42" t="s">
        <v>174</v>
      </c>
      <c r="B90" s="165"/>
      <c r="C90" s="165"/>
      <c r="D90" s="166"/>
      <c r="E90" s="65">
        <f>IFERROR(AVERAGE(G90:P90),"na")</f>
        <v>232848000</v>
      </c>
      <c r="F90" s="65">
        <f>SUM(G90:P90)</f>
        <v>2328480000</v>
      </c>
      <c r="G90" s="42">
        <f t="shared" ref="G90:AL90" si="11">SUM(G89:G89)</f>
        <v>582120000</v>
      </c>
      <c r="H90" s="42">
        <f t="shared" si="11"/>
        <v>582120000</v>
      </c>
      <c r="I90" s="42">
        <f t="shared" si="11"/>
        <v>582120000</v>
      </c>
      <c r="J90" s="42">
        <f t="shared" si="11"/>
        <v>582120000</v>
      </c>
      <c r="K90" s="42">
        <f t="shared" si="11"/>
        <v>0</v>
      </c>
      <c r="L90" s="42">
        <f t="shared" si="11"/>
        <v>0</v>
      </c>
      <c r="M90" s="42">
        <f t="shared" si="11"/>
        <v>0</v>
      </c>
      <c r="N90" s="42">
        <f t="shared" si="11"/>
        <v>0</v>
      </c>
      <c r="O90" s="42">
        <f t="shared" si="11"/>
        <v>0</v>
      </c>
      <c r="P90" s="42">
        <f t="shared" si="11"/>
        <v>0</v>
      </c>
      <c r="Q90" s="42">
        <f t="shared" si="11"/>
        <v>0</v>
      </c>
      <c r="R90" s="42">
        <f t="shared" si="11"/>
        <v>0</v>
      </c>
      <c r="S90" s="42">
        <f t="shared" si="11"/>
        <v>0</v>
      </c>
      <c r="T90" s="42">
        <f t="shared" si="11"/>
        <v>0</v>
      </c>
      <c r="U90" s="42">
        <f t="shared" si="11"/>
        <v>0</v>
      </c>
      <c r="V90" s="42">
        <f t="shared" si="11"/>
        <v>0</v>
      </c>
      <c r="W90" s="42">
        <f t="shared" si="11"/>
        <v>0</v>
      </c>
      <c r="X90" s="42">
        <f t="shared" si="11"/>
        <v>0</v>
      </c>
      <c r="Y90" s="42">
        <f t="shared" si="11"/>
        <v>0</v>
      </c>
      <c r="Z90" s="42">
        <f t="shared" si="11"/>
        <v>0</v>
      </c>
      <c r="AA90" s="42">
        <f t="shared" si="11"/>
        <v>0</v>
      </c>
      <c r="AB90" s="42">
        <f t="shared" si="11"/>
        <v>0</v>
      </c>
      <c r="AC90" s="42">
        <f t="shared" si="11"/>
        <v>0</v>
      </c>
      <c r="AD90" s="42">
        <f t="shared" si="11"/>
        <v>0</v>
      </c>
      <c r="AE90" s="42">
        <f t="shared" si="11"/>
        <v>0</v>
      </c>
      <c r="AF90" s="42">
        <f t="shared" si="11"/>
        <v>0</v>
      </c>
      <c r="AG90" s="42">
        <f t="shared" si="11"/>
        <v>0</v>
      </c>
      <c r="AH90" s="42">
        <f t="shared" si="11"/>
        <v>0</v>
      </c>
      <c r="AI90" s="42">
        <f t="shared" si="11"/>
        <v>0</v>
      </c>
      <c r="AJ90" s="42">
        <f t="shared" si="11"/>
        <v>0</v>
      </c>
      <c r="AK90" s="42">
        <f t="shared" si="11"/>
        <v>0</v>
      </c>
      <c r="AL90" s="42">
        <f t="shared" si="11"/>
        <v>0</v>
      </c>
    </row>
    <row r="91" spans="1:38" s="33" customFormat="1" outlineLevel="1" x14ac:dyDescent="0.15">
      <c r="A91" s="173"/>
      <c r="B91" s="173"/>
      <c r="C91" s="173"/>
      <c r="D91" s="207"/>
      <c r="E91" s="207"/>
      <c r="F91" s="150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</row>
    <row r="92" spans="1:38" s="33" customFormat="1" outlineLevel="1" x14ac:dyDescent="0.15">
      <c r="A92" s="173" t="s">
        <v>271</v>
      </c>
      <c r="B92" s="173"/>
      <c r="C92" s="173"/>
      <c r="D92" s="131"/>
      <c r="E92" s="41"/>
      <c r="F92" s="132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</row>
    <row r="93" spans="1:38" s="33" customFormat="1" outlineLevel="1" x14ac:dyDescent="0.15">
      <c r="A93" s="130"/>
      <c r="B93" s="114"/>
      <c r="C93" s="173"/>
      <c r="D93" s="207" t="s">
        <v>125</v>
      </c>
      <c r="E93" s="150">
        <f t="shared" ref="E93" si="12">IFERROR(AVERAGE(G93:P93),"na")</f>
        <v>1700</v>
      </c>
      <c r="F93" s="163"/>
      <c r="G93" s="208">
        <v>1700</v>
      </c>
      <c r="H93" s="208">
        <v>1700</v>
      </c>
      <c r="I93" s="208">
        <v>1700</v>
      </c>
      <c r="J93" s="208">
        <v>1700</v>
      </c>
      <c r="K93" s="208">
        <v>1700</v>
      </c>
      <c r="L93" s="208">
        <v>1700</v>
      </c>
      <c r="M93" s="208">
        <v>1700</v>
      </c>
      <c r="N93" s="208">
        <v>1700</v>
      </c>
      <c r="O93" s="208">
        <v>1700</v>
      </c>
      <c r="P93" s="208">
        <v>1700</v>
      </c>
      <c r="Q93" s="208">
        <v>1700</v>
      </c>
      <c r="R93" s="208">
        <v>1700</v>
      </c>
      <c r="S93" s="208">
        <v>1700</v>
      </c>
      <c r="T93" s="208">
        <v>1700</v>
      </c>
      <c r="U93" s="208">
        <v>1700</v>
      </c>
      <c r="V93" s="208">
        <v>1700</v>
      </c>
      <c r="W93" s="208">
        <v>1700</v>
      </c>
      <c r="X93" s="208">
        <v>1700</v>
      </c>
      <c r="Y93" s="208">
        <v>1700</v>
      </c>
      <c r="Z93" s="208">
        <v>1700</v>
      </c>
      <c r="AA93" s="208">
        <v>1700</v>
      </c>
      <c r="AB93" s="208">
        <v>1700</v>
      </c>
      <c r="AC93" s="208">
        <v>1700</v>
      </c>
      <c r="AD93" s="208">
        <v>1700</v>
      </c>
      <c r="AE93" s="208">
        <v>1700</v>
      </c>
      <c r="AF93" s="208">
        <v>1700</v>
      </c>
      <c r="AG93" s="208">
        <v>1700</v>
      </c>
      <c r="AH93" s="208">
        <v>1700</v>
      </c>
      <c r="AI93" s="208">
        <v>1700</v>
      </c>
      <c r="AJ93" s="208">
        <v>1700</v>
      </c>
      <c r="AK93" s="208">
        <v>1700</v>
      </c>
      <c r="AL93" s="208">
        <v>1700</v>
      </c>
    </row>
    <row r="94" spans="1:38" s="33" customFormat="1" outlineLevel="1" x14ac:dyDescent="0.15">
      <c r="A94" s="130"/>
      <c r="B94" s="173"/>
      <c r="C94" s="173"/>
      <c r="D94" s="207"/>
      <c r="E94" s="150"/>
      <c r="F94" s="207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</row>
    <row r="95" spans="1:38" s="33" customFormat="1" outlineLevel="1" x14ac:dyDescent="0.15">
      <c r="A95" s="173" t="s">
        <v>181</v>
      </c>
      <c r="B95" s="173"/>
      <c r="C95" s="173"/>
      <c r="D95" s="131"/>
      <c r="E95" s="41"/>
      <c r="F95" s="132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</row>
    <row r="96" spans="1:38" s="33" customFormat="1" outlineLevel="1" x14ac:dyDescent="0.15">
      <c r="A96" s="130"/>
      <c r="B96" s="114"/>
      <c r="C96" s="173"/>
      <c r="D96" s="207" t="s">
        <v>173</v>
      </c>
      <c r="E96" s="150">
        <f>IFERROR(AVERAGE(G96:AL96),"na")</f>
        <v>58905000</v>
      </c>
      <c r="F96" s="163">
        <f>SUM(G96:AL96)</f>
        <v>1884960000</v>
      </c>
      <c r="G96" s="173">
        <f t="shared" ref="G96:AL96" si="13">G93*G64*$G$68</f>
        <v>471240000</v>
      </c>
      <c r="H96" s="173">
        <f t="shared" si="13"/>
        <v>471240000</v>
      </c>
      <c r="I96" s="173">
        <f t="shared" si="13"/>
        <v>471240000</v>
      </c>
      <c r="J96" s="173">
        <f t="shared" si="13"/>
        <v>471240000</v>
      </c>
      <c r="K96" s="173">
        <f t="shared" si="13"/>
        <v>0</v>
      </c>
      <c r="L96" s="173">
        <f t="shared" si="13"/>
        <v>0</v>
      </c>
      <c r="M96" s="173">
        <f t="shared" si="13"/>
        <v>0</v>
      </c>
      <c r="N96" s="173">
        <f t="shared" si="13"/>
        <v>0</v>
      </c>
      <c r="O96" s="173">
        <f t="shared" si="13"/>
        <v>0</v>
      </c>
      <c r="P96" s="173">
        <f t="shared" si="13"/>
        <v>0</v>
      </c>
      <c r="Q96" s="173">
        <f t="shared" si="13"/>
        <v>0</v>
      </c>
      <c r="R96" s="173">
        <f t="shared" si="13"/>
        <v>0</v>
      </c>
      <c r="S96" s="173">
        <f t="shared" si="13"/>
        <v>0</v>
      </c>
      <c r="T96" s="173">
        <f t="shared" si="13"/>
        <v>0</v>
      </c>
      <c r="U96" s="173">
        <f t="shared" si="13"/>
        <v>0</v>
      </c>
      <c r="V96" s="173">
        <f t="shared" si="13"/>
        <v>0</v>
      </c>
      <c r="W96" s="173">
        <f t="shared" si="13"/>
        <v>0</v>
      </c>
      <c r="X96" s="173">
        <f t="shared" si="13"/>
        <v>0</v>
      </c>
      <c r="Y96" s="173">
        <f t="shared" si="13"/>
        <v>0</v>
      </c>
      <c r="Z96" s="173">
        <f t="shared" si="13"/>
        <v>0</v>
      </c>
      <c r="AA96" s="173">
        <f t="shared" si="13"/>
        <v>0</v>
      </c>
      <c r="AB96" s="173">
        <f t="shared" si="13"/>
        <v>0</v>
      </c>
      <c r="AC96" s="173">
        <f t="shared" si="13"/>
        <v>0</v>
      </c>
      <c r="AD96" s="173">
        <f t="shared" si="13"/>
        <v>0</v>
      </c>
      <c r="AE96" s="173">
        <f t="shared" si="13"/>
        <v>0</v>
      </c>
      <c r="AF96" s="173">
        <f t="shared" si="13"/>
        <v>0</v>
      </c>
      <c r="AG96" s="173">
        <f t="shared" si="13"/>
        <v>0</v>
      </c>
      <c r="AH96" s="173">
        <f t="shared" si="13"/>
        <v>0</v>
      </c>
      <c r="AI96" s="173">
        <f t="shared" si="13"/>
        <v>0</v>
      </c>
      <c r="AJ96" s="173">
        <f t="shared" si="13"/>
        <v>0</v>
      </c>
      <c r="AK96" s="173">
        <f t="shared" si="13"/>
        <v>0</v>
      </c>
      <c r="AL96" s="173">
        <f t="shared" si="13"/>
        <v>0</v>
      </c>
    </row>
    <row r="97" spans="1:38" s="33" customFormat="1" outlineLevel="1" x14ac:dyDescent="0.15">
      <c r="A97" s="130" t="s">
        <v>64</v>
      </c>
      <c r="B97" s="173"/>
      <c r="C97" s="173"/>
      <c r="D97" s="207" t="s">
        <v>173</v>
      </c>
      <c r="E97" s="150">
        <f t="shared" ref="E97" si="14">IFERROR(AVERAGE(G97:AL97),"na")</f>
        <v>58905000</v>
      </c>
      <c r="F97" s="163">
        <f t="shared" ref="F97" si="15">SUM(G97:AL97)</f>
        <v>1884960000</v>
      </c>
      <c r="G97" s="78">
        <f t="shared" ref="G97:AL97" si="16">SUM(G96:G96)</f>
        <v>471240000</v>
      </c>
      <c r="H97" s="78">
        <f t="shared" si="16"/>
        <v>471240000</v>
      </c>
      <c r="I97" s="78">
        <f t="shared" si="16"/>
        <v>471240000</v>
      </c>
      <c r="J97" s="78">
        <f t="shared" si="16"/>
        <v>471240000</v>
      </c>
      <c r="K97" s="78">
        <f t="shared" si="16"/>
        <v>0</v>
      </c>
      <c r="L97" s="78">
        <f t="shared" si="16"/>
        <v>0</v>
      </c>
      <c r="M97" s="78">
        <f t="shared" si="16"/>
        <v>0</v>
      </c>
      <c r="N97" s="78">
        <f t="shared" si="16"/>
        <v>0</v>
      </c>
      <c r="O97" s="78">
        <f t="shared" si="16"/>
        <v>0</v>
      </c>
      <c r="P97" s="78">
        <f t="shared" si="16"/>
        <v>0</v>
      </c>
      <c r="Q97" s="78">
        <f t="shared" si="16"/>
        <v>0</v>
      </c>
      <c r="R97" s="78">
        <f t="shared" si="16"/>
        <v>0</v>
      </c>
      <c r="S97" s="78">
        <f t="shared" si="16"/>
        <v>0</v>
      </c>
      <c r="T97" s="78">
        <f t="shared" si="16"/>
        <v>0</v>
      </c>
      <c r="U97" s="78">
        <f t="shared" si="16"/>
        <v>0</v>
      </c>
      <c r="V97" s="78">
        <f t="shared" si="16"/>
        <v>0</v>
      </c>
      <c r="W97" s="78">
        <f t="shared" si="16"/>
        <v>0</v>
      </c>
      <c r="X97" s="78">
        <f t="shared" si="16"/>
        <v>0</v>
      </c>
      <c r="Y97" s="78">
        <f t="shared" si="16"/>
        <v>0</v>
      </c>
      <c r="Z97" s="78">
        <f t="shared" si="16"/>
        <v>0</v>
      </c>
      <c r="AA97" s="78">
        <f t="shared" si="16"/>
        <v>0</v>
      </c>
      <c r="AB97" s="78">
        <f t="shared" si="16"/>
        <v>0</v>
      </c>
      <c r="AC97" s="78">
        <f t="shared" si="16"/>
        <v>0</v>
      </c>
      <c r="AD97" s="78">
        <f t="shared" si="16"/>
        <v>0</v>
      </c>
      <c r="AE97" s="78">
        <f t="shared" si="16"/>
        <v>0</v>
      </c>
      <c r="AF97" s="78">
        <f t="shared" si="16"/>
        <v>0</v>
      </c>
      <c r="AG97" s="78">
        <f t="shared" si="16"/>
        <v>0</v>
      </c>
      <c r="AH97" s="78">
        <f t="shared" si="16"/>
        <v>0</v>
      </c>
      <c r="AI97" s="78">
        <f t="shared" si="16"/>
        <v>0</v>
      </c>
      <c r="AJ97" s="78">
        <f t="shared" si="16"/>
        <v>0</v>
      </c>
      <c r="AK97" s="78">
        <f t="shared" si="16"/>
        <v>0</v>
      </c>
      <c r="AL97" s="78">
        <f t="shared" si="16"/>
        <v>0</v>
      </c>
    </row>
    <row r="98" spans="1:38" s="33" customFormat="1" outlineLevel="1" x14ac:dyDescent="0.15">
      <c r="A98" s="130"/>
      <c r="B98" s="173"/>
      <c r="C98" s="173"/>
      <c r="D98" s="207"/>
      <c r="E98" s="150"/>
      <c r="F98" s="163" t="s">
        <v>287</v>
      </c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</row>
    <row r="99" spans="1:38" s="33" customFormat="1" ht="16" customHeight="1" outlineLevel="1" x14ac:dyDescent="0.15">
      <c r="A99" s="37" t="s">
        <v>281</v>
      </c>
      <c r="B99" s="78"/>
      <c r="C99" s="78"/>
      <c r="D99" s="38" t="s">
        <v>173</v>
      </c>
      <c r="E99" s="41">
        <f>IFERROR(AVERAGE(G99:P99),"na")</f>
        <v>44352000</v>
      </c>
      <c r="F99" s="41">
        <f t="shared" ref="F99:AL99" si="17">F90-F97</f>
        <v>443520000</v>
      </c>
      <c r="G99" s="41">
        <f t="shared" si="17"/>
        <v>110880000</v>
      </c>
      <c r="H99" s="41">
        <f t="shared" si="17"/>
        <v>110880000</v>
      </c>
      <c r="I99" s="41">
        <f t="shared" si="17"/>
        <v>110880000</v>
      </c>
      <c r="J99" s="41">
        <f t="shared" si="17"/>
        <v>110880000</v>
      </c>
      <c r="K99" s="41">
        <f t="shared" si="17"/>
        <v>0</v>
      </c>
      <c r="L99" s="41">
        <f t="shared" si="17"/>
        <v>0</v>
      </c>
      <c r="M99" s="41">
        <f t="shared" si="17"/>
        <v>0</v>
      </c>
      <c r="N99" s="41">
        <f t="shared" si="17"/>
        <v>0</v>
      </c>
      <c r="O99" s="41">
        <f t="shared" si="17"/>
        <v>0</v>
      </c>
      <c r="P99" s="41">
        <f t="shared" si="17"/>
        <v>0</v>
      </c>
      <c r="Q99" s="41">
        <f t="shared" si="17"/>
        <v>0</v>
      </c>
      <c r="R99" s="41">
        <f t="shared" si="17"/>
        <v>0</v>
      </c>
      <c r="S99" s="41">
        <f t="shared" si="17"/>
        <v>0</v>
      </c>
      <c r="T99" s="41">
        <f t="shared" si="17"/>
        <v>0</v>
      </c>
      <c r="U99" s="41">
        <f t="shared" si="17"/>
        <v>0</v>
      </c>
      <c r="V99" s="41">
        <f t="shared" si="17"/>
        <v>0</v>
      </c>
      <c r="W99" s="41">
        <f t="shared" si="17"/>
        <v>0</v>
      </c>
      <c r="X99" s="41">
        <f t="shared" si="17"/>
        <v>0</v>
      </c>
      <c r="Y99" s="41">
        <f t="shared" si="17"/>
        <v>0</v>
      </c>
      <c r="Z99" s="41">
        <f t="shared" si="17"/>
        <v>0</v>
      </c>
      <c r="AA99" s="41">
        <f t="shared" si="17"/>
        <v>0</v>
      </c>
      <c r="AB99" s="41">
        <f t="shared" si="17"/>
        <v>0</v>
      </c>
      <c r="AC99" s="41">
        <f t="shared" si="17"/>
        <v>0</v>
      </c>
      <c r="AD99" s="41">
        <f t="shared" si="17"/>
        <v>0</v>
      </c>
      <c r="AE99" s="41">
        <f t="shared" si="17"/>
        <v>0</v>
      </c>
      <c r="AF99" s="41">
        <f t="shared" si="17"/>
        <v>0</v>
      </c>
      <c r="AG99" s="41">
        <f t="shared" si="17"/>
        <v>0</v>
      </c>
      <c r="AH99" s="41">
        <f t="shared" si="17"/>
        <v>0</v>
      </c>
      <c r="AI99" s="41">
        <f t="shared" si="17"/>
        <v>0</v>
      </c>
      <c r="AJ99" s="41">
        <f t="shared" si="17"/>
        <v>0</v>
      </c>
      <c r="AK99" s="41">
        <f t="shared" si="17"/>
        <v>0</v>
      </c>
      <c r="AL99" s="41">
        <f t="shared" si="17"/>
        <v>0</v>
      </c>
    </row>
    <row r="100" spans="1:38" s="33" customFormat="1" x14ac:dyDescent="0.15">
      <c r="A100" s="78"/>
      <c r="B100" s="78"/>
      <c r="C100" s="78"/>
      <c r="D100" s="79"/>
      <c r="E100" s="79"/>
      <c r="F100" s="79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</row>
    <row r="101" spans="1:38" s="50" customFormat="1" ht="18.75" customHeight="1" x14ac:dyDescent="0.2">
      <c r="A101" s="107" t="s">
        <v>198</v>
      </c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</row>
    <row r="102" spans="1:38" s="33" customFormat="1" outlineLevel="1" x14ac:dyDescent="0.15">
      <c r="A102" s="78"/>
      <c r="B102" s="78"/>
      <c r="C102" s="78"/>
      <c r="D102" s="79"/>
      <c r="E102" s="79"/>
      <c r="F102" s="79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</row>
    <row r="103" spans="1:38" s="33" customFormat="1" outlineLevel="1" x14ac:dyDescent="0.15">
      <c r="A103" s="37" t="s">
        <v>199</v>
      </c>
      <c r="B103" s="78"/>
      <c r="C103" s="78"/>
      <c r="D103" s="79"/>
      <c r="E103" s="79"/>
      <c r="F103" s="79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</row>
    <row r="104" spans="1:38" s="33" customFormat="1" outlineLevel="1" x14ac:dyDescent="0.15">
      <c r="A104" s="78" t="s">
        <v>281</v>
      </c>
      <c r="B104" s="78"/>
      <c r="C104" s="78"/>
      <c r="D104" s="79" t="s">
        <v>173</v>
      </c>
      <c r="E104" s="150">
        <f>IFERROR(AVERAGE(G104:P104),"na")</f>
        <v>44352000</v>
      </c>
      <c r="F104" s="150">
        <f>SUM(G104:P104)</f>
        <v>443520000</v>
      </c>
      <c r="G104" s="78">
        <f>G99</f>
        <v>110880000</v>
      </c>
      <c r="H104" s="78">
        <f t="shared" ref="H104:AL104" si="18">H99</f>
        <v>110880000</v>
      </c>
      <c r="I104" s="78">
        <f t="shared" si="18"/>
        <v>110880000</v>
      </c>
      <c r="J104" s="78">
        <f t="shared" si="18"/>
        <v>110880000</v>
      </c>
      <c r="K104" s="78">
        <f t="shared" si="18"/>
        <v>0</v>
      </c>
      <c r="L104" s="78">
        <f t="shared" si="18"/>
        <v>0</v>
      </c>
      <c r="M104" s="78">
        <f t="shared" si="18"/>
        <v>0</v>
      </c>
      <c r="N104" s="78">
        <f t="shared" si="18"/>
        <v>0</v>
      </c>
      <c r="O104" s="78">
        <f t="shared" si="18"/>
        <v>0</v>
      </c>
      <c r="P104" s="78">
        <f t="shared" si="18"/>
        <v>0</v>
      </c>
      <c r="Q104" s="78">
        <f t="shared" si="18"/>
        <v>0</v>
      </c>
      <c r="R104" s="78">
        <f t="shared" si="18"/>
        <v>0</v>
      </c>
      <c r="S104" s="78">
        <f t="shared" si="18"/>
        <v>0</v>
      </c>
      <c r="T104" s="78">
        <f t="shared" si="18"/>
        <v>0</v>
      </c>
      <c r="U104" s="78">
        <f t="shared" si="18"/>
        <v>0</v>
      </c>
      <c r="V104" s="78">
        <f t="shared" si="18"/>
        <v>0</v>
      </c>
      <c r="W104" s="78">
        <f t="shared" si="18"/>
        <v>0</v>
      </c>
      <c r="X104" s="78">
        <f t="shared" si="18"/>
        <v>0</v>
      </c>
      <c r="Y104" s="78">
        <f t="shared" si="18"/>
        <v>0</v>
      </c>
      <c r="Z104" s="78">
        <f t="shared" si="18"/>
        <v>0</v>
      </c>
      <c r="AA104" s="78">
        <f t="shared" si="18"/>
        <v>0</v>
      </c>
      <c r="AB104" s="78">
        <f t="shared" si="18"/>
        <v>0</v>
      </c>
      <c r="AC104" s="78">
        <f t="shared" si="18"/>
        <v>0</v>
      </c>
      <c r="AD104" s="78">
        <f t="shared" si="18"/>
        <v>0</v>
      </c>
      <c r="AE104" s="78">
        <f t="shared" si="18"/>
        <v>0</v>
      </c>
      <c r="AF104" s="78">
        <f t="shared" si="18"/>
        <v>0</v>
      </c>
      <c r="AG104" s="78">
        <f t="shared" si="18"/>
        <v>0</v>
      </c>
      <c r="AH104" s="78">
        <f t="shared" si="18"/>
        <v>0</v>
      </c>
      <c r="AI104" s="78">
        <f t="shared" si="18"/>
        <v>0</v>
      </c>
      <c r="AJ104" s="78">
        <f t="shared" si="18"/>
        <v>0</v>
      </c>
      <c r="AK104" s="78">
        <f t="shared" si="18"/>
        <v>0</v>
      </c>
      <c r="AL104" s="78">
        <f t="shared" si="18"/>
        <v>0</v>
      </c>
    </row>
    <row r="105" spans="1:38" s="33" customFormat="1" outlineLevel="1" x14ac:dyDescent="0.15">
      <c r="A105" s="78" t="s">
        <v>200</v>
      </c>
      <c r="B105" s="78"/>
      <c r="C105" s="78"/>
      <c r="D105" s="79"/>
      <c r="E105" s="79"/>
      <c r="F105" s="79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</row>
    <row r="106" spans="1:38" s="33" customFormat="1" outlineLevel="1" x14ac:dyDescent="0.15">
      <c r="A106" s="78" t="s">
        <v>202</v>
      </c>
      <c r="B106" s="78" t="s">
        <v>141</v>
      </c>
      <c r="C106" s="78"/>
      <c r="D106" s="79" t="s">
        <v>173</v>
      </c>
      <c r="E106" s="150">
        <f>IFERROR(AVERAGE(G106:P106),"na")</f>
        <v>13305600</v>
      </c>
      <c r="F106" s="150">
        <f>SUM(G106:P106)</f>
        <v>133056000</v>
      </c>
      <c r="G106" s="78">
        <f>G104*$F$40</f>
        <v>33264000</v>
      </c>
      <c r="H106" s="78">
        <f t="shared" ref="H106:AL106" si="19">H104*$F$40</f>
        <v>33264000</v>
      </c>
      <c r="I106" s="78">
        <f t="shared" si="19"/>
        <v>33264000</v>
      </c>
      <c r="J106" s="78">
        <f t="shared" si="19"/>
        <v>33264000</v>
      </c>
      <c r="K106" s="78">
        <f t="shared" si="19"/>
        <v>0</v>
      </c>
      <c r="L106" s="78">
        <f t="shared" si="19"/>
        <v>0</v>
      </c>
      <c r="M106" s="78">
        <f t="shared" si="19"/>
        <v>0</v>
      </c>
      <c r="N106" s="78">
        <f t="shared" si="19"/>
        <v>0</v>
      </c>
      <c r="O106" s="78">
        <f t="shared" si="19"/>
        <v>0</v>
      </c>
      <c r="P106" s="78">
        <f t="shared" si="19"/>
        <v>0</v>
      </c>
      <c r="Q106" s="78">
        <f t="shared" si="19"/>
        <v>0</v>
      </c>
      <c r="R106" s="78">
        <f t="shared" si="19"/>
        <v>0</v>
      </c>
      <c r="S106" s="78">
        <f t="shared" si="19"/>
        <v>0</v>
      </c>
      <c r="T106" s="78">
        <f t="shared" si="19"/>
        <v>0</v>
      </c>
      <c r="U106" s="78">
        <f t="shared" si="19"/>
        <v>0</v>
      </c>
      <c r="V106" s="78">
        <f t="shared" si="19"/>
        <v>0</v>
      </c>
      <c r="W106" s="78">
        <f t="shared" si="19"/>
        <v>0</v>
      </c>
      <c r="X106" s="78">
        <f t="shared" si="19"/>
        <v>0</v>
      </c>
      <c r="Y106" s="78">
        <f t="shared" si="19"/>
        <v>0</v>
      </c>
      <c r="Z106" s="78">
        <f t="shared" si="19"/>
        <v>0</v>
      </c>
      <c r="AA106" s="78">
        <f t="shared" si="19"/>
        <v>0</v>
      </c>
      <c r="AB106" s="78">
        <f t="shared" si="19"/>
        <v>0</v>
      </c>
      <c r="AC106" s="78">
        <f t="shared" si="19"/>
        <v>0</v>
      </c>
      <c r="AD106" s="78">
        <f t="shared" si="19"/>
        <v>0</v>
      </c>
      <c r="AE106" s="78">
        <f t="shared" si="19"/>
        <v>0</v>
      </c>
      <c r="AF106" s="78">
        <f t="shared" si="19"/>
        <v>0</v>
      </c>
      <c r="AG106" s="78">
        <f t="shared" si="19"/>
        <v>0</v>
      </c>
      <c r="AH106" s="78">
        <f t="shared" si="19"/>
        <v>0</v>
      </c>
      <c r="AI106" s="78">
        <f t="shared" si="19"/>
        <v>0</v>
      </c>
      <c r="AJ106" s="78">
        <f t="shared" si="19"/>
        <v>0</v>
      </c>
      <c r="AK106" s="78">
        <f t="shared" si="19"/>
        <v>0</v>
      </c>
      <c r="AL106" s="78">
        <f t="shared" si="19"/>
        <v>0</v>
      </c>
    </row>
    <row r="107" spans="1:38" s="33" customFormat="1" outlineLevel="1" x14ac:dyDescent="0.15">
      <c r="A107" s="165"/>
      <c r="B107" s="165" t="s">
        <v>205</v>
      </c>
      <c r="C107" s="165"/>
      <c r="D107" s="166" t="s">
        <v>173</v>
      </c>
      <c r="E107" s="155">
        <f>IFERROR(AVERAGE(G107:P107),"na")</f>
        <v>13305600</v>
      </c>
      <c r="F107" s="155">
        <f>SUM(G107:P107)</f>
        <v>133056000</v>
      </c>
      <c r="G107" s="165">
        <f t="shared" ref="G107:AL107" si="20">SUM(G106:G106)</f>
        <v>33264000</v>
      </c>
      <c r="H107" s="165">
        <f t="shared" si="20"/>
        <v>33264000</v>
      </c>
      <c r="I107" s="165">
        <f t="shared" si="20"/>
        <v>33264000</v>
      </c>
      <c r="J107" s="165">
        <f t="shared" si="20"/>
        <v>33264000</v>
      </c>
      <c r="K107" s="165">
        <f t="shared" si="20"/>
        <v>0</v>
      </c>
      <c r="L107" s="165">
        <f t="shared" si="20"/>
        <v>0</v>
      </c>
      <c r="M107" s="165">
        <f t="shared" si="20"/>
        <v>0</v>
      </c>
      <c r="N107" s="165">
        <f t="shared" si="20"/>
        <v>0</v>
      </c>
      <c r="O107" s="165">
        <f t="shared" si="20"/>
        <v>0</v>
      </c>
      <c r="P107" s="165">
        <f t="shared" si="20"/>
        <v>0</v>
      </c>
      <c r="Q107" s="165">
        <f t="shared" si="20"/>
        <v>0</v>
      </c>
      <c r="R107" s="165">
        <f t="shared" si="20"/>
        <v>0</v>
      </c>
      <c r="S107" s="165">
        <f t="shared" si="20"/>
        <v>0</v>
      </c>
      <c r="T107" s="165">
        <f t="shared" si="20"/>
        <v>0</v>
      </c>
      <c r="U107" s="165">
        <f t="shared" si="20"/>
        <v>0</v>
      </c>
      <c r="V107" s="165">
        <f t="shared" si="20"/>
        <v>0</v>
      </c>
      <c r="W107" s="165">
        <f t="shared" si="20"/>
        <v>0</v>
      </c>
      <c r="X107" s="165">
        <f t="shared" si="20"/>
        <v>0</v>
      </c>
      <c r="Y107" s="165">
        <f t="shared" si="20"/>
        <v>0</v>
      </c>
      <c r="Z107" s="165">
        <f t="shared" si="20"/>
        <v>0</v>
      </c>
      <c r="AA107" s="165">
        <f t="shared" si="20"/>
        <v>0</v>
      </c>
      <c r="AB107" s="165">
        <f t="shared" si="20"/>
        <v>0</v>
      </c>
      <c r="AC107" s="165">
        <f t="shared" si="20"/>
        <v>0</v>
      </c>
      <c r="AD107" s="165">
        <f t="shared" si="20"/>
        <v>0</v>
      </c>
      <c r="AE107" s="165">
        <f t="shared" si="20"/>
        <v>0</v>
      </c>
      <c r="AF107" s="165">
        <f t="shared" si="20"/>
        <v>0</v>
      </c>
      <c r="AG107" s="165">
        <f t="shared" si="20"/>
        <v>0</v>
      </c>
      <c r="AH107" s="165">
        <f t="shared" si="20"/>
        <v>0</v>
      </c>
      <c r="AI107" s="165">
        <f t="shared" si="20"/>
        <v>0</v>
      </c>
      <c r="AJ107" s="165">
        <f t="shared" si="20"/>
        <v>0</v>
      </c>
      <c r="AK107" s="165">
        <f t="shared" si="20"/>
        <v>0</v>
      </c>
      <c r="AL107" s="165">
        <f t="shared" si="20"/>
        <v>0</v>
      </c>
    </row>
    <row r="108" spans="1:38" s="33" customFormat="1" outlineLevel="1" x14ac:dyDescent="0.15">
      <c r="A108" s="78"/>
      <c r="B108" s="78"/>
      <c r="C108" s="78"/>
      <c r="D108" s="79"/>
      <c r="E108" s="79"/>
      <c r="F108" s="79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</row>
    <row r="109" spans="1:38" s="33" customFormat="1" outlineLevel="1" x14ac:dyDescent="0.15">
      <c r="A109" s="37" t="s">
        <v>199</v>
      </c>
      <c r="B109" s="78"/>
      <c r="C109" s="78"/>
      <c r="D109" s="79"/>
      <c r="E109" s="150">
        <f>IFERROR(AVERAGE(G109:P109),"na")</f>
        <v>57657600</v>
      </c>
      <c r="F109" s="150">
        <f>SUM(G109:P109)</f>
        <v>576576000</v>
      </c>
      <c r="G109" s="37">
        <f t="shared" ref="G109:AL109" si="21">G104+G107</f>
        <v>144144000</v>
      </c>
      <c r="H109" s="37">
        <f t="shared" si="21"/>
        <v>144144000</v>
      </c>
      <c r="I109" s="37">
        <f t="shared" si="21"/>
        <v>144144000</v>
      </c>
      <c r="J109" s="37">
        <f t="shared" si="21"/>
        <v>144144000</v>
      </c>
      <c r="K109" s="37">
        <f t="shared" si="21"/>
        <v>0</v>
      </c>
      <c r="L109" s="37">
        <f t="shared" si="21"/>
        <v>0</v>
      </c>
      <c r="M109" s="37">
        <f t="shared" si="21"/>
        <v>0</v>
      </c>
      <c r="N109" s="37">
        <f t="shared" si="21"/>
        <v>0</v>
      </c>
      <c r="O109" s="37">
        <f t="shared" si="21"/>
        <v>0</v>
      </c>
      <c r="P109" s="37">
        <f t="shared" si="21"/>
        <v>0</v>
      </c>
      <c r="Q109" s="37">
        <f t="shared" si="21"/>
        <v>0</v>
      </c>
      <c r="R109" s="37">
        <f t="shared" si="21"/>
        <v>0</v>
      </c>
      <c r="S109" s="37">
        <f t="shared" si="21"/>
        <v>0</v>
      </c>
      <c r="T109" s="37">
        <f t="shared" si="21"/>
        <v>0</v>
      </c>
      <c r="U109" s="37">
        <f t="shared" si="21"/>
        <v>0</v>
      </c>
      <c r="V109" s="37">
        <f t="shared" si="21"/>
        <v>0</v>
      </c>
      <c r="W109" s="37">
        <f t="shared" si="21"/>
        <v>0</v>
      </c>
      <c r="X109" s="37">
        <f t="shared" si="21"/>
        <v>0</v>
      </c>
      <c r="Y109" s="37">
        <f t="shared" si="21"/>
        <v>0</v>
      </c>
      <c r="Z109" s="37">
        <f t="shared" si="21"/>
        <v>0</v>
      </c>
      <c r="AA109" s="37">
        <f t="shared" si="21"/>
        <v>0</v>
      </c>
      <c r="AB109" s="37">
        <f t="shared" si="21"/>
        <v>0</v>
      </c>
      <c r="AC109" s="37">
        <f t="shared" si="21"/>
        <v>0</v>
      </c>
      <c r="AD109" s="37">
        <f t="shared" si="21"/>
        <v>0</v>
      </c>
      <c r="AE109" s="37">
        <f t="shared" si="21"/>
        <v>0</v>
      </c>
      <c r="AF109" s="37">
        <f t="shared" si="21"/>
        <v>0</v>
      </c>
      <c r="AG109" s="37">
        <f t="shared" si="21"/>
        <v>0</v>
      </c>
      <c r="AH109" s="37">
        <f t="shared" si="21"/>
        <v>0</v>
      </c>
      <c r="AI109" s="37">
        <f t="shared" si="21"/>
        <v>0</v>
      </c>
      <c r="AJ109" s="37">
        <f t="shared" si="21"/>
        <v>0</v>
      </c>
      <c r="AK109" s="37">
        <f t="shared" si="21"/>
        <v>0</v>
      </c>
      <c r="AL109" s="37">
        <f t="shared" si="21"/>
        <v>0</v>
      </c>
    </row>
    <row r="110" spans="1:38" s="33" customFormat="1" outlineLevel="1" x14ac:dyDescent="0.15">
      <c r="A110" s="78"/>
      <c r="B110" s="78"/>
      <c r="C110" s="78"/>
      <c r="D110" s="79"/>
      <c r="E110" s="79"/>
      <c r="F110" s="79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</row>
    <row r="111" spans="1:38" s="33" customFormat="1" outlineLevel="1" x14ac:dyDescent="0.15">
      <c r="A111" s="37" t="s">
        <v>206</v>
      </c>
      <c r="B111" s="78"/>
      <c r="C111" s="78"/>
      <c r="D111" s="94">
        <f>F50</f>
        <v>5.5793920000000004E-2</v>
      </c>
      <c r="E111" s="163" t="s">
        <v>157</v>
      </c>
      <c r="F111" s="163" t="s">
        <v>157</v>
      </c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</row>
    <row r="112" spans="1:38" s="33" customFormat="1" outlineLevel="1" x14ac:dyDescent="0.15">
      <c r="A112" s="78"/>
      <c r="B112" s="78"/>
      <c r="C112" s="78"/>
      <c r="D112" s="79"/>
      <c r="E112" s="79"/>
      <c r="F112" s="79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</row>
    <row r="113" spans="1:38" s="33" customFormat="1" outlineLevel="1" x14ac:dyDescent="0.15">
      <c r="A113" s="37" t="s">
        <v>207</v>
      </c>
      <c r="B113" s="37"/>
      <c r="C113" s="37"/>
      <c r="D113" s="79" t="s">
        <v>173</v>
      </c>
      <c r="E113" s="3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</row>
    <row r="114" spans="1:38" s="33" customFormat="1" outlineLevel="1" x14ac:dyDescent="0.15">
      <c r="A114" s="113" t="s">
        <v>208</v>
      </c>
      <c r="B114" s="174"/>
      <c r="C114" s="175"/>
      <c r="D114" s="79"/>
      <c r="E114" s="108">
        <f>XNPV(D111,G114:K114,G1:K1)</f>
        <v>532460758.72111821</v>
      </c>
      <c r="F114" s="37">
        <v>0</v>
      </c>
      <c r="G114" s="37">
        <f>G109</f>
        <v>144144000</v>
      </c>
      <c r="H114" s="37">
        <f t="shared" ref="H114:AL114" si="22">H109</f>
        <v>144144000</v>
      </c>
      <c r="I114" s="37">
        <f t="shared" si="22"/>
        <v>144144000</v>
      </c>
      <c r="J114" s="37">
        <f t="shared" si="22"/>
        <v>144144000</v>
      </c>
      <c r="K114" s="37">
        <f t="shared" si="22"/>
        <v>0</v>
      </c>
      <c r="L114" s="37">
        <f t="shared" si="22"/>
        <v>0</v>
      </c>
      <c r="M114" s="37">
        <f t="shared" si="22"/>
        <v>0</v>
      </c>
      <c r="N114" s="37">
        <f t="shared" si="22"/>
        <v>0</v>
      </c>
      <c r="O114" s="37">
        <f t="shared" si="22"/>
        <v>0</v>
      </c>
      <c r="P114" s="37">
        <f t="shared" si="22"/>
        <v>0</v>
      </c>
      <c r="Q114" s="37">
        <f t="shared" si="22"/>
        <v>0</v>
      </c>
      <c r="R114" s="37">
        <f t="shared" si="22"/>
        <v>0</v>
      </c>
      <c r="S114" s="37">
        <f t="shared" si="22"/>
        <v>0</v>
      </c>
      <c r="T114" s="37">
        <f t="shared" si="22"/>
        <v>0</v>
      </c>
      <c r="U114" s="37">
        <f t="shared" si="22"/>
        <v>0</v>
      </c>
      <c r="V114" s="37">
        <f t="shared" si="22"/>
        <v>0</v>
      </c>
      <c r="W114" s="37">
        <f t="shared" si="22"/>
        <v>0</v>
      </c>
      <c r="X114" s="37">
        <f t="shared" si="22"/>
        <v>0</v>
      </c>
      <c r="Y114" s="37">
        <f t="shared" si="22"/>
        <v>0</v>
      </c>
      <c r="Z114" s="37">
        <f t="shared" si="22"/>
        <v>0</v>
      </c>
      <c r="AA114" s="37">
        <f t="shared" si="22"/>
        <v>0</v>
      </c>
      <c r="AB114" s="37">
        <f t="shared" si="22"/>
        <v>0</v>
      </c>
      <c r="AC114" s="37">
        <f t="shared" si="22"/>
        <v>0</v>
      </c>
      <c r="AD114" s="37">
        <f t="shared" si="22"/>
        <v>0</v>
      </c>
      <c r="AE114" s="37">
        <f t="shared" si="22"/>
        <v>0</v>
      </c>
      <c r="AF114" s="37">
        <f t="shared" si="22"/>
        <v>0</v>
      </c>
      <c r="AG114" s="37">
        <f t="shared" si="22"/>
        <v>0</v>
      </c>
      <c r="AH114" s="37">
        <f t="shared" si="22"/>
        <v>0</v>
      </c>
      <c r="AI114" s="37">
        <f t="shared" si="22"/>
        <v>0</v>
      </c>
      <c r="AJ114" s="37">
        <f t="shared" si="22"/>
        <v>0</v>
      </c>
      <c r="AK114" s="37">
        <f t="shared" si="22"/>
        <v>0</v>
      </c>
      <c r="AL114" s="37">
        <f t="shared" si="22"/>
        <v>0</v>
      </c>
    </row>
    <row r="115" spans="1:38" s="33" customFormat="1" outlineLevel="1" x14ac:dyDescent="0.15">
      <c r="A115" s="78" t="s">
        <v>209</v>
      </c>
      <c r="B115" s="78"/>
      <c r="C115" s="79"/>
      <c r="D115" s="79"/>
      <c r="E115" s="45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</row>
    <row r="116" spans="1:38" s="33" customFormat="1" outlineLevel="1" x14ac:dyDescent="0.15">
      <c r="A116" s="78"/>
      <c r="B116" s="78"/>
      <c r="C116" s="79"/>
      <c r="D116" s="79"/>
      <c r="E116" s="3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</row>
    <row r="117" spans="1:38" s="33" customFormat="1" outlineLevel="1" x14ac:dyDescent="0.15">
      <c r="A117" s="78" t="s">
        <v>210</v>
      </c>
      <c r="B117" s="78"/>
      <c r="C117" s="176" t="s">
        <v>211</v>
      </c>
      <c r="D117" s="79"/>
      <c r="E117" s="37"/>
      <c r="F117" s="37"/>
      <c r="G117" s="37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</row>
    <row r="118" spans="1:38" s="33" customFormat="1" outlineLevel="1" x14ac:dyDescent="0.15">
      <c r="A118" s="78"/>
      <c r="B118" s="78"/>
      <c r="C118" s="176" t="s">
        <v>212</v>
      </c>
      <c r="D118" s="79"/>
      <c r="E118" s="44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 spans="1:38" s="33" customFormat="1" outlineLevel="1" x14ac:dyDescent="0.15">
      <c r="A119" s="165" t="s">
        <v>213</v>
      </c>
      <c r="B119" s="165"/>
      <c r="C119" s="177" t="s">
        <v>214</v>
      </c>
      <c r="D119" s="166"/>
      <c r="E119" s="11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</row>
    <row r="120" spans="1:38" s="33" customFormat="1" outlineLevel="1" x14ac:dyDescent="0.15">
      <c r="A120" s="78"/>
      <c r="B120" s="78"/>
      <c r="C120" s="78"/>
      <c r="D120" s="79"/>
      <c r="E120" s="79"/>
      <c r="F120" s="3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</row>
    <row r="121" spans="1:38" s="33" customFormat="1" outlineLevel="1" x14ac:dyDescent="0.15">
      <c r="A121" s="37" t="s">
        <v>215</v>
      </c>
      <c r="B121" s="78"/>
      <c r="C121" s="78"/>
      <c r="D121" s="79"/>
      <c r="E121" s="79"/>
      <c r="F121" s="79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</row>
    <row r="122" spans="1:38" s="33" customFormat="1" outlineLevel="1" x14ac:dyDescent="0.15">
      <c r="A122" s="78"/>
      <c r="B122" s="78" t="s">
        <v>211</v>
      </c>
      <c r="C122" s="78"/>
      <c r="D122" s="79"/>
      <c r="E122" s="79"/>
      <c r="F122" s="79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</row>
    <row r="123" spans="1:38" s="33" customFormat="1" outlineLevel="1" x14ac:dyDescent="0.15">
      <c r="A123" s="78"/>
      <c r="B123" s="78" t="s">
        <v>216</v>
      </c>
      <c r="C123" s="78"/>
      <c r="D123" s="79"/>
      <c r="E123" s="79"/>
      <c r="F123" s="79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</row>
    <row r="124" spans="1:38" s="33" customFormat="1" outlineLevel="1" x14ac:dyDescent="0.15">
      <c r="A124" s="165"/>
      <c r="B124" s="165" t="s">
        <v>64</v>
      </c>
      <c r="C124" s="165"/>
      <c r="D124" s="166"/>
      <c r="E124" s="166"/>
      <c r="F124" s="166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</row>
    <row r="125" spans="1:38" s="33" customFormat="1" outlineLevel="1" x14ac:dyDescent="0.15">
      <c r="A125" s="78"/>
      <c r="B125" s="78"/>
      <c r="C125" s="78"/>
      <c r="D125" s="79"/>
      <c r="E125" s="79"/>
      <c r="F125" s="79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</row>
    <row r="126" spans="1:38" s="33" customFormat="1" outlineLevel="1" x14ac:dyDescent="0.15">
      <c r="A126" s="78"/>
      <c r="B126" s="78" t="s">
        <v>217</v>
      </c>
      <c r="C126" s="78"/>
      <c r="D126" s="79"/>
      <c r="E126" s="79"/>
      <c r="F126" s="79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</row>
    <row r="127" spans="1:38" s="33" customFormat="1" outlineLevel="1" x14ac:dyDescent="0.15">
      <c r="A127" s="78"/>
      <c r="B127" s="78" t="s">
        <v>218</v>
      </c>
      <c r="C127" s="78"/>
      <c r="D127" s="79"/>
      <c r="E127" s="111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</row>
    <row r="128" spans="1:38" s="33" customFormat="1" outlineLevel="1" x14ac:dyDescent="0.15">
      <c r="A128" s="78"/>
      <c r="B128" s="78"/>
      <c r="C128" s="78"/>
      <c r="D128" s="79"/>
      <c r="E128" s="79"/>
      <c r="F128" s="79"/>
      <c r="G128" s="78"/>
      <c r="H128" s="78"/>
      <c r="I128" s="178"/>
      <c r="J128" s="1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</row>
    <row r="129" spans="1:38" s="33" customFormat="1" outlineLevel="1" x14ac:dyDescent="0.15">
      <c r="A129" s="37" t="s">
        <v>12</v>
      </c>
      <c r="B129" s="78"/>
      <c r="C129" s="78"/>
      <c r="D129" s="79"/>
      <c r="E129" s="79"/>
      <c r="F129" s="79"/>
      <c r="G129" s="78"/>
      <c r="H129" s="78"/>
      <c r="I129" s="178"/>
      <c r="J129" s="1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</row>
    <row r="130" spans="1:38" s="33" customFormat="1" outlineLevel="1" x14ac:dyDescent="0.15">
      <c r="A130" s="78" t="s">
        <v>219</v>
      </c>
      <c r="B130" s="78"/>
      <c r="C130" s="78"/>
      <c r="D130" s="79"/>
      <c r="E130" s="79">
        <f>E114</f>
        <v>532460758.72111821</v>
      </c>
      <c r="F130" s="79"/>
      <c r="G130" s="78"/>
      <c r="H130" s="78"/>
      <c r="I130" s="178"/>
      <c r="J130" s="1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</row>
    <row r="131" spans="1:38" s="33" customFormat="1" outlineLevel="1" x14ac:dyDescent="0.15">
      <c r="A131" s="78" t="s">
        <v>220</v>
      </c>
      <c r="B131" s="78"/>
      <c r="C131" s="78"/>
      <c r="D131" s="79"/>
      <c r="E131" s="136" t="s">
        <v>66</v>
      </c>
      <c r="F131" s="79"/>
      <c r="G131" s="78"/>
      <c r="H131" s="78"/>
      <c r="I131" s="178"/>
      <c r="J131" s="1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</row>
    <row r="132" spans="1:38" s="33" customFormat="1" outlineLevel="1" x14ac:dyDescent="0.15">
      <c r="A132" s="78" t="s">
        <v>221</v>
      </c>
      <c r="B132" s="78"/>
      <c r="C132" s="78"/>
      <c r="D132" s="79"/>
      <c r="E132" s="136">
        <v>279100000</v>
      </c>
      <c r="F132" s="79"/>
      <c r="G132" s="78"/>
      <c r="H132" s="78"/>
      <c r="I132" s="178"/>
      <c r="J132" s="1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</row>
    <row r="133" spans="1:38" s="33" customFormat="1" outlineLevel="1" x14ac:dyDescent="0.15">
      <c r="A133" s="78" t="s">
        <v>222</v>
      </c>
      <c r="B133" s="78"/>
      <c r="C133" s="78"/>
      <c r="D133" s="79"/>
      <c r="E133" s="136">
        <v>6900000</v>
      </c>
      <c r="F133" s="79"/>
      <c r="G133" s="78"/>
      <c r="H133" s="78"/>
      <c r="I133" s="178"/>
      <c r="J133" s="1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</row>
    <row r="134" spans="1:38" s="33" customFormat="1" outlineLevel="1" x14ac:dyDescent="0.15">
      <c r="A134" s="37" t="s">
        <v>223</v>
      </c>
      <c r="B134" s="78"/>
      <c r="C134" s="78"/>
      <c r="D134" s="79"/>
      <c r="E134" s="109">
        <f>SUM(E130:E132)-E133</f>
        <v>804660758.72111821</v>
      </c>
      <c r="F134" s="79"/>
      <c r="G134" s="78"/>
      <c r="H134" s="78"/>
      <c r="I134" s="178"/>
      <c r="J134" s="1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</row>
    <row r="135" spans="1:38" s="33" customFormat="1" outlineLevel="1" x14ac:dyDescent="0.15">
      <c r="A135" s="37"/>
      <c r="B135" s="78"/>
      <c r="C135" s="78"/>
      <c r="D135" s="79"/>
      <c r="E135" s="79"/>
      <c r="F135" s="79"/>
      <c r="G135" s="78"/>
      <c r="H135" s="78"/>
      <c r="I135" s="178"/>
      <c r="J135" s="1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</row>
    <row r="136" spans="1:38" s="33" customFormat="1" outlineLevel="1" x14ac:dyDescent="0.15">
      <c r="A136" s="78" t="s">
        <v>224</v>
      </c>
      <c r="B136" s="78"/>
      <c r="C136" s="78"/>
      <c r="D136" s="79"/>
      <c r="E136" s="79">
        <v>1155000000</v>
      </c>
      <c r="F136" s="179"/>
      <c r="G136" s="78"/>
      <c r="H136" s="78"/>
      <c r="I136" s="178"/>
      <c r="J136" s="1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</row>
    <row r="137" spans="1:38" s="33" customFormat="1" outlineLevel="1" x14ac:dyDescent="0.15">
      <c r="A137" s="78" t="s">
        <v>225</v>
      </c>
      <c r="B137" s="78"/>
      <c r="C137" s="78"/>
      <c r="D137" s="79"/>
      <c r="E137" s="179">
        <f>E134/E136</f>
        <v>0.69667598157672572</v>
      </c>
      <c r="F137" s="179"/>
      <c r="G137" s="78"/>
      <c r="H137" s="78"/>
      <c r="I137" s="178"/>
      <c r="J137" s="1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</row>
    <row r="138" spans="1:38" s="33" customFormat="1" outlineLevel="1" x14ac:dyDescent="0.15">
      <c r="A138" s="37"/>
      <c r="B138" s="78"/>
      <c r="C138" s="78"/>
      <c r="D138" s="79"/>
      <c r="E138" s="79"/>
      <c r="F138" s="179"/>
      <c r="G138" s="78"/>
      <c r="H138" s="78"/>
      <c r="I138" s="178"/>
      <c r="J138" s="1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</row>
    <row r="139" spans="1:38" s="33" customFormat="1" outlineLevel="1" x14ac:dyDescent="0.15">
      <c r="A139" s="37" t="s">
        <v>15</v>
      </c>
      <c r="B139" s="78"/>
      <c r="C139" s="78"/>
      <c r="D139" s="79"/>
      <c r="E139" s="179">
        <f>$F$52</f>
        <v>1.54</v>
      </c>
      <c r="F139" s="179"/>
      <c r="G139" s="78"/>
      <c r="H139" s="78"/>
      <c r="I139" s="178"/>
      <c r="J139" s="1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</row>
    <row r="140" spans="1:38" s="33" customFormat="1" outlineLevel="1" x14ac:dyDescent="0.15">
      <c r="A140" s="37" t="s">
        <v>56</v>
      </c>
      <c r="B140" s="78"/>
      <c r="C140" s="78"/>
      <c r="D140" s="79"/>
      <c r="E140" s="110">
        <f>E139/E137</f>
        <v>2.210496759935161</v>
      </c>
      <c r="F140" s="179"/>
      <c r="G140" s="78"/>
      <c r="H140" s="78"/>
      <c r="I140" s="178"/>
      <c r="J140" s="1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</row>
    <row r="141" spans="1:38" s="33" customFormat="1" x14ac:dyDescent="0.15">
      <c r="A141" s="78"/>
      <c r="B141" s="78"/>
      <c r="C141" s="78"/>
      <c r="D141" s="79"/>
      <c r="E141" s="79"/>
      <c r="F141" s="79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</row>
    <row r="142" spans="1:38" s="50" customFormat="1" ht="18.75" customHeight="1" x14ac:dyDescent="0.2">
      <c r="A142" s="107" t="s">
        <v>226</v>
      </c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</row>
    <row r="143" spans="1:38" ht="16.5" hidden="1" customHeight="1" outlineLevel="1" x14ac:dyDescent="0.1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</row>
    <row r="144" spans="1:38" hidden="1" outlineLevel="1" x14ac:dyDescent="0.15">
      <c r="A144" s="77"/>
      <c r="B144" s="77"/>
      <c r="C144" s="77"/>
      <c r="D144" s="77"/>
      <c r="E144" s="77"/>
      <c r="F144" s="77"/>
      <c r="G144" s="77" t="s">
        <v>227</v>
      </c>
      <c r="H144" s="180"/>
      <c r="I144" s="146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</row>
    <row r="145" spans="1:38" hidden="1" outlineLevel="1" x14ac:dyDescent="0.15">
      <c r="A145" s="77"/>
      <c r="B145" s="77"/>
      <c r="C145" s="77"/>
      <c r="D145" s="77"/>
      <c r="E145" s="77"/>
      <c r="F145" s="77"/>
      <c r="G145" s="77" t="s">
        <v>210</v>
      </c>
      <c r="H145" s="148"/>
      <c r="I145" s="146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</row>
    <row r="146" spans="1:38" hidden="1" outlineLevel="1" x14ac:dyDescent="0.15">
      <c r="A146" s="77"/>
      <c r="B146" s="77"/>
      <c r="C146" s="77"/>
      <c r="D146" s="77"/>
      <c r="E146" s="77"/>
      <c r="F146" s="77"/>
      <c r="G146" s="77" t="s">
        <v>228</v>
      </c>
      <c r="H146" s="60"/>
      <c r="I146" s="13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</row>
    <row r="147" spans="1:38" hidden="1" outlineLevel="1" x14ac:dyDescent="0.15">
      <c r="A147" s="77"/>
      <c r="B147" s="77"/>
      <c r="C147" s="77"/>
      <c r="D147" s="77"/>
      <c r="E147" s="77"/>
      <c r="F147" s="77"/>
      <c r="G147" s="77" t="s">
        <v>229</v>
      </c>
      <c r="H147" s="181"/>
      <c r="I147" s="142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</row>
    <row r="148" spans="1:38" hidden="1" outlineLevel="1" x14ac:dyDescent="0.15">
      <c r="A148" s="77"/>
      <c r="B148" s="77"/>
      <c r="C148" s="77"/>
      <c r="D148" s="77"/>
      <c r="E148" s="77"/>
      <c r="F148" s="77"/>
      <c r="G148" s="77"/>
      <c r="H148" s="142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</row>
    <row r="149" spans="1:38" ht="15.75" hidden="1" customHeight="1" outlineLevel="1" x14ac:dyDescent="0.15">
      <c r="A149" s="77"/>
      <c r="B149" s="77"/>
      <c r="C149" s="77"/>
      <c r="D149" s="77"/>
      <c r="E149" s="77"/>
      <c r="F149" s="77"/>
      <c r="G149" s="51" t="s">
        <v>229</v>
      </c>
      <c r="H149" s="52"/>
      <c r="I149" s="52"/>
      <c r="J149" s="52"/>
      <c r="K149" s="52"/>
      <c r="L149" s="52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</row>
    <row r="150" spans="1:38" hidden="1" outlineLevel="1" x14ac:dyDescent="0.15">
      <c r="A150" s="77"/>
      <c r="B150" s="77"/>
      <c r="C150" s="77"/>
      <c r="D150" s="77"/>
      <c r="E150" s="77"/>
      <c r="F150" s="77"/>
      <c r="G150" s="46"/>
      <c r="H150" s="182" t="s">
        <v>230</v>
      </c>
      <c r="I150" s="182"/>
      <c r="J150" s="182"/>
      <c r="K150" s="182"/>
      <c r="L150" s="182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</row>
    <row r="151" spans="1:38" hidden="1" outlineLevel="1" x14ac:dyDescent="0.15">
      <c r="G151" s="47">
        <f>E119</f>
        <v>0</v>
      </c>
      <c r="H151" s="62">
        <v>1000</v>
      </c>
      <c r="I151" s="183">
        <f>+H151+200</f>
        <v>1200</v>
      </c>
      <c r="J151" s="183">
        <f t="shared" ref="J151:L151" si="23">+I151+200</f>
        <v>1400</v>
      </c>
      <c r="K151" s="183">
        <f t="shared" si="23"/>
        <v>1600</v>
      </c>
      <c r="L151" s="183">
        <f t="shared" si="23"/>
        <v>1800</v>
      </c>
    </row>
    <row r="152" spans="1:38" hidden="1" outlineLevel="1" x14ac:dyDescent="0.15">
      <c r="G152" s="61">
        <v>12</v>
      </c>
      <c r="H152" s="184"/>
      <c r="I152" s="184"/>
      <c r="J152" s="184"/>
      <c r="K152" s="184"/>
      <c r="L152" s="184"/>
    </row>
    <row r="153" spans="1:38" hidden="1" outlineLevel="1" x14ac:dyDescent="0.15">
      <c r="G153" s="185">
        <f>+G152-1</f>
        <v>11</v>
      </c>
      <c r="H153" s="142"/>
      <c r="I153" s="142"/>
      <c r="J153" s="142"/>
      <c r="K153" s="142"/>
      <c r="L153" s="142"/>
    </row>
    <row r="154" spans="1:38" hidden="1" outlineLevel="1" x14ac:dyDescent="0.15">
      <c r="G154" s="185">
        <f t="shared" ref="G154:G160" si="24">+G153-1</f>
        <v>10</v>
      </c>
      <c r="H154" s="142"/>
      <c r="I154" s="142"/>
      <c r="J154" s="142"/>
      <c r="K154" s="142"/>
      <c r="L154" s="142"/>
    </row>
    <row r="155" spans="1:38" hidden="1" outlineLevel="1" x14ac:dyDescent="0.15">
      <c r="G155" s="185">
        <f t="shared" si="24"/>
        <v>9</v>
      </c>
      <c r="H155" s="142"/>
      <c r="I155" s="186"/>
      <c r="J155" s="186"/>
      <c r="K155" s="186"/>
      <c r="L155" s="142"/>
    </row>
    <row r="156" spans="1:38" hidden="1" outlineLevel="1" x14ac:dyDescent="0.15">
      <c r="G156" s="185">
        <f t="shared" si="24"/>
        <v>8</v>
      </c>
      <c r="H156" s="142"/>
      <c r="I156" s="186"/>
      <c r="J156" s="186"/>
      <c r="K156" s="186"/>
      <c r="L156" s="142"/>
    </row>
    <row r="157" spans="1:38" hidden="1" outlineLevel="1" x14ac:dyDescent="0.15">
      <c r="G157" s="185">
        <f t="shared" si="24"/>
        <v>7</v>
      </c>
      <c r="H157" s="142"/>
      <c r="I157" s="186"/>
      <c r="J157" s="186"/>
      <c r="K157" s="186"/>
      <c r="L157" s="142"/>
    </row>
    <row r="158" spans="1:38" hidden="1" outlineLevel="1" x14ac:dyDescent="0.15">
      <c r="G158" s="185">
        <f t="shared" si="24"/>
        <v>6</v>
      </c>
      <c r="H158" s="142"/>
      <c r="I158" s="142"/>
      <c r="J158" s="142"/>
      <c r="K158" s="142"/>
      <c r="L158" s="142"/>
    </row>
    <row r="159" spans="1:38" hidden="1" outlineLevel="1" x14ac:dyDescent="0.15">
      <c r="G159" s="185">
        <f t="shared" si="24"/>
        <v>5</v>
      </c>
      <c r="H159" s="142"/>
      <c r="I159" s="142"/>
      <c r="J159" s="142"/>
      <c r="K159" s="142"/>
      <c r="L159" s="142"/>
    </row>
    <row r="160" spans="1:38" hidden="1" outlineLevel="1" x14ac:dyDescent="0.15">
      <c r="G160" s="185">
        <f t="shared" si="24"/>
        <v>4</v>
      </c>
      <c r="H160" s="142"/>
      <c r="I160" s="142"/>
      <c r="J160" s="142"/>
      <c r="K160" s="142"/>
      <c r="L160" s="142"/>
    </row>
    <row r="161" spans="1:38" hidden="1" outlineLevel="1" x14ac:dyDescent="0.15">
      <c r="G161" s="77"/>
      <c r="H161" s="77"/>
      <c r="I161" s="77"/>
      <c r="J161" s="77"/>
      <c r="K161" s="77"/>
      <c r="L161" s="77"/>
    </row>
    <row r="162" spans="1:38" hidden="1" outlineLevel="1" x14ac:dyDescent="0.15">
      <c r="G162" s="77"/>
      <c r="H162" s="77"/>
      <c r="I162" s="77"/>
      <c r="J162" s="77"/>
      <c r="K162" s="77"/>
      <c r="L162" s="77"/>
    </row>
    <row r="163" spans="1:38" ht="15.75" hidden="1" customHeight="1" outlineLevel="1" x14ac:dyDescent="0.15">
      <c r="G163" s="51" t="s">
        <v>231</v>
      </c>
      <c r="H163" s="52"/>
      <c r="I163" s="52"/>
      <c r="J163" s="52"/>
      <c r="K163" s="52"/>
      <c r="L163" s="52"/>
    </row>
    <row r="164" spans="1:38" hidden="1" outlineLevel="1" x14ac:dyDescent="0.15">
      <c r="G164" s="77"/>
      <c r="H164" s="182" t="s">
        <v>230</v>
      </c>
      <c r="I164" s="182"/>
      <c r="J164" s="182"/>
      <c r="K164" s="182"/>
      <c r="L164" s="182"/>
    </row>
    <row r="165" spans="1:38" hidden="1" outlineLevel="1" x14ac:dyDescent="0.15">
      <c r="G165" s="54">
        <f>E117/1000000</f>
        <v>0</v>
      </c>
      <c r="H165" s="62">
        <v>1000</v>
      </c>
      <c r="I165" s="183">
        <f>+H165+200</f>
        <v>1200</v>
      </c>
      <c r="J165" s="183">
        <f t="shared" ref="J165:L165" si="25">+I165+200</f>
        <v>1400</v>
      </c>
      <c r="K165" s="183">
        <f t="shared" si="25"/>
        <v>1600</v>
      </c>
      <c r="L165" s="183">
        <f t="shared" si="25"/>
        <v>1800</v>
      </c>
    </row>
    <row r="166" spans="1:38" hidden="1" outlineLevel="1" x14ac:dyDescent="0.15">
      <c r="G166" s="63">
        <v>0.09</v>
      </c>
      <c r="H166" s="187"/>
      <c r="I166" s="144"/>
      <c r="J166" s="144"/>
      <c r="K166" s="144"/>
      <c r="L166" s="144"/>
    </row>
    <row r="167" spans="1:38" hidden="1" outlineLevel="1" x14ac:dyDescent="0.15">
      <c r="A167" s="77"/>
      <c r="B167" s="77"/>
      <c r="C167" s="77"/>
      <c r="D167" s="77"/>
      <c r="E167" s="77"/>
      <c r="F167" s="77"/>
      <c r="G167" s="188">
        <f>G166-0.01</f>
        <v>0.08</v>
      </c>
      <c r="H167" s="146"/>
      <c r="I167" s="146"/>
      <c r="J167" s="146"/>
      <c r="K167" s="146"/>
      <c r="L167" s="146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</row>
    <row r="168" spans="1:38" hidden="1" outlineLevel="1" x14ac:dyDescent="0.15">
      <c r="A168" s="77"/>
      <c r="B168" s="77"/>
      <c r="C168" s="77"/>
      <c r="D168" s="77"/>
      <c r="E168" s="77"/>
      <c r="F168" s="77"/>
      <c r="G168" s="188">
        <f t="shared" ref="G168:G174" si="26">G167-0.01</f>
        <v>7.0000000000000007E-2</v>
      </c>
      <c r="H168" s="146"/>
      <c r="I168" s="146"/>
      <c r="J168" s="146"/>
      <c r="K168" s="146"/>
      <c r="L168" s="146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</row>
    <row r="169" spans="1:38" hidden="1" outlineLevel="1" x14ac:dyDescent="0.15">
      <c r="A169" s="77"/>
      <c r="B169" s="77"/>
      <c r="C169" s="77"/>
      <c r="D169" s="77"/>
      <c r="E169" s="77"/>
      <c r="F169" s="77"/>
      <c r="G169" s="188">
        <f t="shared" si="26"/>
        <v>6.0000000000000005E-2</v>
      </c>
      <c r="H169" s="146"/>
      <c r="I169" s="189"/>
      <c r="J169" s="189"/>
      <c r="K169" s="189"/>
      <c r="L169" s="146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</row>
    <row r="170" spans="1:38" hidden="1" outlineLevel="1" x14ac:dyDescent="0.15">
      <c r="A170" s="77"/>
      <c r="B170" s="77"/>
      <c r="C170" s="77"/>
      <c r="D170" s="77"/>
      <c r="E170" s="77"/>
      <c r="F170" s="77"/>
      <c r="G170" s="188">
        <f t="shared" si="26"/>
        <v>0.05</v>
      </c>
      <c r="H170" s="146"/>
      <c r="I170" s="189"/>
      <c r="J170" s="189"/>
      <c r="K170" s="189"/>
      <c r="L170" s="146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</row>
    <row r="171" spans="1:38" hidden="1" outlineLevel="1" x14ac:dyDescent="0.15">
      <c r="A171" s="77"/>
      <c r="B171" s="77"/>
      <c r="C171" s="77"/>
      <c r="D171" s="77"/>
      <c r="E171" s="77"/>
      <c r="F171" s="77"/>
      <c r="G171" s="188">
        <f t="shared" si="26"/>
        <v>0.04</v>
      </c>
      <c r="H171" s="146"/>
      <c r="I171" s="189"/>
      <c r="J171" s="189"/>
      <c r="K171" s="189"/>
      <c r="L171" s="146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</row>
    <row r="172" spans="1:38" hidden="1" outlineLevel="1" x14ac:dyDescent="0.15">
      <c r="A172" s="77"/>
      <c r="B172" s="77"/>
      <c r="C172" s="77"/>
      <c r="D172" s="77"/>
      <c r="E172" s="77"/>
      <c r="F172" s="77"/>
      <c r="G172" s="188">
        <f t="shared" si="26"/>
        <v>0.03</v>
      </c>
      <c r="H172" s="146"/>
      <c r="I172" s="146"/>
      <c r="J172" s="146"/>
      <c r="K172" s="146"/>
      <c r="L172" s="146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</row>
    <row r="173" spans="1:38" hidden="1" outlineLevel="1" x14ac:dyDescent="0.15">
      <c r="A173" s="77"/>
      <c r="B173" s="77"/>
      <c r="C173" s="77"/>
      <c r="D173" s="77"/>
      <c r="E173" s="77"/>
      <c r="F173" s="77"/>
      <c r="G173" s="188">
        <f t="shared" si="26"/>
        <v>1.9999999999999997E-2</v>
      </c>
      <c r="H173" s="146"/>
      <c r="I173" s="146"/>
      <c r="J173" s="146"/>
      <c r="K173" s="146"/>
      <c r="L173" s="146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</row>
    <row r="174" spans="1:38" hidden="1" outlineLevel="1" x14ac:dyDescent="0.15">
      <c r="A174" s="77"/>
      <c r="B174" s="77"/>
      <c r="C174" s="77"/>
      <c r="D174" s="77"/>
      <c r="E174" s="77"/>
      <c r="F174" s="77"/>
      <c r="G174" s="188">
        <f t="shared" si="26"/>
        <v>9.9999999999999967E-3</v>
      </c>
      <c r="H174" s="146"/>
      <c r="I174" s="146"/>
      <c r="J174" s="146"/>
      <c r="K174" s="146"/>
      <c r="L174" s="146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</row>
    <row r="175" spans="1:38" hidden="1" outlineLevel="1" x14ac:dyDescent="0.15">
      <c r="A175" s="77"/>
      <c r="B175" s="77"/>
      <c r="C175" s="77"/>
      <c r="D175" s="77"/>
      <c r="E175" s="77"/>
      <c r="F175" s="77"/>
      <c r="G175" s="142"/>
      <c r="H175" s="146"/>
      <c r="I175" s="146"/>
      <c r="J175" s="146"/>
      <c r="K175" s="146"/>
      <c r="L175" s="146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</row>
    <row r="176" spans="1:38" collapsed="1" x14ac:dyDescent="0.15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</row>
    <row r="177" spans="1:38" s="50" customFormat="1" ht="18.75" customHeight="1" x14ac:dyDescent="0.2">
      <c r="A177" s="107" t="s">
        <v>232</v>
      </c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</row>
    <row r="178" spans="1:38" s="29" customFormat="1" ht="24" hidden="1" customHeight="1" outlineLevel="2" x14ac:dyDescent="0.2">
      <c r="A178" s="80"/>
      <c r="B178" s="80"/>
      <c r="C178" s="80"/>
      <c r="D178" s="80"/>
      <c r="E178" s="80"/>
      <c r="F178" s="80"/>
      <c r="G178" s="56">
        <f t="shared" ref="G178:P178" si="27">G2</f>
        <v>2024</v>
      </c>
      <c r="H178" s="56">
        <f t="shared" si="27"/>
        <v>2025</v>
      </c>
      <c r="I178" s="56">
        <f t="shared" si="27"/>
        <v>2026</v>
      </c>
      <c r="J178" s="56">
        <f t="shared" si="27"/>
        <v>2027</v>
      </c>
      <c r="K178" s="56">
        <f t="shared" si="27"/>
        <v>2028</v>
      </c>
      <c r="L178" s="56">
        <f t="shared" si="27"/>
        <v>2029</v>
      </c>
      <c r="M178" s="56">
        <f t="shared" si="27"/>
        <v>2030</v>
      </c>
      <c r="N178" s="56">
        <f t="shared" si="27"/>
        <v>2031</v>
      </c>
      <c r="O178" s="56">
        <f t="shared" si="27"/>
        <v>2032</v>
      </c>
      <c r="P178" s="56">
        <f t="shared" si="27"/>
        <v>2033</v>
      </c>
    </row>
    <row r="179" spans="1:38" s="29" customFormat="1" hidden="1" outlineLevel="2" x14ac:dyDescent="0.15">
      <c r="A179" s="153" t="s">
        <v>233</v>
      </c>
      <c r="B179" s="153"/>
      <c r="C179" s="153"/>
      <c r="D179" s="153"/>
      <c r="E179" s="153"/>
      <c r="F179" s="153"/>
      <c r="G179" s="57"/>
      <c r="H179" s="57"/>
      <c r="I179" s="57"/>
      <c r="J179" s="57"/>
      <c r="K179" s="57"/>
      <c r="L179" s="57"/>
      <c r="M179" s="57"/>
      <c r="N179" s="57"/>
      <c r="O179" s="57"/>
      <c r="P179" s="57"/>
    </row>
    <row r="180" spans="1:38" s="29" customFormat="1" hidden="1" outlineLevel="2" x14ac:dyDescent="0.15">
      <c r="A180" s="80" t="s">
        <v>203</v>
      </c>
      <c r="B180" s="80"/>
      <c r="C180" s="80"/>
      <c r="D180" s="80"/>
      <c r="E180" s="80"/>
      <c r="F180" s="8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1:38" s="29" customFormat="1" hidden="1" outlineLevel="2" x14ac:dyDescent="0.15">
      <c r="A181" s="153" t="s">
        <v>199</v>
      </c>
      <c r="B181" s="153"/>
      <c r="C181" s="153"/>
      <c r="D181" s="153"/>
      <c r="E181" s="153"/>
      <c r="F181" s="153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spans="1:38" s="29" customFormat="1" hidden="1" outlineLevel="2" x14ac:dyDescent="0.15">
      <c r="A182" s="80"/>
      <c r="B182" s="80"/>
      <c r="C182" s="80"/>
      <c r="D182" s="80"/>
      <c r="E182" s="80"/>
      <c r="F182" s="80"/>
      <c r="G182" s="55"/>
      <c r="H182" s="39"/>
      <c r="I182" s="39"/>
      <c r="J182" s="39"/>
      <c r="K182" s="39"/>
      <c r="L182" s="39"/>
      <c r="M182" s="39"/>
      <c r="N182" s="39"/>
      <c r="O182" s="39"/>
      <c r="P182" s="39"/>
    </row>
    <row r="183" spans="1:38" s="29" customFormat="1" hidden="1" outlineLevel="2" x14ac:dyDescent="0.15">
      <c r="A183" s="80" t="s">
        <v>215</v>
      </c>
      <c r="B183" s="80"/>
      <c r="C183" s="80"/>
      <c r="D183" s="80"/>
      <c r="E183" s="80"/>
      <c r="F183" s="80"/>
      <c r="G183" s="55"/>
      <c r="H183" s="55"/>
      <c r="I183" s="55"/>
      <c r="J183" s="55"/>
      <c r="K183" s="55"/>
      <c r="L183" s="55"/>
      <c r="M183" s="55"/>
      <c r="N183" s="55"/>
      <c r="O183" s="55"/>
      <c r="P183" s="55"/>
    </row>
    <row r="184" spans="1:38" s="29" customFormat="1" hidden="1" outlineLevel="2" x14ac:dyDescent="0.15">
      <c r="A184" s="80" t="s">
        <v>234</v>
      </c>
      <c r="B184" s="80"/>
      <c r="C184" s="80"/>
      <c r="D184" s="80"/>
      <c r="E184" s="80"/>
      <c r="F184" s="8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1:38" s="29" customFormat="1" hidden="1" outlineLevel="2" x14ac:dyDescent="0.15">
      <c r="A185" s="153" t="s">
        <v>199</v>
      </c>
      <c r="B185" s="153"/>
      <c r="C185" s="153"/>
      <c r="D185" s="153"/>
      <c r="E185" s="153"/>
      <c r="F185" s="153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spans="1:38" s="29" customFormat="1" hidden="1" outlineLevel="2" x14ac:dyDescent="0.15">
      <c r="A186" s="80"/>
      <c r="B186" s="80"/>
      <c r="C186" s="80"/>
      <c r="D186" s="80"/>
      <c r="E186" s="80"/>
      <c r="F186" s="80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 spans="1:38" s="29" customFormat="1" hidden="1" outlineLevel="2" x14ac:dyDescent="0.15">
      <c r="A187" s="80" t="s">
        <v>235</v>
      </c>
      <c r="B187" s="80"/>
      <c r="C187" s="80"/>
      <c r="D187" s="80"/>
      <c r="E187" s="80"/>
      <c r="F187" s="8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1:38" s="29" customFormat="1" hidden="1" outlineLevel="2" x14ac:dyDescent="0.15">
      <c r="A188" s="80" t="s">
        <v>236</v>
      </c>
      <c r="B188" s="80"/>
      <c r="C188" s="80"/>
      <c r="D188" s="80"/>
      <c r="E188" s="80"/>
      <c r="F188" s="8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1:38" s="29" customFormat="1" hidden="1" outlineLevel="2" x14ac:dyDescent="0.15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</row>
    <row r="190" spans="1:38" s="29" customFormat="1" hidden="1" outlineLevel="2" x14ac:dyDescent="0.15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</row>
    <row r="191" spans="1:38" s="29" customFormat="1" hidden="1" outlineLevel="2" x14ac:dyDescent="0.15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</row>
    <row r="192" spans="1:38" s="29" customFormat="1" hidden="1" outlineLevel="2" x14ac:dyDescent="0.15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</row>
    <row r="193" spans="1:16" s="29" customFormat="1" hidden="1" outlineLevel="2" x14ac:dyDescent="0.15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</row>
    <row r="194" spans="1:16" s="29" customFormat="1" hidden="1" outlineLevel="2" x14ac:dyDescent="0.15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</row>
    <row r="195" spans="1:16" s="29" customFormat="1" hidden="1" outlineLevel="2" x14ac:dyDescent="0.1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spans="1:16" s="29" customFormat="1" hidden="1" outlineLevel="2" x14ac:dyDescent="0.15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</row>
    <row r="197" spans="1:16" s="29" customFormat="1" hidden="1" outlineLevel="2" x14ac:dyDescent="0.15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</row>
    <row r="198" spans="1:16" s="29" customFormat="1" hidden="1" outlineLevel="2" x14ac:dyDescent="0.15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</row>
    <row r="199" spans="1:16" s="29" customFormat="1" hidden="1" outlineLevel="2" x14ac:dyDescent="0.15"/>
    <row r="200" spans="1:16" s="29" customFormat="1" hidden="1" outlineLevel="2" x14ac:dyDescent="0.15"/>
    <row r="201" spans="1:16" s="29" customFormat="1" hidden="1" outlineLevel="2" x14ac:dyDescent="0.15"/>
    <row r="202" spans="1:16" s="29" customFormat="1" hidden="1" outlineLevel="2" x14ac:dyDescent="0.15"/>
    <row r="203" spans="1:16" s="29" customFormat="1" hidden="1" outlineLevel="2" x14ac:dyDescent="0.15"/>
    <row r="204" spans="1:16" s="29" customFormat="1" hidden="1" outlineLevel="2" x14ac:dyDescent="0.15"/>
    <row r="205" spans="1:16" s="29" customFormat="1" hidden="1" outlineLevel="2" x14ac:dyDescent="0.15"/>
    <row r="206" spans="1:16" s="29" customFormat="1" hidden="1" outlineLevel="2" x14ac:dyDescent="0.15"/>
    <row r="207" spans="1:16" s="29" customFormat="1" hidden="1" outlineLevel="2" x14ac:dyDescent="0.15"/>
    <row r="208" spans="1:16" s="29" customFormat="1" hidden="1" outlineLevel="2" x14ac:dyDescent="0.15"/>
    <row r="209" s="29" customFormat="1" hidden="1" outlineLevel="2" x14ac:dyDescent="0.15"/>
    <row r="210" s="29" customFormat="1" hidden="1" outlineLevel="2" x14ac:dyDescent="0.15"/>
    <row r="211" s="29" customFormat="1" hidden="1" outlineLevel="2" x14ac:dyDescent="0.15"/>
    <row r="212" hidden="1" outlineLevel="2" x14ac:dyDescent="0.15"/>
    <row r="213" collapsed="1" x14ac:dyDescent="0.15"/>
  </sheetData>
  <conditionalFormatting sqref="A2 C2">
    <cfRule type="containsText" dxfId="7" priority="3" operator="containsText" text="OK">
      <formula>NOT(ISERROR(SEARCH("OK",A2)))</formula>
    </cfRule>
    <cfRule type="containsText" dxfId="6" priority="4" operator="containsText" text="ERROR">
      <formula>NOT(ISERROR(SEARCH("ERROR",A2)))</formula>
    </cfRule>
  </conditionalFormatting>
  <conditionalFormatting sqref="E3:AL3">
    <cfRule type="containsText" dxfId="5" priority="1" operator="containsText" text="OK">
      <formula>NOT(ISERROR(SEARCH("OK",#REF!)))</formula>
    </cfRule>
    <cfRule type="containsText" dxfId="4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1" xr:uid="{DEC66015-A64E-6349-840F-65CDCEC8D3EC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C502-A334-DF41-83D1-3897CA9CF00A}">
  <dimension ref="A1:T232"/>
  <sheetViews>
    <sheetView showGridLines="0" zoomScale="90" zoomScaleNormal="35" workbookViewId="0">
      <pane ySplit="3" topLeftCell="A33" activePane="bottomLeft" state="frozen"/>
      <selection activeCell="B314" sqref="B314"/>
      <selection pane="bottomLeft" activeCell="W64" sqref="W64"/>
    </sheetView>
  </sheetViews>
  <sheetFormatPr baseColWidth="10" defaultColWidth="11.1640625" defaultRowHeight="14" outlineLevelRow="2" x14ac:dyDescent="0.15"/>
  <cols>
    <col min="1" max="1" width="5.83203125" style="5" customWidth="1"/>
    <col min="2" max="2" width="8.5" style="5" customWidth="1"/>
    <col min="3" max="3" width="10.5" style="5" customWidth="1"/>
    <col min="4" max="4" width="9.5" style="5" customWidth="1"/>
    <col min="5" max="5" width="13.1640625" style="5" bestFit="1" customWidth="1"/>
    <col min="6" max="7" width="13.83203125" style="5" customWidth="1"/>
    <col min="8" max="8" width="15.83203125" style="5" bestFit="1" customWidth="1"/>
    <col min="9" max="16" width="13.83203125" style="5" customWidth="1"/>
    <col min="17" max="16384" width="11.1640625" style="5"/>
  </cols>
  <sheetData>
    <row r="1" spans="1:20" s="49" customFormat="1" ht="16.5" customHeight="1" x14ac:dyDescent="0.2">
      <c r="A1" s="100"/>
      <c r="B1" s="99"/>
      <c r="C1" s="100"/>
      <c r="D1" s="100"/>
      <c r="E1" s="100"/>
      <c r="F1" s="101"/>
      <c r="G1" s="101">
        <f>DATE(G2,12,31)</f>
        <v>45657</v>
      </c>
      <c r="H1" s="101">
        <f t="shared" ref="H1:T1" si="0">DATE(H2,12,31)</f>
        <v>46022</v>
      </c>
      <c r="I1" s="101">
        <f t="shared" si="0"/>
        <v>46387</v>
      </c>
      <c r="J1" s="101">
        <f t="shared" si="0"/>
        <v>46752</v>
      </c>
      <c r="K1" s="101">
        <f t="shared" si="0"/>
        <v>47118</v>
      </c>
      <c r="L1" s="101">
        <f t="shared" si="0"/>
        <v>47483</v>
      </c>
      <c r="M1" s="101">
        <f t="shared" si="0"/>
        <v>47848</v>
      </c>
      <c r="N1" s="101">
        <f t="shared" si="0"/>
        <v>48213</v>
      </c>
      <c r="O1" s="101">
        <f t="shared" si="0"/>
        <v>48579</v>
      </c>
      <c r="P1" s="101">
        <f t="shared" si="0"/>
        <v>48944</v>
      </c>
      <c r="Q1" s="101">
        <f t="shared" si="0"/>
        <v>49309</v>
      </c>
      <c r="R1" s="101">
        <f t="shared" si="0"/>
        <v>49674</v>
      </c>
      <c r="S1" s="101">
        <f t="shared" si="0"/>
        <v>50040</v>
      </c>
      <c r="T1" s="101">
        <f t="shared" si="0"/>
        <v>50405</v>
      </c>
    </row>
    <row r="2" spans="1:20" s="49" customFormat="1" ht="16.5" customHeight="1" x14ac:dyDescent="0.2">
      <c r="A2" s="102" t="s">
        <v>61</v>
      </c>
      <c r="B2" s="103"/>
      <c r="C2" s="104">
        <f>F25</f>
        <v>2</v>
      </c>
      <c r="D2" s="105" t="s">
        <v>62</v>
      </c>
      <c r="E2" s="105" t="s">
        <v>63</v>
      </c>
      <c r="F2" s="105" t="s">
        <v>64</v>
      </c>
      <c r="G2" s="106">
        <v>2024</v>
      </c>
      <c r="H2" s="106">
        <f t="shared" ref="H2:P2" si="1">+G2+1</f>
        <v>2025</v>
      </c>
      <c r="I2" s="106">
        <f t="shared" si="1"/>
        <v>2026</v>
      </c>
      <c r="J2" s="106">
        <f t="shared" si="1"/>
        <v>2027</v>
      </c>
      <c r="K2" s="106">
        <f t="shared" si="1"/>
        <v>2028</v>
      </c>
      <c r="L2" s="106">
        <f t="shared" si="1"/>
        <v>2029</v>
      </c>
      <c r="M2" s="106">
        <f t="shared" si="1"/>
        <v>2030</v>
      </c>
      <c r="N2" s="106">
        <f t="shared" si="1"/>
        <v>2031</v>
      </c>
      <c r="O2" s="106">
        <f t="shared" si="1"/>
        <v>2032</v>
      </c>
      <c r="P2" s="106">
        <f t="shared" si="1"/>
        <v>2033</v>
      </c>
      <c r="Q2" s="106">
        <f t="shared" ref="Q2" si="2">+P2+1</f>
        <v>2034</v>
      </c>
      <c r="R2" s="106">
        <f t="shared" ref="R2" si="3">+Q2+1</f>
        <v>2035</v>
      </c>
      <c r="S2" s="106">
        <f t="shared" ref="S2" si="4">+R2+1</f>
        <v>2036</v>
      </c>
      <c r="T2" s="106">
        <f t="shared" ref="T2" si="5">+S2+1</f>
        <v>2037</v>
      </c>
    </row>
    <row r="3" spans="1:20" s="1" customFormat="1" x14ac:dyDescent="0.15">
      <c r="A3" s="2" t="s">
        <v>65</v>
      </c>
      <c r="B3" s="2"/>
      <c r="C3" s="3"/>
      <c r="D3" s="3"/>
      <c r="E3" s="4"/>
      <c r="F3" s="4"/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  <c r="S3" s="4" t="s">
        <v>66</v>
      </c>
      <c r="T3" s="4" t="s">
        <v>66</v>
      </c>
    </row>
    <row r="5" spans="1:20" s="50" customFormat="1" ht="18" x14ac:dyDescent="0.2">
      <c r="A5" s="107" t="s">
        <v>67</v>
      </c>
      <c r="B5" s="107"/>
      <c r="C5" s="98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6.5" customHeight="1" outlineLevel="1" x14ac:dyDescent="0.15">
      <c r="A6" s="6"/>
      <c r="B6" s="6"/>
      <c r="C6" s="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</row>
    <row r="7" spans="1:20" ht="16.5" customHeight="1" outlineLevel="1" x14ac:dyDescent="0.15">
      <c r="A7" s="76" t="s">
        <v>68</v>
      </c>
      <c r="B7" s="76"/>
      <c r="C7" s="76"/>
      <c r="D7" s="76" t="s">
        <v>69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</row>
    <row r="8" spans="1:20" ht="16.5" customHeight="1" outlineLevel="1" x14ac:dyDescent="0.1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</row>
    <row r="9" spans="1:20" ht="16.5" customHeight="1" outlineLevel="1" x14ac:dyDescent="0.15">
      <c r="A9" s="77"/>
      <c r="B9" s="77"/>
      <c r="C9" s="77"/>
      <c r="D9" s="6" t="s">
        <v>70</v>
      </c>
      <c r="E9" s="77"/>
      <c r="F9" s="77"/>
      <c r="G9" s="77"/>
      <c r="H9" s="86" t="s">
        <v>71</v>
      </c>
      <c r="I9" s="97" t="s">
        <v>72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</row>
    <row r="10" spans="1:20" ht="16.5" customHeight="1" outlineLevel="1" x14ac:dyDescent="0.15">
      <c r="A10" s="77"/>
      <c r="B10" s="77"/>
      <c r="C10" s="77"/>
      <c r="D10" s="92" t="s">
        <v>73</v>
      </c>
      <c r="E10" s="92"/>
      <c r="F10" s="7">
        <f>1/31.1034768</f>
        <v>3.2150746568627979E-2</v>
      </c>
      <c r="G10" s="77"/>
      <c r="H10" s="77" t="s">
        <v>74</v>
      </c>
      <c r="I10" s="18">
        <v>1.39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</row>
    <row r="11" spans="1:20" ht="16.5" customHeight="1" outlineLevel="1" x14ac:dyDescent="0.15">
      <c r="A11" s="77"/>
      <c r="B11" s="77"/>
      <c r="C11" s="77"/>
      <c r="D11" s="77" t="s">
        <v>75</v>
      </c>
      <c r="E11" s="77"/>
      <c r="F11" s="8">
        <v>4.53592E-4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</row>
    <row r="12" spans="1:20" ht="16.5" customHeight="1" outlineLevel="1" x14ac:dyDescent="0.15">
      <c r="A12" s="77"/>
      <c r="B12" s="77"/>
      <c r="C12" s="77"/>
      <c r="D12" s="77" t="s">
        <v>76</v>
      </c>
      <c r="E12" s="77"/>
      <c r="F12" s="9">
        <v>31.103476799999999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</row>
    <row r="13" spans="1:20" ht="16.5" customHeight="1" outlineLevel="1" x14ac:dyDescent="0.1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</row>
    <row r="14" spans="1:20" ht="16.5" customHeight="1" outlineLevel="1" x14ac:dyDescent="0.15">
      <c r="A14" s="6" t="s">
        <v>77</v>
      </c>
      <c r="B14" s="77"/>
      <c r="C14" s="77"/>
      <c r="D14" s="6" t="s">
        <v>78</v>
      </c>
      <c r="E14" s="77"/>
      <c r="F14" s="77"/>
      <c r="G14" s="121">
        <v>2024</v>
      </c>
      <c r="H14" s="121">
        <f t="shared" ref="H14:P14" si="6">+G14+1</f>
        <v>2025</v>
      </c>
      <c r="I14" s="121">
        <f t="shared" si="6"/>
        <v>2026</v>
      </c>
      <c r="J14" s="121">
        <f t="shared" si="6"/>
        <v>2027</v>
      </c>
      <c r="K14" s="121">
        <f t="shared" si="6"/>
        <v>2028</v>
      </c>
      <c r="L14" s="121">
        <f t="shared" si="6"/>
        <v>2029</v>
      </c>
      <c r="M14" s="121">
        <f t="shared" si="6"/>
        <v>2030</v>
      </c>
      <c r="N14" s="121">
        <f t="shared" si="6"/>
        <v>2031</v>
      </c>
      <c r="O14" s="121">
        <f t="shared" si="6"/>
        <v>2032</v>
      </c>
      <c r="P14" s="121">
        <f t="shared" si="6"/>
        <v>2033</v>
      </c>
      <c r="Q14" s="121">
        <f t="shared" ref="Q14" si="7">+P14+1</f>
        <v>2034</v>
      </c>
      <c r="R14" s="121">
        <f t="shared" ref="R14" si="8">+Q14+1</f>
        <v>2035</v>
      </c>
      <c r="S14" s="121">
        <f t="shared" ref="S14" si="9">+R14+1</f>
        <v>2036</v>
      </c>
      <c r="T14" s="121">
        <f t="shared" ref="T14" si="10">+S14+1</f>
        <v>2037</v>
      </c>
    </row>
    <row r="15" spans="1:20" ht="16.5" customHeight="1" outlineLevel="1" x14ac:dyDescent="0.15">
      <c r="A15" s="92" t="s">
        <v>79</v>
      </c>
      <c r="B15" s="92"/>
      <c r="C15" s="92"/>
      <c r="D15" s="10" t="s">
        <v>79</v>
      </c>
      <c r="E15" s="92"/>
      <c r="F15" s="138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6.5" customHeight="1" outlineLevel="1" x14ac:dyDescent="0.15">
      <c r="A16" s="77" t="s">
        <v>80</v>
      </c>
      <c r="B16" s="77"/>
      <c r="C16" s="77"/>
      <c r="D16" s="77" t="s">
        <v>81</v>
      </c>
      <c r="E16" s="77"/>
      <c r="F16" s="139"/>
      <c r="G16" s="13">
        <v>1900</v>
      </c>
      <c r="H16" s="13">
        <v>1900</v>
      </c>
      <c r="I16" s="13">
        <v>1900</v>
      </c>
      <c r="J16" s="13">
        <v>1900</v>
      </c>
      <c r="K16" s="13">
        <v>1900</v>
      </c>
      <c r="L16" s="13">
        <v>1900</v>
      </c>
      <c r="M16" s="13">
        <v>1900</v>
      </c>
      <c r="N16" s="13">
        <v>1900</v>
      </c>
      <c r="O16" s="13">
        <v>1900</v>
      </c>
      <c r="P16" s="13">
        <v>1900</v>
      </c>
      <c r="Q16" s="13">
        <v>1900</v>
      </c>
      <c r="R16" s="13">
        <v>1900</v>
      </c>
      <c r="S16" s="13">
        <v>1900</v>
      </c>
      <c r="T16" s="13">
        <v>1900</v>
      </c>
    </row>
    <row r="17" spans="1:20" ht="16.5" customHeight="1" outlineLevel="1" x14ac:dyDescent="0.15">
      <c r="A17" s="77"/>
      <c r="B17" s="77"/>
      <c r="C17" s="77"/>
      <c r="D17" s="77" t="s">
        <v>84</v>
      </c>
      <c r="E17" s="77"/>
      <c r="F17" s="139"/>
      <c r="G17" s="13">
        <v>25</v>
      </c>
      <c r="H17" s="13">
        <v>25</v>
      </c>
      <c r="I17" s="13">
        <v>25</v>
      </c>
      <c r="J17" s="13">
        <v>25</v>
      </c>
      <c r="K17" s="13">
        <v>25</v>
      </c>
      <c r="L17" s="13">
        <v>25</v>
      </c>
      <c r="M17" s="13">
        <v>25</v>
      </c>
      <c r="N17" s="13">
        <v>25</v>
      </c>
      <c r="O17" s="13">
        <v>25</v>
      </c>
      <c r="P17" s="13">
        <v>25</v>
      </c>
      <c r="Q17" s="13">
        <v>25</v>
      </c>
      <c r="R17" s="13">
        <v>25</v>
      </c>
      <c r="S17" s="13">
        <v>25</v>
      </c>
      <c r="T17" s="13">
        <v>25</v>
      </c>
    </row>
    <row r="18" spans="1:20" ht="16.5" customHeight="1" outlineLevel="1" x14ac:dyDescent="0.15">
      <c r="A18" s="77" t="s">
        <v>82</v>
      </c>
      <c r="B18" s="77"/>
      <c r="C18" s="77"/>
      <c r="D18" s="6" t="s">
        <v>80</v>
      </c>
      <c r="E18" s="77"/>
      <c r="F18" s="139">
        <v>2</v>
      </c>
      <c r="G18" s="13"/>
      <c r="H18" s="14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</row>
    <row r="19" spans="1:20" ht="16.5" customHeight="1" outlineLevel="1" x14ac:dyDescent="0.15">
      <c r="A19" s="77"/>
      <c r="B19" s="77"/>
      <c r="C19" s="77"/>
      <c r="D19" s="77" t="s">
        <v>81</v>
      </c>
      <c r="E19" s="77"/>
      <c r="F19" s="139"/>
      <c r="G19" s="13">
        <v>2100</v>
      </c>
      <c r="H19" s="13">
        <v>2100</v>
      </c>
      <c r="I19" s="13">
        <v>2100</v>
      </c>
      <c r="J19" s="13">
        <v>2100</v>
      </c>
      <c r="K19" s="13">
        <v>2100</v>
      </c>
      <c r="L19" s="13">
        <v>2100</v>
      </c>
      <c r="M19" s="13">
        <v>2100</v>
      </c>
      <c r="N19" s="13">
        <v>2100</v>
      </c>
      <c r="O19" s="13">
        <v>2100</v>
      </c>
      <c r="P19" s="13">
        <v>2100</v>
      </c>
      <c r="Q19" s="13">
        <v>2100</v>
      </c>
      <c r="R19" s="13">
        <v>2100</v>
      </c>
      <c r="S19" s="13">
        <v>2100</v>
      </c>
      <c r="T19" s="13">
        <v>2100</v>
      </c>
    </row>
    <row r="20" spans="1:20" ht="16.5" customHeight="1" outlineLevel="1" x14ac:dyDescent="0.15">
      <c r="A20" s="77"/>
      <c r="B20" s="77"/>
      <c r="C20" s="77"/>
      <c r="D20" s="77" t="s">
        <v>84</v>
      </c>
      <c r="E20" s="77"/>
      <c r="F20" s="139"/>
      <c r="G20" s="13">
        <v>30</v>
      </c>
      <c r="H20" s="13">
        <v>30</v>
      </c>
      <c r="I20" s="13">
        <v>30</v>
      </c>
      <c r="J20" s="13">
        <v>30</v>
      </c>
      <c r="K20" s="13">
        <v>30</v>
      </c>
      <c r="L20" s="13">
        <v>30</v>
      </c>
      <c r="M20" s="13">
        <v>30</v>
      </c>
      <c r="N20" s="13">
        <v>30</v>
      </c>
      <c r="O20" s="13">
        <v>30</v>
      </c>
      <c r="P20" s="13">
        <v>30</v>
      </c>
      <c r="Q20" s="13">
        <v>30</v>
      </c>
      <c r="R20" s="13">
        <v>30</v>
      </c>
      <c r="S20" s="13">
        <v>30</v>
      </c>
      <c r="T20" s="13">
        <v>30</v>
      </c>
    </row>
    <row r="21" spans="1:20" ht="16.5" customHeight="1" outlineLevel="1" x14ac:dyDescent="0.15">
      <c r="A21" s="77"/>
      <c r="B21" s="77"/>
      <c r="C21" s="77"/>
      <c r="D21" s="6" t="s">
        <v>82</v>
      </c>
      <c r="E21" s="77"/>
      <c r="F21" s="139">
        <v>3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</row>
    <row r="22" spans="1:20" ht="16.5" customHeight="1" outlineLevel="1" x14ac:dyDescent="0.15">
      <c r="A22" s="77"/>
      <c r="B22" s="77"/>
      <c r="C22" s="77"/>
      <c r="D22" s="77" t="s">
        <v>81</v>
      </c>
      <c r="E22" s="77"/>
      <c r="F22" s="77"/>
      <c r="G22" s="13">
        <v>2748</v>
      </c>
      <c r="H22" s="13">
        <v>2748</v>
      </c>
      <c r="I22" s="13">
        <v>2748</v>
      </c>
      <c r="J22" s="13">
        <v>2748</v>
      </c>
      <c r="K22" s="13">
        <v>2748</v>
      </c>
      <c r="L22" s="13">
        <v>2748</v>
      </c>
      <c r="M22" s="13">
        <v>2748</v>
      </c>
      <c r="N22" s="13">
        <v>2748</v>
      </c>
      <c r="O22" s="13">
        <v>2748</v>
      </c>
      <c r="P22" s="13">
        <v>2748</v>
      </c>
      <c r="Q22" s="13">
        <v>2748</v>
      </c>
      <c r="R22" s="13">
        <v>2748</v>
      </c>
      <c r="S22" s="13">
        <v>2748</v>
      </c>
      <c r="T22" s="13">
        <v>2748</v>
      </c>
    </row>
    <row r="23" spans="1:20" ht="16.5" customHeight="1" outlineLevel="1" x14ac:dyDescent="0.15">
      <c r="A23" s="77"/>
      <c r="B23" s="77"/>
      <c r="C23" s="77"/>
      <c r="D23" s="77" t="s">
        <v>84</v>
      </c>
      <c r="E23" s="77"/>
      <c r="F23" s="77"/>
      <c r="G23" s="13">
        <v>32.56</v>
      </c>
      <c r="H23" s="13">
        <v>32.56</v>
      </c>
      <c r="I23" s="13">
        <v>32.56</v>
      </c>
      <c r="J23" s="13">
        <v>32.56</v>
      </c>
      <c r="K23" s="13">
        <v>32.56</v>
      </c>
      <c r="L23" s="13">
        <v>32.56</v>
      </c>
      <c r="M23" s="13">
        <v>32.56</v>
      </c>
      <c r="N23" s="13">
        <v>32.56</v>
      </c>
      <c r="O23" s="13">
        <v>32.56</v>
      </c>
      <c r="P23" s="13">
        <v>32.56</v>
      </c>
      <c r="Q23" s="13">
        <v>32.56</v>
      </c>
      <c r="R23" s="13">
        <v>32.56</v>
      </c>
      <c r="S23" s="13">
        <v>32.56</v>
      </c>
      <c r="T23" s="13">
        <v>32.56</v>
      </c>
    </row>
    <row r="24" spans="1:20" ht="16.5" customHeight="1" outlineLevel="1" x14ac:dyDescent="0.15">
      <c r="A24" s="77"/>
      <c r="B24" s="77"/>
      <c r="C24" s="77"/>
      <c r="D24" s="6" t="s">
        <v>83</v>
      </c>
      <c r="E24" s="77"/>
      <c r="F24" s="15" t="s">
        <v>80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</row>
    <row r="25" spans="1:20" ht="16.5" customHeight="1" outlineLevel="1" x14ac:dyDescent="0.15">
      <c r="A25" s="77"/>
      <c r="B25" s="77"/>
      <c r="C25" s="77"/>
      <c r="D25" s="77" t="s">
        <v>81</v>
      </c>
      <c r="E25" s="77"/>
      <c r="F25" s="140">
        <f>INDEX(F15:F23,MATCH(F24,D15:D23,0),0)</f>
        <v>2</v>
      </c>
      <c r="G25" s="14">
        <f t="shared" ref="G25:P25" si="11">CHOOSE($F$25,G16,G19,G22)</f>
        <v>2100</v>
      </c>
      <c r="H25" s="14">
        <f t="shared" si="11"/>
        <v>2100</v>
      </c>
      <c r="I25" s="14">
        <f t="shared" si="11"/>
        <v>2100</v>
      </c>
      <c r="J25" s="14">
        <f t="shared" si="11"/>
        <v>2100</v>
      </c>
      <c r="K25" s="14">
        <f t="shared" si="11"/>
        <v>2100</v>
      </c>
      <c r="L25" s="14">
        <f t="shared" si="11"/>
        <v>2100</v>
      </c>
      <c r="M25" s="14">
        <f t="shared" si="11"/>
        <v>2100</v>
      </c>
      <c r="N25" s="14">
        <f t="shared" si="11"/>
        <v>2100</v>
      </c>
      <c r="O25" s="14">
        <f t="shared" si="11"/>
        <v>2100</v>
      </c>
      <c r="P25" s="14">
        <f t="shared" si="11"/>
        <v>2100</v>
      </c>
      <c r="Q25" s="14">
        <f t="shared" ref="Q25:T25" si="12">CHOOSE($F$25,Q16,Q19,Q22)</f>
        <v>2100</v>
      </c>
      <c r="R25" s="14">
        <f t="shared" si="12"/>
        <v>2100</v>
      </c>
      <c r="S25" s="14">
        <f t="shared" si="12"/>
        <v>2100</v>
      </c>
      <c r="T25" s="14">
        <f t="shared" si="12"/>
        <v>2100</v>
      </c>
    </row>
    <row r="26" spans="1:20" ht="16.5" customHeight="1" outlineLevel="1" x14ac:dyDescent="0.15">
      <c r="A26" s="77"/>
      <c r="B26" s="77"/>
      <c r="C26" s="77"/>
      <c r="D26" s="77" t="s">
        <v>84</v>
      </c>
      <c r="E26" s="77"/>
      <c r="F26" s="77"/>
      <c r="G26" s="14">
        <f>CHOOSE($F$25,G17,G20,G23)</f>
        <v>30</v>
      </c>
      <c r="H26" s="14">
        <f t="shared" ref="H26:P26" si="13">CHOOSE($F$25,H17,H20,H23)</f>
        <v>30</v>
      </c>
      <c r="I26" s="14">
        <f t="shared" si="13"/>
        <v>30</v>
      </c>
      <c r="J26" s="14">
        <f t="shared" si="13"/>
        <v>30</v>
      </c>
      <c r="K26" s="14">
        <f t="shared" si="13"/>
        <v>30</v>
      </c>
      <c r="L26" s="14">
        <f t="shared" si="13"/>
        <v>30</v>
      </c>
      <c r="M26" s="14">
        <f t="shared" si="13"/>
        <v>30</v>
      </c>
      <c r="N26" s="14">
        <f t="shared" si="13"/>
        <v>30</v>
      </c>
      <c r="O26" s="14">
        <f t="shared" si="13"/>
        <v>30</v>
      </c>
      <c r="P26" s="14">
        <f t="shared" si="13"/>
        <v>30</v>
      </c>
      <c r="Q26" s="14">
        <f t="shared" ref="Q26:T26" si="14">CHOOSE($F$25,Q17,Q20,Q23)</f>
        <v>30</v>
      </c>
      <c r="R26" s="14">
        <f t="shared" si="14"/>
        <v>30</v>
      </c>
      <c r="S26" s="14">
        <f t="shared" si="14"/>
        <v>30</v>
      </c>
      <c r="T26" s="14">
        <f t="shared" si="14"/>
        <v>30</v>
      </c>
    </row>
    <row r="27" spans="1:20" ht="16.5" customHeight="1" outlineLevel="1" x14ac:dyDescent="0.1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</row>
    <row r="28" spans="1:20" ht="17" customHeight="1" outlineLevel="1" x14ac:dyDescent="0.15">
      <c r="A28" s="77" t="s">
        <v>272</v>
      </c>
      <c r="B28" s="77"/>
      <c r="C28" s="77"/>
      <c r="D28" s="86" t="s">
        <v>85</v>
      </c>
      <c r="E28" s="121"/>
      <c r="F28" s="121"/>
      <c r="G28" s="121">
        <v>2024</v>
      </c>
      <c r="H28" s="121">
        <f t="shared" ref="H28:P28" si="15">+G28+1</f>
        <v>2025</v>
      </c>
      <c r="I28" s="121">
        <f t="shared" si="15"/>
        <v>2026</v>
      </c>
      <c r="J28" s="121">
        <f t="shared" si="15"/>
        <v>2027</v>
      </c>
      <c r="K28" s="121">
        <f t="shared" si="15"/>
        <v>2028</v>
      </c>
      <c r="L28" s="121">
        <f t="shared" si="15"/>
        <v>2029</v>
      </c>
      <c r="M28" s="121">
        <f t="shared" si="15"/>
        <v>2030</v>
      </c>
      <c r="N28" s="121">
        <f t="shared" si="15"/>
        <v>2031</v>
      </c>
      <c r="O28" s="121">
        <f t="shared" si="15"/>
        <v>2032</v>
      </c>
      <c r="P28" s="121">
        <f t="shared" si="15"/>
        <v>2033</v>
      </c>
      <c r="Q28" s="121">
        <f t="shared" ref="Q28" si="16">+P28+1</f>
        <v>2034</v>
      </c>
      <c r="R28" s="121">
        <f t="shared" ref="R28" si="17">+Q28+1</f>
        <v>2035</v>
      </c>
      <c r="S28" s="121">
        <f t="shared" ref="S28" si="18">+R28+1</f>
        <v>2036</v>
      </c>
      <c r="T28" s="121">
        <f t="shared" ref="T28" si="19">+S28+1</f>
        <v>2037</v>
      </c>
    </row>
    <row r="29" spans="1:20" ht="16.5" customHeight="1" outlineLevel="1" x14ac:dyDescent="0.15">
      <c r="A29" s="89">
        <v>45474</v>
      </c>
      <c r="B29" s="77"/>
      <c r="C29" s="77"/>
      <c r="D29" s="114" t="s">
        <v>81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</row>
    <row r="30" spans="1:20" ht="16.5" customHeight="1" outlineLevel="1" x14ac:dyDescent="0.15">
      <c r="A30" s="77"/>
      <c r="B30" s="77"/>
      <c r="C30" s="77"/>
      <c r="D30" s="77" t="s">
        <v>87</v>
      </c>
      <c r="E30" s="77" t="s">
        <v>88</v>
      </c>
      <c r="F30" s="148">
        <f>SUM(G30:P30)</f>
        <v>18813319</v>
      </c>
      <c r="G30" s="13">
        <f>51319</f>
        <v>51319</v>
      </c>
      <c r="H30" s="13">
        <v>3240000</v>
      </c>
      <c r="I30" s="13">
        <v>2387000</v>
      </c>
      <c r="J30" s="13">
        <v>1922000</v>
      </c>
      <c r="K30" s="13">
        <v>1810000</v>
      </c>
      <c r="L30" s="13">
        <v>1999000</v>
      </c>
      <c r="M30" s="13">
        <v>2110000</v>
      </c>
      <c r="N30" s="13">
        <v>2182000</v>
      </c>
      <c r="O30" s="13">
        <v>1897000</v>
      </c>
      <c r="P30" s="13">
        <v>1215000</v>
      </c>
      <c r="Q30" s="13">
        <v>1215000</v>
      </c>
      <c r="R30" s="13">
        <v>1215000</v>
      </c>
      <c r="S30" s="13">
        <v>1215000</v>
      </c>
      <c r="T30" s="13">
        <v>1215000</v>
      </c>
    </row>
    <row r="31" spans="1:20" ht="16.5" customHeight="1" outlineLevel="1" x14ac:dyDescent="0.15">
      <c r="A31" s="77"/>
      <c r="B31" s="77"/>
      <c r="C31" s="77"/>
      <c r="D31" s="77" t="s">
        <v>90</v>
      </c>
      <c r="E31" s="77" t="s">
        <v>91</v>
      </c>
      <c r="F31" s="7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6.5" customHeight="1" outlineLevel="1" x14ac:dyDescent="0.15">
      <c r="A32" s="77"/>
      <c r="B32" s="77"/>
      <c r="C32" s="77"/>
      <c r="D32" s="77" t="s">
        <v>92</v>
      </c>
      <c r="E32" s="77" t="s">
        <v>93</v>
      </c>
      <c r="F32" s="7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6.5" customHeight="1" outlineLevel="1" x14ac:dyDescent="0.15">
      <c r="A33" s="77"/>
      <c r="B33" s="77"/>
      <c r="C33" s="77"/>
      <c r="D33" s="77" t="s">
        <v>94</v>
      </c>
      <c r="E33" s="77"/>
      <c r="F33" s="7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6.5" customHeight="1" outlineLevel="1" x14ac:dyDescent="0.15">
      <c r="A34" s="77"/>
      <c r="B34" s="77"/>
      <c r="C34" s="77"/>
      <c r="D34" s="114" t="s">
        <v>84</v>
      </c>
      <c r="E34" s="77"/>
      <c r="F34" s="7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6.5" customHeight="1" outlineLevel="1" x14ac:dyDescent="0.15">
      <c r="A35" s="77"/>
      <c r="B35" s="77"/>
      <c r="C35" s="77"/>
      <c r="D35" s="77" t="s">
        <v>87</v>
      </c>
      <c r="E35" s="77" t="s">
        <v>88</v>
      </c>
      <c r="F35" s="148">
        <f>SUM(G35:P35)</f>
        <v>78575000</v>
      </c>
      <c r="G35" s="13">
        <v>0</v>
      </c>
      <c r="H35" s="13">
        <v>4878000</v>
      </c>
      <c r="I35" s="13">
        <v>9965000</v>
      </c>
      <c r="J35" s="13">
        <v>9972000</v>
      </c>
      <c r="K35" s="13">
        <v>9611000</v>
      </c>
      <c r="L35" s="13">
        <v>8675000</v>
      </c>
      <c r="M35" s="13">
        <v>9308000</v>
      </c>
      <c r="N35" s="13">
        <v>8981000</v>
      </c>
      <c r="O35" s="13">
        <v>8628000</v>
      </c>
      <c r="P35" s="13">
        <v>8557000</v>
      </c>
      <c r="Q35" s="13">
        <v>8557000</v>
      </c>
      <c r="R35" s="13">
        <v>8557000</v>
      </c>
      <c r="S35" s="13">
        <v>8557000</v>
      </c>
      <c r="T35" s="13">
        <v>8557000</v>
      </c>
    </row>
    <row r="36" spans="1:20" ht="16.5" customHeight="1" outlineLevel="1" x14ac:dyDescent="0.15">
      <c r="A36" s="77"/>
      <c r="B36" s="77"/>
      <c r="C36" s="77"/>
      <c r="D36" s="77" t="s">
        <v>90</v>
      </c>
      <c r="E36" s="77" t="s">
        <v>91</v>
      </c>
      <c r="F36" s="77"/>
      <c r="G36" s="16"/>
      <c r="H36" s="16"/>
      <c r="I36" s="16"/>
      <c r="J36" s="16"/>
      <c r="K36" s="16"/>
      <c r="L36" s="142"/>
      <c r="M36" s="142"/>
      <c r="N36" s="142"/>
      <c r="O36" s="142"/>
      <c r="P36" s="142"/>
      <c r="Q36" s="142"/>
      <c r="R36" s="142"/>
      <c r="S36" s="142"/>
      <c r="T36" s="142"/>
    </row>
    <row r="37" spans="1:20" ht="16.5" customHeight="1" outlineLevel="1" x14ac:dyDescent="0.15">
      <c r="A37" s="77"/>
      <c r="B37" s="77"/>
      <c r="C37" s="77"/>
      <c r="D37" s="77" t="s">
        <v>92</v>
      </c>
      <c r="E37" s="77" t="s">
        <v>93</v>
      </c>
      <c r="F37" s="77"/>
      <c r="G37" s="118"/>
      <c r="H37" s="118"/>
      <c r="I37" s="118"/>
      <c r="J37" s="118"/>
      <c r="K37" s="118"/>
      <c r="L37" s="142"/>
      <c r="M37" s="142"/>
      <c r="N37" s="142"/>
      <c r="O37" s="142"/>
      <c r="P37" s="142"/>
      <c r="Q37" s="142"/>
      <c r="R37" s="142"/>
      <c r="S37" s="142"/>
      <c r="T37" s="142"/>
    </row>
    <row r="38" spans="1:20" ht="16.5" customHeight="1" outlineLevel="1" x14ac:dyDescent="0.15">
      <c r="A38" s="77"/>
      <c r="B38" s="77"/>
      <c r="C38" s="77"/>
      <c r="D38" s="77" t="s">
        <v>94</v>
      </c>
      <c r="E38" s="77"/>
      <c r="F38" s="77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</row>
    <row r="39" spans="1:20" ht="16.5" customHeight="1" outlineLevel="1" x14ac:dyDescent="0.15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</row>
    <row r="40" spans="1:20" ht="16.5" customHeight="1" outlineLevel="1" x14ac:dyDescent="0.15">
      <c r="A40" s="77" t="s">
        <v>272</v>
      </c>
      <c r="B40" s="77"/>
      <c r="C40" s="77"/>
      <c r="D40" s="6" t="s">
        <v>95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</row>
    <row r="41" spans="1:20" ht="16.5" customHeight="1" outlineLevel="1" x14ac:dyDescent="0.15">
      <c r="A41" s="89">
        <v>45474</v>
      </c>
      <c r="B41" s="77"/>
      <c r="C41" s="77"/>
      <c r="D41" s="121"/>
      <c r="E41" s="121"/>
      <c r="F41" s="97" t="s">
        <v>96</v>
      </c>
      <c r="G41" s="97" t="s">
        <v>97</v>
      </c>
      <c r="H41" s="97" t="s">
        <v>98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</row>
    <row r="42" spans="1:20" ht="16.5" customHeight="1" outlineLevel="1" x14ac:dyDescent="0.15">
      <c r="A42" s="77"/>
      <c r="B42" s="77"/>
      <c r="C42" s="77"/>
      <c r="D42" s="114" t="s">
        <v>81</v>
      </c>
      <c r="E42" s="77"/>
      <c r="F42" s="96"/>
      <c r="G42" s="206" t="s">
        <v>270</v>
      </c>
      <c r="H42" s="96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</row>
    <row r="43" spans="1:20" ht="16.5" customHeight="1" outlineLevel="1" x14ac:dyDescent="0.15">
      <c r="A43" s="77"/>
      <c r="B43" s="77"/>
      <c r="C43" s="77"/>
      <c r="D43" s="77" t="s">
        <v>100</v>
      </c>
      <c r="E43" s="77"/>
      <c r="F43" s="82">
        <v>7560000</v>
      </c>
      <c r="G43" s="115">
        <v>9.42</v>
      </c>
      <c r="H43" s="81">
        <f>F43*G43*$F$10</f>
        <v>2289621.8470341554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</row>
    <row r="44" spans="1:20" ht="16.5" customHeight="1" outlineLevel="1" x14ac:dyDescent="0.15">
      <c r="A44" s="143"/>
      <c r="B44" s="143"/>
      <c r="C44" s="143"/>
      <c r="D44" s="77" t="s">
        <v>101</v>
      </c>
      <c r="E44" s="77"/>
      <c r="F44" s="13">
        <v>14140000</v>
      </c>
      <c r="G44" s="115">
        <v>7.06</v>
      </c>
      <c r="H44" s="81">
        <f>F44*G44*$F$10</f>
        <v>3209557.5887516215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</row>
    <row r="45" spans="1:20" ht="16.5" customHeight="1" outlineLevel="1" x14ac:dyDescent="0.15">
      <c r="A45" s="77"/>
      <c r="B45" s="77"/>
      <c r="C45" s="77"/>
      <c r="D45" s="77" t="s">
        <v>102</v>
      </c>
      <c r="E45" s="77"/>
      <c r="F45" s="144">
        <f>SUM(F43:F44)</f>
        <v>21700000</v>
      </c>
      <c r="G45" s="19">
        <f>H45*$F$12/F45</f>
        <v>7.8821935483870966</v>
      </c>
      <c r="H45" s="12">
        <f>SUM(H43:H44)</f>
        <v>5499179.4357857769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</row>
    <row r="46" spans="1:20" ht="16.5" customHeight="1" outlineLevel="1" x14ac:dyDescent="0.15">
      <c r="A46" s="77"/>
      <c r="B46" s="77"/>
      <c r="C46" s="77"/>
      <c r="D46" s="114" t="s">
        <v>84</v>
      </c>
      <c r="E46" s="77"/>
      <c r="F46" s="123"/>
      <c r="G46" s="117"/>
      <c r="H46" s="81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</row>
    <row r="47" spans="1:20" ht="16.5" customHeight="1" outlineLevel="1" x14ac:dyDescent="0.15">
      <c r="A47" s="77"/>
      <c r="B47" s="77"/>
      <c r="C47" s="77"/>
      <c r="D47" s="77" t="s">
        <v>100</v>
      </c>
      <c r="E47" s="77"/>
      <c r="F47" s="82">
        <v>7560000</v>
      </c>
      <c r="G47" s="115">
        <v>10.5</v>
      </c>
      <c r="H47" s="81">
        <f>F47*G47*$F$10</f>
        <v>2552126.2626176891</v>
      </c>
    </row>
    <row r="48" spans="1:20" ht="16.5" customHeight="1" outlineLevel="1" x14ac:dyDescent="0.15">
      <c r="A48" s="77"/>
      <c r="B48" s="77"/>
      <c r="C48" s="77"/>
      <c r="D48" s="77" t="s">
        <v>101</v>
      </c>
      <c r="E48" s="77"/>
      <c r="F48" s="13">
        <v>14140000</v>
      </c>
      <c r="G48" s="16">
        <v>11.7</v>
      </c>
      <c r="H48" s="81">
        <f>F48*G48*$F$10</f>
        <v>5318955.2108206758</v>
      </c>
    </row>
    <row r="49" spans="1:20" ht="16.5" customHeight="1" outlineLevel="1" x14ac:dyDescent="0.15">
      <c r="A49" s="77"/>
      <c r="B49" s="77"/>
      <c r="C49" s="77"/>
      <c r="D49" s="77" t="s">
        <v>102</v>
      </c>
      <c r="E49" s="77"/>
      <c r="F49" s="144">
        <f>SUM(F47:F48)</f>
        <v>21700000</v>
      </c>
      <c r="G49" s="19">
        <f>H49*$F$12/F49</f>
        <v>11.281935483870967</v>
      </c>
      <c r="H49" s="12">
        <f>SUM(H47:H48)</f>
        <v>7871081.4734383654</v>
      </c>
    </row>
    <row r="50" spans="1:20" ht="16.5" customHeight="1" outlineLevel="1" x14ac:dyDescent="0.15">
      <c r="A50" s="77"/>
      <c r="B50" s="77"/>
      <c r="C50" s="77"/>
      <c r="D50" s="77"/>
      <c r="E50" s="77"/>
      <c r="F50" s="77"/>
      <c r="G50" s="77"/>
      <c r="H50" s="77"/>
    </row>
    <row r="51" spans="1:20" ht="16.5" customHeight="1" outlineLevel="1" x14ac:dyDescent="0.15">
      <c r="A51" s="77" t="s">
        <v>273</v>
      </c>
      <c r="B51" s="77"/>
      <c r="C51" s="77"/>
      <c r="D51" s="86" t="s">
        <v>137</v>
      </c>
      <c r="E51" s="121"/>
      <c r="F51" s="121"/>
      <c r="G51" s="77"/>
      <c r="H51" s="77"/>
      <c r="I51" s="77"/>
    </row>
    <row r="52" spans="1:20" ht="16.5" customHeight="1" outlineLevel="1" x14ac:dyDescent="0.15">
      <c r="A52" s="89"/>
      <c r="B52" s="77"/>
      <c r="C52" s="77"/>
      <c r="D52" s="77" t="s">
        <v>141</v>
      </c>
      <c r="E52" s="77"/>
      <c r="F52" s="26">
        <v>0.37130000000000002</v>
      </c>
      <c r="G52" s="77"/>
      <c r="H52" s="77"/>
      <c r="I52" s="77"/>
    </row>
    <row r="53" spans="1:20" outlineLevel="1" x14ac:dyDescent="0.15">
      <c r="A53" s="77"/>
      <c r="B53" s="77"/>
      <c r="C53" s="77"/>
      <c r="D53" s="77"/>
      <c r="E53" s="77"/>
      <c r="F53" s="77"/>
      <c r="G53" s="77"/>
      <c r="H53" s="77"/>
      <c r="I53" s="77"/>
    </row>
    <row r="54" spans="1:20" outlineLevel="1" x14ac:dyDescent="0.15">
      <c r="A54" s="77"/>
      <c r="B54" s="77"/>
      <c r="C54" s="77"/>
      <c r="D54" s="77" t="s">
        <v>262</v>
      </c>
      <c r="E54" s="77"/>
      <c r="F54" s="83">
        <v>3.1E-2</v>
      </c>
      <c r="G54" s="77"/>
      <c r="H54" s="77"/>
      <c r="I54" s="77"/>
    </row>
    <row r="55" spans="1:20" outlineLevel="1" x14ac:dyDescent="0.15">
      <c r="A55" s="77"/>
      <c r="B55" s="77"/>
      <c r="C55" s="77"/>
      <c r="D55" s="77" t="s">
        <v>263</v>
      </c>
      <c r="E55" s="77"/>
      <c r="F55" s="95">
        <v>1.23</v>
      </c>
      <c r="G55" s="77"/>
      <c r="H55" s="77"/>
      <c r="I55" s="77"/>
    </row>
    <row r="56" spans="1:20" outlineLevel="1" x14ac:dyDescent="0.15">
      <c r="A56" s="77"/>
      <c r="B56" s="77"/>
      <c r="C56" s="77"/>
      <c r="D56" s="77" t="s">
        <v>264</v>
      </c>
      <c r="E56" s="77"/>
      <c r="F56" s="83">
        <v>0.1923</v>
      </c>
      <c r="G56" s="77"/>
      <c r="H56" s="77"/>
      <c r="I56" s="77"/>
    </row>
    <row r="57" spans="1:20" outlineLevel="1" x14ac:dyDescent="0.15">
      <c r="A57" s="77"/>
      <c r="B57" s="77"/>
      <c r="C57" s="77"/>
      <c r="D57" s="77" t="s">
        <v>265</v>
      </c>
      <c r="E57" s="77"/>
      <c r="F57" s="83">
        <f>F54+F55*F56</f>
        <v>0.26752900000000002</v>
      </c>
      <c r="G57" s="77"/>
      <c r="H57" s="77"/>
      <c r="I57" s="77"/>
    </row>
    <row r="58" spans="1:20" outlineLevel="1" x14ac:dyDescent="0.15">
      <c r="A58" s="77"/>
      <c r="B58" s="77"/>
      <c r="C58" s="77"/>
      <c r="D58" s="77" t="s">
        <v>266</v>
      </c>
      <c r="E58" s="77"/>
      <c r="F58" s="83">
        <f>12.5%</f>
        <v>0.125</v>
      </c>
      <c r="G58" s="77"/>
      <c r="H58" s="77"/>
      <c r="I58" s="77"/>
    </row>
    <row r="59" spans="1:20" outlineLevel="1" x14ac:dyDescent="0.15">
      <c r="A59" s="77"/>
      <c r="B59" s="77"/>
      <c r="C59" s="77"/>
      <c r="D59" s="77" t="s">
        <v>267</v>
      </c>
      <c r="E59" s="77"/>
      <c r="F59" s="83">
        <v>0.06</v>
      </c>
      <c r="G59" s="77"/>
      <c r="H59" s="77"/>
      <c r="I59" s="77"/>
    </row>
    <row r="60" spans="1:20" outlineLevel="1" x14ac:dyDescent="0.15">
      <c r="A60" s="77"/>
      <c r="B60" s="77"/>
      <c r="C60" s="77"/>
      <c r="D60" s="77" t="s">
        <v>147</v>
      </c>
      <c r="E60" s="77"/>
      <c r="F60" s="83">
        <f>F59*F58*(1-F52)+F57*(1-F58)</f>
        <v>0.238803125</v>
      </c>
      <c r="G60" s="77"/>
      <c r="H60" s="77"/>
      <c r="I60" s="77"/>
    </row>
    <row r="61" spans="1:20" outlineLevel="1" x14ac:dyDescent="0.15">
      <c r="A61" s="77"/>
      <c r="B61" s="77"/>
      <c r="C61" s="77"/>
      <c r="D61" s="77" t="s">
        <v>148</v>
      </c>
      <c r="E61" s="77"/>
      <c r="F61" s="83">
        <v>2.4E-2</v>
      </c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</row>
    <row r="62" spans="1:20" outlineLevel="1" x14ac:dyDescent="0.15">
      <c r="A62" s="77"/>
      <c r="B62" s="77"/>
      <c r="C62" s="77"/>
      <c r="D62" s="6" t="s">
        <v>149</v>
      </c>
      <c r="E62" s="77"/>
      <c r="F62" s="83">
        <f>F60-F61</f>
        <v>0.21480312500000001</v>
      </c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</row>
    <row r="63" spans="1:20" outlineLevel="1" x14ac:dyDescent="0.15">
      <c r="A63" s="77"/>
      <c r="B63" s="77"/>
      <c r="C63" s="77"/>
      <c r="D63" s="6"/>
      <c r="E63" s="77"/>
      <c r="F63" s="83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</row>
    <row r="64" spans="1:20" outlineLevel="1" x14ac:dyDescent="0.15">
      <c r="A64" s="77"/>
      <c r="B64" s="77"/>
      <c r="C64" s="77"/>
      <c r="D64" s="6" t="s">
        <v>150</v>
      </c>
      <c r="E64" s="77"/>
      <c r="F64" s="95">
        <v>22.91</v>
      </c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</row>
    <row r="65" spans="1:20" outlineLevel="1" x14ac:dyDescent="0.15">
      <c r="A65" s="77"/>
      <c r="B65" s="77"/>
      <c r="C65" s="77"/>
      <c r="D65" s="6"/>
      <c r="E65" s="77"/>
      <c r="F65" s="83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</row>
    <row r="66" spans="1:20" outlineLevel="1" x14ac:dyDescent="0.15">
      <c r="A66" s="77"/>
      <c r="B66" s="77"/>
      <c r="C66" s="77"/>
      <c r="D66" s="6" t="s">
        <v>151</v>
      </c>
      <c r="E66" s="77"/>
      <c r="F66" s="53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</row>
    <row r="67" spans="1:20" ht="13.5" customHeight="1" x14ac:dyDescent="0.15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</row>
    <row r="68" spans="1:20" s="50" customFormat="1" ht="18.75" customHeight="1" x14ac:dyDescent="0.2">
      <c r="A68" s="107" t="s">
        <v>152</v>
      </c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</row>
    <row r="69" spans="1:20" s="33" customFormat="1" outlineLevel="1" x14ac:dyDescent="0.15">
      <c r="A69" s="73" t="s">
        <v>166</v>
      </c>
      <c r="B69" s="74"/>
      <c r="C69" s="74"/>
      <c r="D69" s="75"/>
      <c r="E69" s="75"/>
      <c r="F69" s="74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</row>
    <row r="70" spans="1:20" s="33" customFormat="1" outlineLevel="1" x14ac:dyDescent="0.15">
      <c r="A70" s="78"/>
      <c r="B70" s="78"/>
      <c r="C70" s="78"/>
      <c r="D70" s="79"/>
      <c r="E70" s="150"/>
      <c r="F70" s="15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</row>
    <row r="71" spans="1:20" s="33" customFormat="1" outlineLevel="1" x14ac:dyDescent="0.15">
      <c r="A71" s="78" t="s">
        <v>167</v>
      </c>
      <c r="B71" s="78"/>
      <c r="C71" s="78"/>
      <c r="D71" s="79"/>
      <c r="E71" s="150"/>
      <c r="F71" s="152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</row>
    <row r="72" spans="1:20" s="33" customFormat="1" outlineLevel="1" x14ac:dyDescent="0.15">
      <c r="A72" s="78"/>
      <c r="B72" s="114" t="s">
        <v>81</v>
      </c>
      <c r="C72" s="78"/>
      <c r="D72" s="79" t="s">
        <v>156</v>
      </c>
      <c r="E72" s="150" t="str">
        <f>IFERROR(AVERAGE(G72:P72),"na")</f>
        <v>na</v>
      </c>
      <c r="F72" s="152">
        <f>SUM(G72:P72)</f>
        <v>0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</row>
    <row r="73" spans="1:20" s="33" customFormat="1" outlineLevel="1" x14ac:dyDescent="0.15">
      <c r="A73" s="78"/>
      <c r="B73" s="114" t="s">
        <v>84</v>
      </c>
      <c r="C73" s="78"/>
      <c r="D73" s="79" t="s">
        <v>156</v>
      </c>
      <c r="E73" s="150" t="str">
        <f>IFERROR(AVERAGE(G73:P73),"na")</f>
        <v>na</v>
      </c>
      <c r="F73" s="152">
        <f>SUM(G73:P73)</f>
        <v>0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</row>
    <row r="74" spans="1:20" s="33" customFormat="1" outlineLevel="1" x14ac:dyDescent="0.15">
      <c r="A74" s="78"/>
      <c r="B74" s="78"/>
      <c r="C74" s="78"/>
      <c r="D74" s="79"/>
      <c r="E74" s="150"/>
      <c r="F74" s="152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</row>
    <row r="75" spans="1:20" s="33" customFormat="1" outlineLevel="1" x14ac:dyDescent="0.15">
      <c r="A75" s="78" t="s">
        <v>92</v>
      </c>
      <c r="B75" s="78"/>
      <c r="C75" s="78"/>
      <c r="D75" s="79"/>
      <c r="E75" s="79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</row>
    <row r="76" spans="1:20" s="33" customFormat="1" outlineLevel="1" x14ac:dyDescent="0.15">
      <c r="A76" s="78"/>
      <c r="B76" s="114" t="s">
        <v>81</v>
      </c>
      <c r="C76" s="78"/>
      <c r="D76" s="79" t="s">
        <v>93</v>
      </c>
      <c r="E76" s="159" t="str">
        <f>IFERROR(AVERAGE(G76:P76),"na")</f>
        <v>na</v>
      </c>
      <c r="F76" s="160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</row>
    <row r="77" spans="1:20" s="33" customFormat="1" outlineLevel="1" x14ac:dyDescent="0.15">
      <c r="A77" s="78"/>
      <c r="B77" s="114" t="s">
        <v>84</v>
      </c>
      <c r="C77" s="78"/>
      <c r="D77" s="79" t="s">
        <v>93</v>
      </c>
      <c r="E77" s="159" t="str">
        <f>IFERROR(AVERAGE(G77:P77),"na")</f>
        <v>na</v>
      </c>
      <c r="F77" s="160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</row>
    <row r="78" spans="1:20" s="33" customFormat="1" outlineLevel="1" x14ac:dyDescent="0.15">
      <c r="A78" s="78"/>
      <c r="B78" s="78"/>
      <c r="C78" s="78"/>
      <c r="D78" s="79"/>
      <c r="E78" s="150"/>
      <c r="F78" s="78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1:20" s="33" customFormat="1" outlineLevel="1" x14ac:dyDescent="0.15">
      <c r="A79" s="78" t="s">
        <v>168</v>
      </c>
      <c r="B79" s="78"/>
      <c r="C79" s="78"/>
      <c r="D79" s="78"/>
      <c r="E79" s="79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</row>
    <row r="80" spans="1:20" s="33" customFormat="1" outlineLevel="1" x14ac:dyDescent="0.15">
      <c r="A80" s="78"/>
      <c r="B80" s="114" t="s">
        <v>81</v>
      </c>
      <c r="C80" s="78"/>
      <c r="D80" s="79" t="s">
        <v>165</v>
      </c>
      <c r="E80" s="150">
        <f>IFERROR(AVERAGE(G80:P80),"na")</f>
        <v>380000</v>
      </c>
      <c r="F80" s="152">
        <f>SUM(G80:T80)</f>
        <v>5320000</v>
      </c>
      <c r="G80" s="95">
        <v>380000</v>
      </c>
      <c r="H80" s="95">
        <v>380000</v>
      </c>
      <c r="I80" s="95">
        <v>380000</v>
      </c>
      <c r="J80" s="95">
        <v>380000</v>
      </c>
      <c r="K80" s="95">
        <v>380000</v>
      </c>
      <c r="L80" s="95">
        <v>380000</v>
      </c>
      <c r="M80" s="95">
        <v>380000</v>
      </c>
      <c r="N80" s="95">
        <v>380000</v>
      </c>
      <c r="O80" s="95">
        <v>380000</v>
      </c>
      <c r="P80" s="95">
        <v>380000</v>
      </c>
      <c r="Q80" s="95">
        <v>380000</v>
      </c>
      <c r="R80" s="95">
        <v>380000</v>
      </c>
      <c r="S80" s="95">
        <v>380000</v>
      </c>
      <c r="T80" s="95">
        <v>380000</v>
      </c>
    </row>
    <row r="81" spans="1:20" s="33" customFormat="1" outlineLevel="1" x14ac:dyDescent="0.15">
      <c r="A81" s="78"/>
      <c r="B81" s="114" t="s">
        <v>84</v>
      </c>
      <c r="C81" s="78"/>
      <c r="D81" s="79" t="s">
        <v>165</v>
      </c>
      <c r="E81" s="150">
        <f>IFERROR(AVERAGE(G81:P81),"na")</f>
        <v>400000</v>
      </c>
      <c r="F81" s="152">
        <f>SUM(G81:T81)</f>
        <v>5600000</v>
      </c>
      <c r="G81" s="95">
        <v>400000</v>
      </c>
      <c r="H81" s="95">
        <v>400000</v>
      </c>
      <c r="I81" s="95">
        <v>400000</v>
      </c>
      <c r="J81" s="95">
        <v>400000</v>
      </c>
      <c r="K81" s="95">
        <v>400000</v>
      </c>
      <c r="L81" s="95">
        <v>400000</v>
      </c>
      <c r="M81" s="95">
        <v>400000</v>
      </c>
      <c r="N81" s="95">
        <v>400000</v>
      </c>
      <c r="O81" s="95">
        <v>400000</v>
      </c>
      <c r="P81" s="95">
        <v>400000</v>
      </c>
      <c r="Q81" s="95">
        <v>400000</v>
      </c>
      <c r="R81" s="95">
        <v>400000</v>
      </c>
      <c r="S81" s="95">
        <v>400000</v>
      </c>
      <c r="T81" s="95">
        <v>400000</v>
      </c>
    </row>
    <row r="82" spans="1:20" s="37" customFormat="1" outlineLevel="1" x14ac:dyDescent="0.15">
      <c r="E82" s="38"/>
    </row>
    <row r="83" spans="1:20" s="37" customFormat="1" outlineLevel="1" x14ac:dyDescent="0.15">
      <c r="A83" s="78" t="s">
        <v>114</v>
      </c>
      <c r="E83" s="38"/>
    </row>
    <row r="84" spans="1:20" s="33" customFormat="1" outlineLevel="1" x14ac:dyDescent="0.15">
      <c r="A84" s="78"/>
      <c r="B84" s="114" t="s">
        <v>81</v>
      </c>
      <c r="C84" s="78"/>
      <c r="D84" s="79" t="s">
        <v>165</v>
      </c>
      <c r="E84" s="161">
        <f>IFERROR(AVERAGE(G84:P84),"na")</f>
        <v>0.99</v>
      </c>
      <c r="F84" s="162" t="s">
        <v>157</v>
      </c>
      <c r="G84" s="85">
        <v>0.99</v>
      </c>
      <c r="H84" s="85">
        <v>0.99</v>
      </c>
      <c r="I84" s="85">
        <v>0.99</v>
      </c>
      <c r="J84" s="85">
        <v>0.99</v>
      </c>
      <c r="K84" s="85">
        <v>0.99</v>
      </c>
      <c r="L84" s="85">
        <v>0.99</v>
      </c>
      <c r="M84" s="85">
        <v>0.99</v>
      </c>
      <c r="N84" s="85">
        <v>0.99</v>
      </c>
      <c r="O84" s="85">
        <v>0.99</v>
      </c>
      <c r="P84" s="85">
        <v>0.99</v>
      </c>
      <c r="Q84" s="85">
        <v>0.99</v>
      </c>
      <c r="R84" s="85">
        <v>0.99</v>
      </c>
      <c r="S84" s="85">
        <v>0.99</v>
      </c>
      <c r="T84" s="85">
        <v>0.99</v>
      </c>
    </row>
    <row r="85" spans="1:20" s="33" customFormat="1" outlineLevel="1" x14ac:dyDescent="0.15">
      <c r="A85" s="78"/>
      <c r="B85" s="114" t="s">
        <v>84</v>
      </c>
      <c r="C85" s="78"/>
      <c r="D85" s="79" t="s">
        <v>165</v>
      </c>
      <c r="E85" s="79"/>
      <c r="F85" s="78"/>
      <c r="G85" s="85">
        <v>0.99</v>
      </c>
      <c r="H85" s="85">
        <v>0.99</v>
      </c>
      <c r="I85" s="85">
        <v>0.99</v>
      </c>
      <c r="J85" s="85">
        <v>0.99</v>
      </c>
      <c r="K85" s="85">
        <v>0.99</v>
      </c>
      <c r="L85" s="85">
        <v>0.99</v>
      </c>
      <c r="M85" s="85">
        <v>0.99</v>
      </c>
      <c r="N85" s="85">
        <v>0.99</v>
      </c>
      <c r="O85" s="85">
        <v>0.99</v>
      </c>
      <c r="P85" s="85">
        <v>0.99</v>
      </c>
      <c r="Q85" s="85">
        <v>0.99</v>
      </c>
      <c r="R85" s="85">
        <v>0.99</v>
      </c>
      <c r="S85" s="85">
        <v>0.99</v>
      </c>
      <c r="T85" s="85">
        <v>0.99</v>
      </c>
    </row>
    <row r="86" spans="1:20" s="33" customFormat="1" outlineLevel="1" x14ac:dyDescent="0.15">
      <c r="A86" s="78" t="s">
        <v>169</v>
      </c>
      <c r="B86" s="78"/>
      <c r="C86" s="78"/>
      <c r="D86" s="79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</row>
    <row r="87" spans="1:20" s="33" customFormat="1" outlineLevel="1" x14ac:dyDescent="0.15">
      <c r="A87" s="78"/>
      <c r="B87" s="114" t="s">
        <v>81</v>
      </c>
      <c r="C87" s="78"/>
      <c r="D87" s="79" t="s">
        <v>165</v>
      </c>
      <c r="E87" s="150">
        <f>IFERROR(AVERAGE(G87:T87),"na")</f>
        <v>376200</v>
      </c>
      <c r="F87" s="152">
        <f>SUM(G87:T87)</f>
        <v>5266800</v>
      </c>
      <c r="G87" s="78">
        <f>G80*G84</f>
        <v>376200</v>
      </c>
      <c r="H87" s="78">
        <f t="shared" ref="H87:T87" si="20">H80*H84</f>
        <v>376200</v>
      </c>
      <c r="I87" s="78">
        <f t="shared" si="20"/>
        <v>376200</v>
      </c>
      <c r="J87" s="78">
        <f t="shared" si="20"/>
        <v>376200</v>
      </c>
      <c r="K87" s="78">
        <f t="shared" si="20"/>
        <v>376200</v>
      </c>
      <c r="L87" s="78">
        <f t="shared" si="20"/>
        <v>376200</v>
      </c>
      <c r="M87" s="78">
        <f t="shared" si="20"/>
        <v>376200</v>
      </c>
      <c r="N87" s="78">
        <f t="shared" si="20"/>
        <v>376200</v>
      </c>
      <c r="O87" s="78">
        <f t="shared" si="20"/>
        <v>376200</v>
      </c>
      <c r="P87" s="78">
        <f t="shared" si="20"/>
        <v>376200</v>
      </c>
      <c r="Q87" s="78">
        <f t="shared" si="20"/>
        <v>376200</v>
      </c>
      <c r="R87" s="78">
        <f t="shared" si="20"/>
        <v>376200</v>
      </c>
      <c r="S87" s="78">
        <f t="shared" si="20"/>
        <v>376200</v>
      </c>
      <c r="T87" s="78">
        <f t="shared" si="20"/>
        <v>376200</v>
      </c>
    </row>
    <row r="88" spans="1:20" s="33" customFormat="1" outlineLevel="1" x14ac:dyDescent="0.15">
      <c r="A88" s="78"/>
      <c r="B88" s="114" t="s">
        <v>84</v>
      </c>
      <c r="C88" s="78"/>
      <c r="D88" s="79" t="s">
        <v>165</v>
      </c>
      <c r="E88" s="150">
        <f>IFERROR(AVERAGE(G88:T88),"na")</f>
        <v>396000</v>
      </c>
      <c r="F88" s="152">
        <f>SUM(G88:T88)</f>
        <v>5544000</v>
      </c>
      <c r="G88" s="78">
        <f>G81*G85</f>
        <v>396000</v>
      </c>
      <c r="H88" s="78">
        <f t="shared" ref="H88:T88" si="21">H81*H85</f>
        <v>396000</v>
      </c>
      <c r="I88" s="78">
        <f t="shared" si="21"/>
        <v>396000</v>
      </c>
      <c r="J88" s="78">
        <f t="shared" si="21"/>
        <v>396000</v>
      </c>
      <c r="K88" s="78">
        <f t="shared" si="21"/>
        <v>396000</v>
      </c>
      <c r="L88" s="78">
        <f t="shared" si="21"/>
        <v>396000</v>
      </c>
      <c r="M88" s="78">
        <f t="shared" si="21"/>
        <v>396000</v>
      </c>
      <c r="N88" s="78">
        <f t="shared" si="21"/>
        <v>396000</v>
      </c>
      <c r="O88" s="78">
        <f t="shared" si="21"/>
        <v>396000</v>
      </c>
      <c r="P88" s="78">
        <f t="shared" si="21"/>
        <v>396000</v>
      </c>
      <c r="Q88" s="78">
        <f t="shared" si="21"/>
        <v>396000</v>
      </c>
      <c r="R88" s="78">
        <f t="shared" si="21"/>
        <v>396000</v>
      </c>
      <c r="S88" s="78">
        <f t="shared" si="21"/>
        <v>396000</v>
      </c>
      <c r="T88" s="78">
        <f t="shared" si="21"/>
        <v>396000</v>
      </c>
    </row>
    <row r="89" spans="1:20" s="33" customFormat="1" x14ac:dyDescent="0.15">
      <c r="A89" s="78"/>
      <c r="B89" s="78"/>
      <c r="C89" s="78"/>
      <c r="D89" s="79"/>
      <c r="E89" s="79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</row>
    <row r="90" spans="1:20" s="50" customFormat="1" ht="18.75" customHeight="1" x14ac:dyDescent="0.2">
      <c r="A90" s="107" t="s">
        <v>4</v>
      </c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</row>
    <row r="91" spans="1:20" s="39" customFormat="1" ht="16.5" customHeight="1" outlineLevel="1" x14ac:dyDescent="0.15">
      <c r="D91" s="40"/>
      <c r="E91" s="40"/>
      <c r="F91" s="4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</row>
    <row r="92" spans="1:20" s="29" customFormat="1" outlineLevel="1" x14ac:dyDescent="0.15">
      <c r="A92" s="28" t="s">
        <v>78</v>
      </c>
      <c r="B92" s="80"/>
      <c r="C92" s="80"/>
      <c r="D92" s="149"/>
      <c r="E92" s="149"/>
      <c r="F92" s="149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</row>
    <row r="93" spans="1:20" s="29" customFormat="1" outlineLevel="1" x14ac:dyDescent="0.15">
      <c r="A93" s="80"/>
      <c r="B93" s="114" t="s">
        <v>81</v>
      </c>
      <c r="C93" s="80"/>
      <c r="D93" s="149" t="s">
        <v>125</v>
      </c>
      <c r="E93" s="150">
        <f>IFERROR(AVERAGE(G93:P93),"na")</f>
        <v>2100</v>
      </c>
      <c r="F93" s="163" t="s">
        <v>157</v>
      </c>
      <c r="G93" s="164">
        <f t="shared" ref="G93:P93" si="22">G25</f>
        <v>2100</v>
      </c>
      <c r="H93" s="164">
        <f t="shared" si="22"/>
        <v>2100</v>
      </c>
      <c r="I93" s="164">
        <f t="shared" si="22"/>
        <v>2100</v>
      </c>
      <c r="J93" s="164">
        <f t="shared" si="22"/>
        <v>2100</v>
      </c>
      <c r="K93" s="164">
        <f t="shared" si="22"/>
        <v>2100</v>
      </c>
      <c r="L93" s="164">
        <f t="shared" si="22"/>
        <v>2100</v>
      </c>
      <c r="M93" s="164">
        <f t="shared" si="22"/>
        <v>2100</v>
      </c>
      <c r="N93" s="164">
        <f t="shared" si="22"/>
        <v>2100</v>
      </c>
      <c r="O93" s="164">
        <f t="shared" si="22"/>
        <v>2100</v>
      </c>
      <c r="P93" s="164">
        <f t="shared" si="22"/>
        <v>2100</v>
      </c>
      <c r="Q93" s="164">
        <f t="shared" ref="Q93:T93" si="23">Q25</f>
        <v>2100</v>
      </c>
      <c r="R93" s="164">
        <f t="shared" si="23"/>
        <v>2100</v>
      </c>
      <c r="S93" s="164">
        <f t="shared" si="23"/>
        <v>2100</v>
      </c>
      <c r="T93" s="164">
        <f t="shared" si="23"/>
        <v>2100</v>
      </c>
    </row>
    <row r="94" spans="1:20" s="29" customFormat="1" outlineLevel="1" x14ac:dyDescent="0.15">
      <c r="A94" s="80"/>
      <c r="B94" s="114" t="s">
        <v>84</v>
      </c>
      <c r="C94" s="80"/>
      <c r="D94" s="149" t="s">
        <v>125</v>
      </c>
      <c r="E94" s="149"/>
      <c r="F94" s="149"/>
      <c r="G94" s="152">
        <f>G26</f>
        <v>30</v>
      </c>
      <c r="H94" s="152">
        <f t="shared" ref="H94:T94" si="24">H26</f>
        <v>30</v>
      </c>
      <c r="I94" s="152">
        <f t="shared" si="24"/>
        <v>30</v>
      </c>
      <c r="J94" s="152">
        <f t="shared" si="24"/>
        <v>30</v>
      </c>
      <c r="K94" s="152">
        <f t="shared" si="24"/>
        <v>30</v>
      </c>
      <c r="L94" s="152">
        <f t="shared" si="24"/>
        <v>30</v>
      </c>
      <c r="M94" s="152">
        <f t="shared" si="24"/>
        <v>30</v>
      </c>
      <c r="N94" s="152">
        <f t="shared" si="24"/>
        <v>30</v>
      </c>
      <c r="O94" s="152">
        <f t="shared" si="24"/>
        <v>30</v>
      </c>
      <c r="P94" s="152">
        <f t="shared" si="24"/>
        <v>30</v>
      </c>
      <c r="Q94" s="152">
        <f t="shared" si="24"/>
        <v>30</v>
      </c>
      <c r="R94" s="152">
        <f t="shared" si="24"/>
        <v>30</v>
      </c>
      <c r="S94" s="152">
        <f t="shared" si="24"/>
        <v>30</v>
      </c>
      <c r="T94" s="152">
        <f t="shared" si="24"/>
        <v>30</v>
      </c>
    </row>
    <row r="95" spans="1:20" s="33" customFormat="1" outlineLevel="1" x14ac:dyDescent="0.15">
      <c r="A95" s="28" t="s">
        <v>169</v>
      </c>
      <c r="B95" s="78"/>
      <c r="C95" s="78"/>
      <c r="D95" s="78"/>
      <c r="E95" s="79"/>
      <c r="F95" s="79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</row>
    <row r="96" spans="1:20" s="37" customFormat="1" outlineLevel="1" x14ac:dyDescent="0.15">
      <c r="B96" s="114" t="s">
        <v>81</v>
      </c>
      <c r="D96" s="79" t="s">
        <v>165</v>
      </c>
      <c r="E96" s="150">
        <f>IFERROR(AVERAGE(G96:P96),"na")</f>
        <v>376200</v>
      </c>
      <c r="F96" s="150">
        <f>SUM(G96:P96)</f>
        <v>3762000</v>
      </c>
      <c r="G96" s="164">
        <f>G87</f>
        <v>376200</v>
      </c>
      <c r="H96" s="164">
        <f t="shared" ref="H96:P96" si="25">H87</f>
        <v>376200</v>
      </c>
      <c r="I96" s="164">
        <f t="shared" si="25"/>
        <v>376200</v>
      </c>
      <c r="J96" s="164">
        <f t="shared" si="25"/>
        <v>376200</v>
      </c>
      <c r="K96" s="164">
        <f t="shared" si="25"/>
        <v>376200</v>
      </c>
      <c r="L96" s="164">
        <f t="shared" si="25"/>
        <v>376200</v>
      </c>
      <c r="M96" s="164">
        <f t="shared" si="25"/>
        <v>376200</v>
      </c>
      <c r="N96" s="164">
        <f t="shared" si="25"/>
        <v>376200</v>
      </c>
      <c r="O96" s="164">
        <f t="shared" si="25"/>
        <v>376200</v>
      </c>
      <c r="P96" s="164">
        <f t="shared" si="25"/>
        <v>376200</v>
      </c>
      <c r="Q96" s="164">
        <f t="shared" ref="Q96:T96" si="26">Q87</f>
        <v>376200</v>
      </c>
      <c r="R96" s="164">
        <f t="shared" si="26"/>
        <v>376200</v>
      </c>
      <c r="S96" s="164">
        <f t="shared" si="26"/>
        <v>376200</v>
      </c>
      <c r="T96" s="164">
        <f t="shared" si="26"/>
        <v>376200</v>
      </c>
    </row>
    <row r="97" spans="1:20" s="29" customFormat="1" outlineLevel="1" x14ac:dyDescent="0.15">
      <c r="A97" s="80"/>
      <c r="B97" s="114" t="s">
        <v>84</v>
      </c>
      <c r="C97" s="80"/>
      <c r="D97" s="149" t="s">
        <v>165</v>
      </c>
      <c r="E97" s="150"/>
      <c r="F97" s="163"/>
      <c r="G97" s="30">
        <f>G88</f>
        <v>396000</v>
      </c>
      <c r="H97" s="30">
        <f t="shared" ref="H97:T97" si="27">H88</f>
        <v>396000</v>
      </c>
      <c r="I97" s="30">
        <f t="shared" si="27"/>
        <v>396000</v>
      </c>
      <c r="J97" s="30">
        <f t="shared" si="27"/>
        <v>396000</v>
      </c>
      <c r="K97" s="30">
        <f t="shared" si="27"/>
        <v>396000</v>
      </c>
      <c r="L97" s="30">
        <f t="shared" si="27"/>
        <v>396000</v>
      </c>
      <c r="M97" s="30">
        <f t="shared" si="27"/>
        <v>396000</v>
      </c>
      <c r="N97" s="30">
        <f t="shared" si="27"/>
        <v>396000</v>
      </c>
      <c r="O97" s="30">
        <f t="shared" si="27"/>
        <v>396000</v>
      </c>
      <c r="P97" s="30">
        <f t="shared" si="27"/>
        <v>396000</v>
      </c>
      <c r="Q97" s="30">
        <f t="shared" si="27"/>
        <v>396000</v>
      </c>
      <c r="R97" s="30">
        <f t="shared" si="27"/>
        <v>396000</v>
      </c>
      <c r="S97" s="30">
        <f t="shared" si="27"/>
        <v>396000</v>
      </c>
      <c r="T97" s="30">
        <f t="shared" si="27"/>
        <v>396000</v>
      </c>
    </row>
    <row r="98" spans="1:20" s="29" customFormat="1" outlineLevel="1" x14ac:dyDescent="0.15">
      <c r="A98" s="28" t="s">
        <v>170</v>
      </c>
      <c r="B98" s="80"/>
      <c r="C98" s="80"/>
      <c r="D98" s="149"/>
      <c r="E98" s="150"/>
      <c r="F98" s="163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1:20" s="29" customFormat="1" outlineLevel="1" x14ac:dyDescent="0.15">
      <c r="A99" s="80"/>
      <c r="B99" s="114" t="s">
        <v>81</v>
      </c>
      <c r="C99" s="80"/>
      <c r="D99" s="149" t="s">
        <v>156</v>
      </c>
      <c r="E99" s="150">
        <f>IFERROR(AVERAGE(G99:P99),"na")</f>
        <v>0</v>
      </c>
      <c r="F99" s="150">
        <f>SUM(G99:P99)</f>
        <v>0</v>
      </c>
      <c r="G99" s="164">
        <f>SUM(G72:G73)</f>
        <v>0</v>
      </c>
      <c r="H99" s="164">
        <f t="shared" ref="H99:P99" si="28">SUM(H72:H73)</f>
        <v>0</v>
      </c>
      <c r="I99" s="164">
        <f t="shared" si="28"/>
        <v>0</v>
      </c>
      <c r="J99" s="164">
        <f t="shared" si="28"/>
        <v>0</v>
      </c>
      <c r="K99" s="164">
        <f t="shared" si="28"/>
        <v>0</v>
      </c>
      <c r="L99" s="164">
        <f t="shared" si="28"/>
        <v>0</v>
      </c>
      <c r="M99" s="164">
        <f t="shared" si="28"/>
        <v>0</v>
      </c>
      <c r="N99" s="164">
        <f t="shared" si="28"/>
        <v>0</v>
      </c>
      <c r="O99" s="164">
        <f t="shared" si="28"/>
        <v>0</v>
      </c>
      <c r="P99" s="164">
        <f t="shared" si="28"/>
        <v>0</v>
      </c>
      <c r="Q99" s="164">
        <f t="shared" ref="Q99:T99" si="29">SUM(Q72:Q73)</f>
        <v>0</v>
      </c>
      <c r="R99" s="164">
        <f t="shared" si="29"/>
        <v>0</v>
      </c>
      <c r="S99" s="164">
        <f t="shared" si="29"/>
        <v>0</v>
      </c>
      <c r="T99" s="164">
        <f t="shared" si="29"/>
        <v>0</v>
      </c>
    </row>
    <row r="100" spans="1:20" s="37" customFormat="1" outlineLevel="1" x14ac:dyDescent="0.15">
      <c r="B100" s="114" t="s">
        <v>84</v>
      </c>
      <c r="D100" s="149" t="s">
        <v>156</v>
      </c>
      <c r="E100" s="38"/>
      <c r="F100" s="150"/>
    </row>
    <row r="101" spans="1:20" s="37" customFormat="1" outlineLevel="1" x14ac:dyDescent="0.15">
      <c r="E101" s="38"/>
      <c r="F101" s="38"/>
    </row>
    <row r="102" spans="1:20" s="33" customFormat="1" outlineLevel="1" x14ac:dyDescent="0.15">
      <c r="A102" s="70" t="s">
        <v>171</v>
      </c>
      <c r="B102" s="71"/>
      <c r="C102" s="71"/>
      <c r="D102" s="72"/>
      <c r="E102" s="72"/>
      <c r="F102" s="72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</row>
    <row r="103" spans="1:20" s="33" customFormat="1" outlineLevel="1" x14ac:dyDescent="0.15">
      <c r="A103" s="37"/>
      <c r="B103" s="78"/>
      <c r="C103" s="78"/>
      <c r="D103" s="79"/>
      <c r="E103" s="79"/>
      <c r="F103" s="79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</row>
    <row r="104" spans="1:20" s="33" customFormat="1" outlineLevel="1" x14ac:dyDescent="0.15">
      <c r="A104" s="78" t="s">
        <v>172</v>
      </c>
      <c r="B104" s="78"/>
      <c r="C104" s="78"/>
      <c r="D104" s="79"/>
      <c r="E104" s="79"/>
      <c r="F104" s="79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</row>
    <row r="105" spans="1:20" s="33" customFormat="1" outlineLevel="1" x14ac:dyDescent="0.15">
      <c r="A105" s="78"/>
      <c r="B105" s="114" t="s">
        <v>81</v>
      </c>
      <c r="C105" s="78"/>
      <c r="D105" s="79" t="s">
        <v>173</v>
      </c>
      <c r="E105" s="150">
        <f>IFERROR(AVERAGE(G105:T105),"na")</f>
        <v>790020000</v>
      </c>
      <c r="F105" s="150">
        <f>SUM(G105:T105)</f>
        <v>11060280000</v>
      </c>
      <c r="G105" s="78">
        <f>G96*G93</f>
        <v>790020000</v>
      </c>
      <c r="H105" s="78">
        <f t="shared" ref="H105:T105" si="30">H96*H93</f>
        <v>790020000</v>
      </c>
      <c r="I105" s="78">
        <f t="shared" si="30"/>
        <v>790020000</v>
      </c>
      <c r="J105" s="78">
        <f t="shared" si="30"/>
        <v>790020000</v>
      </c>
      <c r="K105" s="78">
        <f t="shared" si="30"/>
        <v>790020000</v>
      </c>
      <c r="L105" s="78">
        <f t="shared" si="30"/>
        <v>790020000</v>
      </c>
      <c r="M105" s="78">
        <f t="shared" si="30"/>
        <v>790020000</v>
      </c>
      <c r="N105" s="78">
        <f t="shared" si="30"/>
        <v>790020000</v>
      </c>
      <c r="O105" s="78">
        <f t="shared" si="30"/>
        <v>790020000</v>
      </c>
      <c r="P105" s="78">
        <f t="shared" si="30"/>
        <v>790020000</v>
      </c>
      <c r="Q105" s="78">
        <f t="shared" si="30"/>
        <v>790020000</v>
      </c>
      <c r="R105" s="78">
        <f t="shared" si="30"/>
        <v>790020000</v>
      </c>
      <c r="S105" s="78">
        <f t="shared" si="30"/>
        <v>790020000</v>
      </c>
      <c r="T105" s="78">
        <f t="shared" si="30"/>
        <v>790020000</v>
      </c>
    </row>
    <row r="106" spans="1:20" s="33" customFormat="1" outlineLevel="1" x14ac:dyDescent="0.15">
      <c r="A106" s="78"/>
      <c r="B106" s="114" t="s">
        <v>84</v>
      </c>
      <c r="C106" s="78"/>
      <c r="D106" s="79" t="s">
        <v>173</v>
      </c>
      <c r="E106" s="150">
        <f>IFERROR(AVERAGE(G106:T106),"na")</f>
        <v>11880000</v>
      </c>
      <c r="F106" s="150">
        <f>SUM(G106:T106)</f>
        <v>166320000</v>
      </c>
      <c r="G106" s="78">
        <f>G97*G94</f>
        <v>11880000</v>
      </c>
      <c r="H106" s="78">
        <f t="shared" ref="H106:T106" si="31">H97*H94</f>
        <v>11880000</v>
      </c>
      <c r="I106" s="78">
        <f t="shared" si="31"/>
        <v>11880000</v>
      </c>
      <c r="J106" s="78">
        <f t="shared" si="31"/>
        <v>11880000</v>
      </c>
      <c r="K106" s="78">
        <f t="shared" si="31"/>
        <v>11880000</v>
      </c>
      <c r="L106" s="78">
        <f t="shared" si="31"/>
        <v>11880000</v>
      </c>
      <c r="M106" s="78">
        <f t="shared" si="31"/>
        <v>11880000</v>
      </c>
      <c r="N106" s="78">
        <f t="shared" si="31"/>
        <v>11880000</v>
      </c>
      <c r="O106" s="78">
        <f t="shared" si="31"/>
        <v>11880000</v>
      </c>
      <c r="P106" s="78">
        <f t="shared" si="31"/>
        <v>11880000</v>
      </c>
      <c r="Q106" s="78">
        <f t="shared" si="31"/>
        <v>11880000</v>
      </c>
      <c r="R106" s="78">
        <f t="shared" si="31"/>
        <v>11880000</v>
      </c>
      <c r="S106" s="78">
        <f t="shared" si="31"/>
        <v>11880000</v>
      </c>
      <c r="T106" s="78">
        <f t="shared" si="31"/>
        <v>11880000</v>
      </c>
    </row>
    <row r="107" spans="1:20" s="33" customFormat="1" outlineLevel="1" x14ac:dyDescent="0.15">
      <c r="A107" s="42" t="s">
        <v>174</v>
      </c>
      <c r="B107" s="165"/>
      <c r="C107" s="165"/>
      <c r="D107" s="166"/>
      <c r="E107" s="65">
        <f>IFERROR(AVERAGE(G107:P107),"na")</f>
        <v>790020000</v>
      </c>
      <c r="F107" s="65">
        <f>SUM(G107:P107)</f>
        <v>7900200000</v>
      </c>
      <c r="G107" s="42">
        <f t="shared" ref="G107:P107" si="32">SUM(G105:G105)</f>
        <v>790020000</v>
      </c>
      <c r="H107" s="42">
        <f t="shared" si="32"/>
        <v>790020000</v>
      </c>
      <c r="I107" s="42">
        <f t="shared" si="32"/>
        <v>790020000</v>
      </c>
      <c r="J107" s="42">
        <f t="shared" si="32"/>
        <v>790020000</v>
      </c>
      <c r="K107" s="42">
        <f t="shared" si="32"/>
        <v>790020000</v>
      </c>
      <c r="L107" s="42">
        <f t="shared" si="32"/>
        <v>790020000</v>
      </c>
      <c r="M107" s="42">
        <f t="shared" si="32"/>
        <v>790020000</v>
      </c>
      <c r="N107" s="42">
        <f t="shared" si="32"/>
        <v>790020000</v>
      </c>
      <c r="O107" s="42">
        <f t="shared" si="32"/>
        <v>790020000</v>
      </c>
      <c r="P107" s="42">
        <f t="shared" si="32"/>
        <v>790020000</v>
      </c>
      <c r="Q107" s="42">
        <f t="shared" ref="Q107:T107" si="33">SUM(Q105:Q105)</f>
        <v>790020000</v>
      </c>
      <c r="R107" s="42">
        <f t="shared" si="33"/>
        <v>790020000</v>
      </c>
      <c r="S107" s="42">
        <f t="shared" si="33"/>
        <v>790020000</v>
      </c>
      <c r="T107" s="42">
        <f t="shared" si="33"/>
        <v>790020000</v>
      </c>
    </row>
    <row r="108" spans="1:20" s="33" customFormat="1" outlineLevel="1" x14ac:dyDescent="0.15">
      <c r="A108" s="173"/>
      <c r="B108" s="173"/>
      <c r="C108" s="173"/>
      <c r="D108" s="207"/>
      <c r="E108" s="207"/>
      <c r="F108" s="150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</row>
    <row r="109" spans="1:20" s="33" customFormat="1" outlineLevel="1" x14ac:dyDescent="0.15">
      <c r="A109" s="173" t="s">
        <v>271</v>
      </c>
      <c r="B109" s="173"/>
      <c r="C109" s="173"/>
      <c r="D109" s="131"/>
      <c r="E109" s="41"/>
      <c r="F109" s="132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</row>
    <row r="110" spans="1:20" s="33" customFormat="1" outlineLevel="1" x14ac:dyDescent="0.15">
      <c r="A110" s="130"/>
      <c r="B110" s="114" t="s">
        <v>81</v>
      </c>
      <c r="C110" s="173"/>
      <c r="D110" s="207" t="s">
        <v>125</v>
      </c>
      <c r="E110" s="150">
        <f t="shared" ref="E110:E111" si="34">IFERROR(AVERAGE(G110:P110),"na")</f>
        <v>1000</v>
      </c>
      <c r="F110" s="163"/>
      <c r="G110" s="208">
        <v>1000</v>
      </c>
      <c r="H110" s="208">
        <v>1000</v>
      </c>
      <c r="I110" s="208">
        <v>1000</v>
      </c>
      <c r="J110" s="208">
        <v>1000</v>
      </c>
      <c r="K110" s="208">
        <v>1000</v>
      </c>
      <c r="L110" s="208">
        <v>1000</v>
      </c>
      <c r="M110" s="208">
        <v>1000</v>
      </c>
      <c r="N110" s="208">
        <v>1000</v>
      </c>
      <c r="O110" s="208">
        <v>1000</v>
      </c>
      <c r="P110" s="208">
        <v>1000</v>
      </c>
      <c r="Q110" s="208">
        <v>1000</v>
      </c>
      <c r="R110" s="208">
        <v>1000</v>
      </c>
      <c r="S110" s="208">
        <v>1000</v>
      </c>
      <c r="T110" s="208">
        <v>1000</v>
      </c>
    </row>
    <row r="111" spans="1:20" s="33" customFormat="1" outlineLevel="1" x14ac:dyDescent="0.15">
      <c r="A111" s="130"/>
      <c r="B111" s="114" t="s">
        <v>84</v>
      </c>
      <c r="C111" s="173"/>
      <c r="D111" s="207" t="s">
        <v>125</v>
      </c>
      <c r="E111" s="150">
        <f t="shared" si="34"/>
        <v>1</v>
      </c>
      <c r="F111" s="163"/>
      <c r="G111" s="208">
        <v>1</v>
      </c>
      <c r="H111" s="208">
        <v>1</v>
      </c>
      <c r="I111" s="208">
        <v>1</v>
      </c>
      <c r="J111" s="208">
        <v>1</v>
      </c>
      <c r="K111" s="208">
        <v>1</v>
      </c>
      <c r="L111" s="208">
        <v>1</v>
      </c>
      <c r="M111" s="208">
        <v>1</v>
      </c>
      <c r="N111" s="208">
        <v>1</v>
      </c>
      <c r="O111" s="208">
        <v>1</v>
      </c>
      <c r="P111" s="208">
        <v>1</v>
      </c>
      <c r="Q111" s="208">
        <v>1</v>
      </c>
      <c r="R111" s="208">
        <v>1</v>
      </c>
      <c r="S111" s="208">
        <v>1</v>
      </c>
      <c r="T111" s="208">
        <v>1</v>
      </c>
    </row>
    <row r="112" spans="1:20" s="33" customFormat="1" outlineLevel="1" x14ac:dyDescent="0.15">
      <c r="A112" s="130"/>
      <c r="B112" s="173"/>
      <c r="C112" s="173"/>
      <c r="D112" s="207"/>
      <c r="E112" s="150"/>
      <c r="F112" s="207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</row>
    <row r="113" spans="1:20" s="33" customFormat="1" outlineLevel="1" x14ac:dyDescent="0.15">
      <c r="A113" s="173" t="s">
        <v>181</v>
      </c>
      <c r="B113" s="173"/>
      <c r="C113" s="173"/>
      <c r="D113" s="131"/>
      <c r="E113" s="41"/>
      <c r="F113" s="132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</row>
    <row r="114" spans="1:20" s="33" customFormat="1" outlineLevel="1" x14ac:dyDescent="0.15">
      <c r="A114" s="130"/>
      <c r="B114" s="114" t="s">
        <v>81</v>
      </c>
      <c r="C114" s="173"/>
      <c r="D114" s="207" t="s">
        <v>173</v>
      </c>
      <c r="E114" s="150">
        <f t="shared" ref="E114:E116" si="35">IFERROR(AVERAGE(G114:P114),"na")</f>
        <v>376200000</v>
      </c>
      <c r="F114" s="163">
        <f>SUM(G114:P114)</f>
        <v>3762000000</v>
      </c>
      <c r="G114" s="173">
        <f>G110*G80*G84</f>
        <v>376200000</v>
      </c>
      <c r="H114" s="173">
        <f t="shared" ref="H114:P114" si="36">H110*H80*H84</f>
        <v>376200000</v>
      </c>
      <c r="I114" s="173">
        <f t="shared" si="36"/>
        <v>376200000</v>
      </c>
      <c r="J114" s="173">
        <f t="shared" si="36"/>
        <v>376200000</v>
      </c>
      <c r="K114" s="173">
        <f t="shared" si="36"/>
        <v>376200000</v>
      </c>
      <c r="L114" s="173">
        <f t="shared" si="36"/>
        <v>376200000</v>
      </c>
      <c r="M114" s="173">
        <f t="shared" si="36"/>
        <v>376200000</v>
      </c>
      <c r="N114" s="173">
        <f t="shared" si="36"/>
        <v>376200000</v>
      </c>
      <c r="O114" s="173">
        <f t="shared" si="36"/>
        <v>376200000</v>
      </c>
      <c r="P114" s="173">
        <f t="shared" si="36"/>
        <v>376200000</v>
      </c>
      <c r="Q114" s="173">
        <f t="shared" ref="Q114:T114" si="37">Q110*Q80*Q84</f>
        <v>376200000</v>
      </c>
      <c r="R114" s="173">
        <f t="shared" si="37"/>
        <v>376200000</v>
      </c>
      <c r="S114" s="173">
        <f t="shared" si="37"/>
        <v>376200000</v>
      </c>
      <c r="T114" s="173">
        <f t="shared" si="37"/>
        <v>376200000</v>
      </c>
    </row>
    <row r="115" spans="1:20" s="33" customFormat="1" outlineLevel="1" x14ac:dyDescent="0.15">
      <c r="A115" s="130"/>
      <c r="B115" s="114" t="s">
        <v>84</v>
      </c>
      <c r="C115" s="173"/>
      <c r="D115" s="207" t="s">
        <v>173</v>
      </c>
      <c r="E115" s="203">
        <f t="shared" si="35"/>
        <v>396000</v>
      </c>
      <c r="F115" s="163">
        <f>SUM(G115:P115)</f>
        <v>3960000</v>
      </c>
      <c r="G115" s="201">
        <f t="shared" ref="G115:P115" si="38">G111*G81*G84</f>
        <v>396000</v>
      </c>
      <c r="H115" s="201">
        <f t="shared" si="38"/>
        <v>396000</v>
      </c>
      <c r="I115" s="201">
        <f t="shared" si="38"/>
        <v>396000</v>
      </c>
      <c r="J115" s="201">
        <f t="shared" si="38"/>
        <v>396000</v>
      </c>
      <c r="K115" s="201">
        <f t="shared" si="38"/>
        <v>396000</v>
      </c>
      <c r="L115" s="201">
        <f t="shared" si="38"/>
        <v>396000</v>
      </c>
      <c r="M115" s="201">
        <f t="shared" si="38"/>
        <v>396000</v>
      </c>
      <c r="N115" s="201">
        <f t="shared" si="38"/>
        <v>396000</v>
      </c>
      <c r="O115" s="201">
        <f t="shared" si="38"/>
        <v>396000</v>
      </c>
      <c r="P115" s="201">
        <f t="shared" si="38"/>
        <v>396000</v>
      </c>
      <c r="Q115" s="201">
        <f t="shared" ref="Q115:T115" si="39">Q111*Q81*Q84</f>
        <v>396000</v>
      </c>
      <c r="R115" s="201">
        <f t="shared" si="39"/>
        <v>396000</v>
      </c>
      <c r="S115" s="201">
        <f t="shared" si="39"/>
        <v>396000</v>
      </c>
      <c r="T115" s="201">
        <f t="shared" si="39"/>
        <v>396000</v>
      </c>
    </row>
    <row r="116" spans="1:20" s="33" customFormat="1" outlineLevel="1" x14ac:dyDescent="0.15">
      <c r="A116" s="42" t="s">
        <v>64</v>
      </c>
      <c r="B116" s="165"/>
      <c r="C116" s="165"/>
      <c r="D116" s="166" t="s">
        <v>173</v>
      </c>
      <c r="E116" s="150">
        <f t="shared" si="35"/>
        <v>376596000</v>
      </c>
      <c r="F116" s="166">
        <f>SUM(G116:P116)</f>
        <v>3765960000</v>
      </c>
      <c r="G116" s="78">
        <f>SUM(G114:G115)</f>
        <v>376596000</v>
      </c>
      <c r="H116" s="78">
        <f t="shared" ref="H116:P116" si="40">SUM(H114:H115)</f>
        <v>376596000</v>
      </c>
      <c r="I116" s="78">
        <f t="shared" si="40"/>
        <v>376596000</v>
      </c>
      <c r="J116" s="78">
        <f t="shared" si="40"/>
        <v>376596000</v>
      </c>
      <c r="K116" s="78">
        <f t="shared" si="40"/>
        <v>376596000</v>
      </c>
      <c r="L116" s="78">
        <f t="shared" si="40"/>
        <v>376596000</v>
      </c>
      <c r="M116" s="78">
        <f t="shared" si="40"/>
        <v>376596000</v>
      </c>
      <c r="N116" s="78">
        <f t="shared" si="40"/>
        <v>376596000</v>
      </c>
      <c r="O116" s="78">
        <f t="shared" si="40"/>
        <v>376596000</v>
      </c>
      <c r="P116" s="78">
        <f t="shared" si="40"/>
        <v>376596000</v>
      </c>
      <c r="Q116" s="78">
        <f t="shared" ref="Q116:T116" si="41">SUM(Q114:Q115)</f>
        <v>376596000</v>
      </c>
      <c r="R116" s="78">
        <f t="shared" si="41"/>
        <v>376596000</v>
      </c>
      <c r="S116" s="78">
        <f t="shared" si="41"/>
        <v>376596000</v>
      </c>
      <c r="T116" s="78">
        <f t="shared" si="41"/>
        <v>376596000</v>
      </c>
    </row>
    <row r="117" spans="1:20" s="33" customFormat="1" outlineLevel="1" x14ac:dyDescent="0.15">
      <c r="A117" s="130"/>
      <c r="B117" s="173"/>
      <c r="C117" s="173"/>
      <c r="D117" s="207"/>
      <c r="E117" s="150"/>
      <c r="F117" s="207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</row>
    <row r="118" spans="1:20" s="33" customFormat="1" ht="16" customHeight="1" outlineLevel="1" x14ac:dyDescent="0.15">
      <c r="A118" s="37" t="s">
        <v>293</v>
      </c>
      <c r="B118" s="78"/>
      <c r="C118" s="78"/>
      <c r="D118" s="38" t="s">
        <v>173</v>
      </c>
      <c r="E118" s="41">
        <f>IFERROR(AVERAGE(G118:P118),"na")</f>
        <v>413820000</v>
      </c>
      <c r="F118" s="41">
        <f t="shared" ref="F118" si="42">F107-F116</f>
        <v>4134240000</v>
      </c>
      <c r="G118" s="41">
        <f>G105-G114</f>
        <v>413820000</v>
      </c>
      <c r="H118" s="41">
        <f t="shared" ref="H118:T118" si="43">H105-H114</f>
        <v>413820000</v>
      </c>
      <c r="I118" s="41">
        <f t="shared" si="43"/>
        <v>413820000</v>
      </c>
      <c r="J118" s="41">
        <f t="shared" si="43"/>
        <v>413820000</v>
      </c>
      <c r="K118" s="41">
        <f t="shared" si="43"/>
        <v>413820000</v>
      </c>
      <c r="L118" s="41">
        <f t="shared" si="43"/>
        <v>413820000</v>
      </c>
      <c r="M118" s="41">
        <f t="shared" si="43"/>
        <v>413820000</v>
      </c>
      <c r="N118" s="41">
        <f t="shared" si="43"/>
        <v>413820000</v>
      </c>
      <c r="O118" s="41">
        <f t="shared" si="43"/>
        <v>413820000</v>
      </c>
      <c r="P118" s="41">
        <f t="shared" si="43"/>
        <v>413820000</v>
      </c>
      <c r="Q118" s="41">
        <f t="shared" si="43"/>
        <v>413820000</v>
      </c>
      <c r="R118" s="41">
        <f t="shared" si="43"/>
        <v>413820000</v>
      </c>
      <c r="S118" s="41">
        <f t="shared" si="43"/>
        <v>413820000</v>
      </c>
      <c r="T118" s="41">
        <f t="shared" si="43"/>
        <v>413820000</v>
      </c>
    </row>
    <row r="119" spans="1:20" s="33" customFormat="1" x14ac:dyDescent="0.15">
      <c r="A119" s="78"/>
      <c r="B119" s="78"/>
      <c r="C119" s="78"/>
      <c r="D119" s="79"/>
      <c r="E119" s="79"/>
      <c r="F119" s="79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</row>
    <row r="120" spans="1:20" s="50" customFormat="1" ht="18.75" customHeight="1" x14ac:dyDescent="0.2">
      <c r="A120" s="107" t="s">
        <v>198</v>
      </c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</row>
    <row r="121" spans="1:20" s="33" customFormat="1" outlineLevel="1" x14ac:dyDescent="0.15">
      <c r="A121" s="78"/>
      <c r="B121" s="78"/>
      <c r="C121" s="78"/>
      <c r="D121" s="79"/>
      <c r="E121" s="79"/>
      <c r="F121" s="79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</row>
    <row r="122" spans="1:20" s="33" customFormat="1" outlineLevel="1" x14ac:dyDescent="0.15">
      <c r="A122" s="37" t="s">
        <v>294</v>
      </c>
      <c r="B122" s="78"/>
      <c r="C122" s="78"/>
      <c r="D122" s="79"/>
      <c r="E122" s="79"/>
      <c r="F122" s="79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</row>
    <row r="123" spans="1:20" s="33" customFormat="1" outlineLevel="1" x14ac:dyDescent="0.15">
      <c r="A123" s="78" t="s">
        <v>281</v>
      </c>
      <c r="B123" s="78"/>
      <c r="C123" s="78"/>
      <c r="D123" s="79" t="s">
        <v>173</v>
      </c>
      <c r="E123" s="150">
        <f>IFERROR(AVERAGE(G123:P123),"na")</f>
        <v>413820000</v>
      </c>
      <c r="F123" s="150">
        <f>SUM(G123:P123)</f>
        <v>4138200000</v>
      </c>
      <c r="G123" s="78">
        <f>G118</f>
        <v>413820000</v>
      </c>
      <c r="H123" s="78">
        <f t="shared" ref="H123:P123" si="44">H118</f>
        <v>413820000</v>
      </c>
      <c r="I123" s="78">
        <f t="shared" si="44"/>
        <v>413820000</v>
      </c>
      <c r="J123" s="78">
        <f t="shared" si="44"/>
        <v>413820000</v>
      </c>
      <c r="K123" s="78">
        <f t="shared" si="44"/>
        <v>413820000</v>
      </c>
      <c r="L123" s="78">
        <f t="shared" si="44"/>
        <v>413820000</v>
      </c>
      <c r="M123" s="78">
        <f t="shared" si="44"/>
        <v>413820000</v>
      </c>
      <c r="N123" s="78">
        <f t="shared" si="44"/>
        <v>413820000</v>
      </c>
      <c r="O123" s="78">
        <f t="shared" si="44"/>
        <v>413820000</v>
      </c>
      <c r="P123" s="78">
        <f t="shared" si="44"/>
        <v>413820000</v>
      </c>
      <c r="Q123" s="78">
        <f t="shared" ref="Q123:T123" si="45">Q118</f>
        <v>413820000</v>
      </c>
      <c r="R123" s="78">
        <f t="shared" si="45"/>
        <v>413820000</v>
      </c>
      <c r="S123" s="78">
        <f t="shared" si="45"/>
        <v>413820000</v>
      </c>
      <c r="T123" s="78">
        <f t="shared" si="45"/>
        <v>413820000</v>
      </c>
    </row>
    <row r="124" spans="1:20" s="33" customFormat="1" outlineLevel="1" x14ac:dyDescent="0.15">
      <c r="A124" s="78" t="s">
        <v>200</v>
      </c>
      <c r="B124" s="78"/>
      <c r="C124" s="78"/>
      <c r="D124" s="79"/>
      <c r="E124" s="79"/>
      <c r="F124" s="79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</row>
    <row r="125" spans="1:20" s="33" customFormat="1" outlineLevel="1" x14ac:dyDescent="0.15">
      <c r="A125" s="78" t="s">
        <v>202</v>
      </c>
      <c r="B125" s="78" t="s">
        <v>141</v>
      </c>
      <c r="C125" s="78"/>
      <c r="D125" s="79" t="s">
        <v>173</v>
      </c>
      <c r="E125" s="150">
        <f>IFERROR(AVERAGE(G125:P125),"na")</f>
        <v>153651366</v>
      </c>
      <c r="F125" s="150">
        <f>SUM(G125:P125)</f>
        <v>1536513660</v>
      </c>
      <c r="G125" s="78">
        <f>G123*$F$52</f>
        <v>153651366</v>
      </c>
      <c r="H125" s="78">
        <f t="shared" ref="H125:P125" si="46">H123*$F$52</f>
        <v>153651366</v>
      </c>
      <c r="I125" s="78">
        <f t="shared" si="46"/>
        <v>153651366</v>
      </c>
      <c r="J125" s="78">
        <f t="shared" si="46"/>
        <v>153651366</v>
      </c>
      <c r="K125" s="78">
        <f t="shared" si="46"/>
        <v>153651366</v>
      </c>
      <c r="L125" s="78">
        <f t="shared" si="46"/>
        <v>153651366</v>
      </c>
      <c r="M125" s="78">
        <f t="shared" si="46"/>
        <v>153651366</v>
      </c>
      <c r="N125" s="78">
        <f t="shared" si="46"/>
        <v>153651366</v>
      </c>
      <c r="O125" s="78">
        <f t="shared" si="46"/>
        <v>153651366</v>
      </c>
      <c r="P125" s="78">
        <f t="shared" si="46"/>
        <v>153651366</v>
      </c>
      <c r="Q125" s="78">
        <f t="shared" ref="Q125:T125" si="47">Q123*$F$52</f>
        <v>153651366</v>
      </c>
      <c r="R125" s="78">
        <f t="shared" si="47"/>
        <v>153651366</v>
      </c>
      <c r="S125" s="78">
        <f t="shared" si="47"/>
        <v>153651366</v>
      </c>
      <c r="T125" s="78">
        <f t="shared" si="47"/>
        <v>153651366</v>
      </c>
    </row>
    <row r="126" spans="1:20" s="33" customFormat="1" outlineLevel="1" x14ac:dyDescent="0.15">
      <c r="A126" s="165"/>
      <c r="B126" s="165" t="s">
        <v>205</v>
      </c>
      <c r="C126" s="165"/>
      <c r="D126" s="166" t="s">
        <v>173</v>
      </c>
      <c r="E126" s="155">
        <f>IFERROR(AVERAGE(G126:P126),"na")</f>
        <v>153651366</v>
      </c>
      <c r="F126" s="155">
        <f>SUM(G126:P126)</f>
        <v>1536513660</v>
      </c>
      <c r="G126" s="165">
        <f t="shared" ref="G126:P126" si="48">SUM(G125:G125)</f>
        <v>153651366</v>
      </c>
      <c r="H126" s="165">
        <f t="shared" si="48"/>
        <v>153651366</v>
      </c>
      <c r="I126" s="165">
        <f t="shared" si="48"/>
        <v>153651366</v>
      </c>
      <c r="J126" s="165">
        <f t="shared" si="48"/>
        <v>153651366</v>
      </c>
      <c r="K126" s="165">
        <f t="shared" si="48"/>
        <v>153651366</v>
      </c>
      <c r="L126" s="165">
        <f t="shared" si="48"/>
        <v>153651366</v>
      </c>
      <c r="M126" s="165">
        <f t="shared" si="48"/>
        <v>153651366</v>
      </c>
      <c r="N126" s="165">
        <f t="shared" si="48"/>
        <v>153651366</v>
      </c>
      <c r="O126" s="165">
        <f t="shared" si="48"/>
        <v>153651366</v>
      </c>
      <c r="P126" s="165">
        <f t="shared" si="48"/>
        <v>153651366</v>
      </c>
      <c r="Q126" s="165">
        <f t="shared" ref="Q126:T126" si="49">SUM(Q125:Q125)</f>
        <v>153651366</v>
      </c>
      <c r="R126" s="165">
        <f t="shared" si="49"/>
        <v>153651366</v>
      </c>
      <c r="S126" s="165">
        <f t="shared" si="49"/>
        <v>153651366</v>
      </c>
      <c r="T126" s="165">
        <f t="shared" si="49"/>
        <v>153651366</v>
      </c>
    </row>
    <row r="127" spans="1:20" s="33" customFormat="1" outlineLevel="1" x14ac:dyDescent="0.15">
      <c r="A127" s="78"/>
      <c r="B127" s="78"/>
      <c r="C127" s="78"/>
      <c r="D127" s="79"/>
      <c r="E127" s="79"/>
      <c r="F127" s="79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</row>
    <row r="128" spans="1:20" s="33" customFormat="1" outlineLevel="1" x14ac:dyDescent="0.15">
      <c r="A128" s="37" t="s">
        <v>199</v>
      </c>
      <c r="B128" s="78"/>
      <c r="C128" s="78"/>
      <c r="D128" s="79"/>
      <c r="E128" s="150">
        <f>IFERROR(AVERAGE(G128:P128),"na")</f>
        <v>567471366</v>
      </c>
      <c r="F128" s="150">
        <f>SUM(G128:P128)</f>
        <v>5674713660</v>
      </c>
      <c r="G128" s="37">
        <f t="shared" ref="G128:P128" si="50">G123+G126</f>
        <v>567471366</v>
      </c>
      <c r="H128" s="37">
        <f t="shared" si="50"/>
        <v>567471366</v>
      </c>
      <c r="I128" s="37">
        <f t="shared" si="50"/>
        <v>567471366</v>
      </c>
      <c r="J128" s="37">
        <f t="shared" si="50"/>
        <v>567471366</v>
      </c>
      <c r="K128" s="37">
        <f t="shared" si="50"/>
        <v>567471366</v>
      </c>
      <c r="L128" s="37">
        <f t="shared" si="50"/>
        <v>567471366</v>
      </c>
      <c r="M128" s="37">
        <f t="shared" si="50"/>
        <v>567471366</v>
      </c>
      <c r="N128" s="37">
        <f t="shared" si="50"/>
        <v>567471366</v>
      </c>
      <c r="O128" s="37">
        <f t="shared" si="50"/>
        <v>567471366</v>
      </c>
      <c r="P128" s="37">
        <f t="shared" si="50"/>
        <v>567471366</v>
      </c>
      <c r="Q128" s="37">
        <f t="shared" ref="Q128:T128" si="51">Q123+Q126</f>
        <v>567471366</v>
      </c>
      <c r="R128" s="37">
        <f t="shared" si="51"/>
        <v>567471366</v>
      </c>
      <c r="S128" s="37">
        <f t="shared" si="51"/>
        <v>567471366</v>
      </c>
      <c r="T128" s="37">
        <f t="shared" si="51"/>
        <v>567471366</v>
      </c>
    </row>
    <row r="129" spans="1:20" s="33" customFormat="1" outlineLevel="1" x14ac:dyDescent="0.15">
      <c r="A129" s="78"/>
      <c r="B129" s="78"/>
      <c r="C129" s="78"/>
      <c r="D129" s="79"/>
      <c r="E129" s="79"/>
      <c r="F129" s="79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</row>
    <row r="130" spans="1:20" s="33" customFormat="1" outlineLevel="1" x14ac:dyDescent="0.15">
      <c r="A130" s="37" t="s">
        <v>206</v>
      </c>
      <c r="B130" s="78"/>
      <c r="C130" s="78"/>
      <c r="D130" s="94">
        <f>F62</f>
        <v>0.21480312500000001</v>
      </c>
      <c r="E130" s="163" t="s">
        <v>157</v>
      </c>
      <c r="F130" s="163" t="s">
        <v>157</v>
      </c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spans="1:20" s="33" customFormat="1" outlineLevel="1" x14ac:dyDescent="0.15">
      <c r="A131" s="78"/>
      <c r="B131" s="78"/>
      <c r="C131" s="78"/>
      <c r="D131" s="79"/>
      <c r="E131" s="79"/>
      <c r="F131" s="79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</row>
    <row r="132" spans="1:20" s="33" customFormat="1" outlineLevel="1" x14ac:dyDescent="0.15">
      <c r="A132" s="37" t="s">
        <v>207</v>
      </c>
      <c r="B132" s="37"/>
      <c r="C132" s="37"/>
      <c r="D132" s="79" t="s">
        <v>173</v>
      </c>
      <c r="E132" s="3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</row>
    <row r="133" spans="1:20" s="33" customFormat="1" outlineLevel="1" x14ac:dyDescent="0.15">
      <c r="A133" s="113" t="s">
        <v>208</v>
      </c>
      <c r="B133" s="174"/>
      <c r="C133" s="175"/>
      <c r="D133" s="79"/>
      <c r="E133" s="108">
        <f>XNPV(D130,G133:P133,G1:P1)</f>
        <v>2750123448.841166</v>
      </c>
      <c r="F133" s="37">
        <v>0</v>
      </c>
      <c r="G133" s="37">
        <f>G128</f>
        <v>567471366</v>
      </c>
      <c r="H133" s="37">
        <f t="shared" ref="H133:P133" si="52">H128</f>
        <v>567471366</v>
      </c>
      <c r="I133" s="37">
        <f t="shared" si="52"/>
        <v>567471366</v>
      </c>
      <c r="J133" s="37">
        <f t="shared" si="52"/>
        <v>567471366</v>
      </c>
      <c r="K133" s="37">
        <f t="shared" si="52"/>
        <v>567471366</v>
      </c>
      <c r="L133" s="37">
        <f t="shared" si="52"/>
        <v>567471366</v>
      </c>
      <c r="M133" s="37">
        <f t="shared" si="52"/>
        <v>567471366</v>
      </c>
      <c r="N133" s="37">
        <f t="shared" si="52"/>
        <v>567471366</v>
      </c>
      <c r="O133" s="37">
        <f t="shared" si="52"/>
        <v>567471366</v>
      </c>
      <c r="P133" s="37">
        <f t="shared" si="52"/>
        <v>567471366</v>
      </c>
      <c r="Q133" s="37">
        <f t="shared" ref="Q133:T133" si="53">Q128</f>
        <v>567471366</v>
      </c>
      <c r="R133" s="37">
        <f t="shared" si="53"/>
        <v>567471366</v>
      </c>
      <c r="S133" s="37">
        <f t="shared" si="53"/>
        <v>567471366</v>
      </c>
      <c r="T133" s="37">
        <f t="shared" si="53"/>
        <v>567471366</v>
      </c>
    </row>
    <row r="134" spans="1:20" s="33" customFormat="1" outlineLevel="1" x14ac:dyDescent="0.15">
      <c r="A134" s="78" t="s">
        <v>209</v>
      </c>
      <c r="B134" s="78"/>
      <c r="C134" s="79"/>
      <c r="D134" s="79"/>
      <c r="E134" s="45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</row>
    <row r="135" spans="1:20" s="33" customFormat="1" outlineLevel="1" x14ac:dyDescent="0.15">
      <c r="A135" s="78"/>
      <c r="B135" s="78"/>
      <c r="C135" s="79"/>
      <c r="D135" s="79"/>
      <c r="E135" s="3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</row>
    <row r="136" spans="1:20" s="33" customFormat="1" outlineLevel="1" x14ac:dyDescent="0.15">
      <c r="A136" s="78" t="s">
        <v>210</v>
      </c>
      <c r="B136" s="78"/>
      <c r="C136" s="176" t="s">
        <v>211</v>
      </c>
      <c r="D136" s="79"/>
      <c r="E136" s="37"/>
      <c r="F136" s="37"/>
      <c r="G136" s="37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</row>
    <row r="137" spans="1:20" s="33" customFormat="1" outlineLevel="1" x14ac:dyDescent="0.15">
      <c r="A137" s="78"/>
      <c r="B137" s="78"/>
      <c r="C137" s="176" t="s">
        <v>212</v>
      </c>
      <c r="D137" s="79"/>
      <c r="E137" s="44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</row>
    <row r="138" spans="1:20" s="33" customFormat="1" outlineLevel="1" x14ac:dyDescent="0.15">
      <c r="A138" s="165" t="s">
        <v>213</v>
      </c>
      <c r="B138" s="165"/>
      <c r="C138" s="177" t="s">
        <v>214</v>
      </c>
      <c r="D138" s="166"/>
      <c r="E138" s="11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spans="1:20" s="33" customFormat="1" outlineLevel="1" x14ac:dyDescent="0.15">
      <c r="A139" s="78"/>
      <c r="B139" s="78"/>
      <c r="C139" s="78"/>
      <c r="D139" s="79"/>
      <c r="E139" s="79"/>
      <c r="F139" s="3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</row>
    <row r="140" spans="1:20" s="33" customFormat="1" outlineLevel="1" x14ac:dyDescent="0.15">
      <c r="A140" s="37" t="s">
        <v>215</v>
      </c>
      <c r="B140" s="78"/>
      <c r="C140" s="78"/>
      <c r="D140" s="79"/>
      <c r="E140" s="79"/>
      <c r="F140" s="79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</row>
    <row r="141" spans="1:20" s="33" customFormat="1" outlineLevel="1" x14ac:dyDescent="0.15">
      <c r="A141" s="78"/>
      <c r="B141" s="78" t="s">
        <v>211</v>
      </c>
      <c r="C141" s="78"/>
      <c r="D141" s="79"/>
      <c r="E141" s="79"/>
      <c r="F141" s="79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</row>
    <row r="142" spans="1:20" s="33" customFormat="1" outlineLevel="1" x14ac:dyDescent="0.15">
      <c r="A142" s="78"/>
      <c r="B142" s="78" t="s">
        <v>216</v>
      </c>
      <c r="C142" s="78"/>
      <c r="D142" s="79"/>
      <c r="E142" s="79"/>
      <c r="F142" s="79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</row>
    <row r="143" spans="1:20" s="33" customFormat="1" outlineLevel="1" x14ac:dyDescent="0.15">
      <c r="A143" s="165"/>
      <c r="B143" s="165" t="s">
        <v>64</v>
      </c>
      <c r="C143" s="165"/>
      <c r="D143" s="166"/>
      <c r="E143" s="166"/>
      <c r="F143" s="166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</row>
    <row r="144" spans="1:20" s="33" customFormat="1" outlineLevel="1" x14ac:dyDescent="0.15">
      <c r="A144" s="78"/>
      <c r="B144" s="78"/>
      <c r="C144" s="78"/>
      <c r="D144" s="79"/>
      <c r="E144" s="79"/>
      <c r="F144" s="79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</row>
    <row r="145" spans="1:20" s="33" customFormat="1" outlineLevel="1" x14ac:dyDescent="0.15">
      <c r="A145" s="78"/>
      <c r="B145" s="78" t="s">
        <v>217</v>
      </c>
      <c r="C145" s="78"/>
      <c r="D145" s="79"/>
      <c r="E145" s="79"/>
      <c r="F145" s="79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</row>
    <row r="146" spans="1:20" s="33" customFormat="1" outlineLevel="1" x14ac:dyDescent="0.15">
      <c r="A146" s="78"/>
      <c r="B146" s="78" t="s">
        <v>218</v>
      </c>
      <c r="C146" s="78"/>
      <c r="D146" s="79"/>
      <c r="E146" s="111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</row>
    <row r="147" spans="1:20" s="33" customFormat="1" outlineLevel="1" x14ac:dyDescent="0.15">
      <c r="A147" s="78"/>
      <c r="B147" s="78"/>
      <c r="C147" s="78"/>
      <c r="D147" s="79"/>
      <c r="E147" s="79"/>
      <c r="F147" s="79"/>
      <c r="G147" s="78"/>
      <c r="H147" s="78"/>
      <c r="I147" s="178"/>
      <c r="J147" s="1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</row>
    <row r="148" spans="1:20" s="33" customFormat="1" outlineLevel="1" x14ac:dyDescent="0.15">
      <c r="A148" s="37" t="s">
        <v>12</v>
      </c>
      <c r="B148" s="78"/>
      <c r="C148" s="78"/>
      <c r="D148" s="79"/>
      <c r="E148" s="79"/>
      <c r="F148" s="79"/>
      <c r="G148" s="78"/>
      <c r="H148" s="78"/>
      <c r="I148" s="178"/>
      <c r="J148" s="1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</row>
    <row r="149" spans="1:20" s="33" customFormat="1" outlineLevel="1" x14ac:dyDescent="0.15">
      <c r="A149" s="78" t="s">
        <v>219</v>
      </c>
      <c r="B149" s="78"/>
      <c r="C149" s="78"/>
      <c r="D149" s="79"/>
      <c r="E149" s="79">
        <f>E133</f>
        <v>2750123448.841166</v>
      </c>
      <c r="F149" s="79"/>
      <c r="G149" s="78"/>
      <c r="H149" s="78"/>
      <c r="I149" s="178"/>
      <c r="J149" s="1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</row>
    <row r="150" spans="1:20" s="33" customFormat="1" outlineLevel="1" x14ac:dyDescent="0.15">
      <c r="A150" s="78" t="s">
        <v>220</v>
      </c>
      <c r="B150" s="78"/>
      <c r="C150" s="78"/>
      <c r="D150" s="79"/>
      <c r="E150" s="136"/>
      <c r="F150" s="79"/>
      <c r="G150" s="78"/>
      <c r="H150" s="78"/>
      <c r="I150" s="178"/>
      <c r="J150" s="1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</row>
    <row r="151" spans="1:20" s="33" customFormat="1" outlineLevel="1" x14ac:dyDescent="0.15">
      <c r="A151" s="78" t="s">
        <v>221</v>
      </c>
      <c r="B151" s="78"/>
      <c r="C151" s="78"/>
      <c r="D151" s="79"/>
      <c r="E151" s="136">
        <v>237700000</v>
      </c>
      <c r="F151" s="79"/>
      <c r="G151" s="78"/>
      <c r="H151" s="78"/>
      <c r="I151" s="178"/>
      <c r="J151" s="1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</row>
    <row r="152" spans="1:20" s="33" customFormat="1" outlineLevel="1" x14ac:dyDescent="0.15">
      <c r="A152" s="78" t="s">
        <v>222</v>
      </c>
      <c r="B152" s="78"/>
      <c r="C152" s="78"/>
      <c r="D152" s="79"/>
      <c r="E152" s="136">
        <v>150000000</v>
      </c>
      <c r="F152" s="79"/>
      <c r="G152" s="78"/>
      <c r="H152" s="78"/>
      <c r="I152" s="178"/>
      <c r="J152" s="1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</row>
    <row r="153" spans="1:20" s="33" customFormat="1" outlineLevel="1" x14ac:dyDescent="0.15">
      <c r="A153" s="37" t="s">
        <v>223</v>
      </c>
      <c r="B153" s="78"/>
      <c r="C153" s="78"/>
      <c r="D153" s="79"/>
      <c r="E153" s="109">
        <f>SUM(E149:E151)-E152</f>
        <v>2837823448.841166</v>
      </c>
      <c r="F153" s="79"/>
      <c r="G153" s="78"/>
      <c r="H153" s="78"/>
      <c r="I153" s="178"/>
      <c r="J153" s="1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</row>
    <row r="154" spans="1:20" s="33" customFormat="1" outlineLevel="1" x14ac:dyDescent="0.15">
      <c r="A154" s="37"/>
      <c r="B154" s="78"/>
      <c r="C154" s="78"/>
      <c r="D154" s="79"/>
      <c r="E154" s="79"/>
      <c r="F154" s="79"/>
      <c r="G154" s="78"/>
      <c r="H154" s="78"/>
      <c r="I154" s="178"/>
      <c r="J154" s="1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</row>
    <row r="155" spans="1:20" s="33" customFormat="1" outlineLevel="1" x14ac:dyDescent="0.15">
      <c r="A155" s="78" t="s">
        <v>224</v>
      </c>
      <c r="B155" s="78"/>
      <c r="C155" s="78"/>
      <c r="D155" s="79"/>
      <c r="E155" s="79">
        <v>240000000</v>
      </c>
      <c r="F155" s="79"/>
      <c r="G155" s="78"/>
      <c r="H155" s="78"/>
      <c r="I155" s="178"/>
      <c r="J155" s="1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</row>
    <row r="156" spans="1:20" s="33" customFormat="1" outlineLevel="1" x14ac:dyDescent="0.15">
      <c r="A156" s="78" t="s">
        <v>225</v>
      </c>
      <c r="B156" s="78"/>
      <c r="C156" s="78"/>
      <c r="D156" s="79"/>
      <c r="E156" s="179">
        <f>E153/E155</f>
        <v>11.824264370171525</v>
      </c>
      <c r="F156" s="79"/>
      <c r="G156" s="78"/>
      <c r="H156" s="78"/>
      <c r="I156" s="178"/>
      <c r="J156" s="1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</row>
    <row r="157" spans="1:20" s="33" customFormat="1" outlineLevel="1" x14ac:dyDescent="0.15">
      <c r="A157" s="37"/>
      <c r="B157" s="78"/>
      <c r="C157" s="78"/>
      <c r="D157" s="79"/>
      <c r="E157" s="79"/>
      <c r="F157" s="79"/>
      <c r="G157" s="78"/>
      <c r="H157" s="78"/>
      <c r="I157" s="178"/>
      <c r="J157" s="1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</row>
    <row r="158" spans="1:20" s="33" customFormat="1" outlineLevel="1" x14ac:dyDescent="0.15">
      <c r="A158" s="37" t="s">
        <v>15</v>
      </c>
      <c r="B158" s="78"/>
      <c r="C158" s="78"/>
      <c r="D158" s="79"/>
      <c r="E158" s="179">
        <f>F64</f>
        <v>22.91</v>
      </c>
      <c r="F158" s="79"/>
      <c r="G158" s="78"/>
      <c r="H158" s="78"/>
      <c r="I158" s="178"/>
      <c r="J158" s="1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</row>
    <row r="159" spans="1:20" s="33" customFormat="1" outlineLevel="1" x14ac:dyDescent="0.15">
      <c r="A159" s="37" t="s">
        <v>56</v>
      </c>
      <c r="B159" s="78"/>
      <c r="C159" s="78"/>
      <c r="D159" s="79"/>
      <c r="E159" s="110">
        <f>E158/E156</f>
        <v>1.9375412526967768</v>
      </c>
      <c r="F159" s="79"/>
      <c r="G159" s="78"/>
      <c r="H159" s="78"/>
      <c r="I159" s="178"/>
      <c r="J159" s="1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</row>
    <row r="160" spans="1:20" s="33" customFormat="1" x14ac:dyDescent="0.15">
      <c r="A160" s="78"/>
      <c r="B160" s="78"/>
      <c r="C160" s="78"/>
      <c r="D160" s="79"/>
      <c r="E160" s="79"/>
      <c r="F160" s="79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</row>
    <row r="161" spans="1:20" s="50" customFormat="1" ht="18.75" customHeight="1" x14ac:dyDescent="0.2">
      <c r="A161" s="107" t="s">
        <v>226</v>
      </c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</row>
    <row r="162" spans="1:20" ht="16.5" hidden="1" customHeight="1" outlineLevel="1" x14ac:dyDescent="0.15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</row>
    <row r="163" spans="1:20" hidden="1" outlineLevel="1" x14ac:dyDescent="0.15">
      <c r="A163" s="77"/>
      <c r="B163" s="77"/>
      <c r="C163" s="77"/>
      <c r="D163" s="77"/>
      <c r="E163" s="77"/>
      <c r="F163" s="77"/>
      <c r="G163" s="77" t="s">
        <v>227</v>
      </c>
      <c r="H163" s="180"/>
      <c r="I163" s="146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</row>
    <row r="164" spans="1:20" hidden="1" outlineLevel="1" x14ac:dyDescent="0.15">
      <c r="A164" s="77"/>
      <c r="B164" s="77"/>
      <c r="C164" s="77"/>
      <c r="D164" s="77"/>
      <c r="E164" s="77"/>
      <c r="F164" s="77"/>
      <c r="G164" s="77" t="s">
        <v>210</v>
      </c>
      <c r="H164" s="148"/>
      <c r="I164" s="146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</row>
    <row r="165" spans="1:20" hidden="1" outlineLevel="1" x14ac:dyDescent="0.15">
      <c r="A165" s="77"/>
      <c r="B165" s="77"/>
      <c r="C165" s="77"/>
      <c r="D165" s="77"/>
      <c r="E165" s="77"/>
      <c r="F165" s="77"/>
      <c r="G165" s="77" t="s">
        <v>228</v>
      </c>
      <c r="H165" s="60"/>
      <c r="I165" s="13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</row>
    <row r="166" spans="1:20" hidden="1" outlineLevel="1" x14ac:dyDescent="0.15">
      <c r="A166" s="77"/>
      <c r="B166" s="77"/>
      <c r="C166" s="77"/>
      <c r="D166" s="77"/>
      <c r="E166" s="77"/>
      <c r="F166" s="77"/>
      <c r="G166" s="77" t="s">
        <v>229</v>
      </c>
      <c r="H166" s="181"/>
      <c r="I166" s="142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</row>
    <row r="167" spans="1:20" hidden="1" outlineLevel="1" x14ac:dyDescent="0.15">
      <c r="A167" s="77"/>
      <c r="B167" s="77"/>
      <c r="C167" s="77"/>
      <c r="D167" s="77"/>
      <c r="E167" s="77"/>
      <c r="F167" s="77"/>
      <c r="G167" s="77"/>
      <c r="H167" s="142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</row>
    <row r="168" spans="1:20" ht="15.75" hidden="1" customHeight="1" outlineLevel="1" x14ac:dyDescent="0.15">
      <c r="A168" s="77"/>
      <c r="B168" s="77"/>
      <c r="C168" s="77"/>
      <c r="D168" s="77"/>
      <c r="E168" s="77"/>
      <c r="F168" s="77"/>
      <c r="G168" s="51" t="s">
        <v>229</v>
      </c>
      <c r="H168" s="52"/>
      <c r="I168" s="52"/>
      <c r="J168" s="52"/>
      <c r="K168" s="52"/>
      <c r="L168" s="52"/>
      <c r="M168" s="77"/>
      <c r="N168" s="77"/>
      <c r="O168" s="77"/>
      <c r="P168" s="77"/>
      <c r="Q168" s="77"/>
      <c r="R168" s="77"/>
      <c r="S168" s="77"/>
      <c r="T168" s="77"/>
    </row>
    <row r="169" spans="1:20" hidden="1" outlineLevel="1" x14ac:dyDescent="0.15">
      <c r="A169" s="77"/>
      <c r="B169" s="77"/>
      <c r="C169" s="77"/>
      <c r="D169" s="77"/>
      <c r="E169" s="77"/>
      <c r="F169" s="77"/>
      <c r="G169" s="46"/>
      <c r="H169" s="182" t="s">
        <v>230</v>
      </c>
      <c r="I169" s="182"/>
      <c r="J169" s="182"/>
      <c r="K169" s="182"/>
      <c r="L169" s="182"/>
      <c r="M169" s="77"/>
      <c r="N169" s="77"/>
      <c r="O169" s="77"/>
      <c r="P169" s="77"/>
      <c r="Q169" s="77"/>
      <c r="R169" s="77"/>
      <c r="S169" s="77"/>
      <c r="T169" s="77"/>
    </row>
    <row r="170" spans="1:20" hidden="1" outlineLevel="1" x14ac:dyDescent="0.15">
      <c r="G170" s="47">
        <f>E138</f>
        <v>0</v>
      </c>
      <c r="H170" s="62">
        <v>1000</v>
      </c>
      <c r="I170" s="183">
        <f>+H170+200</f>
        <v>1200</v>
      </c>
      <c r="J170" s="183">
        <f t="shared" ref="J170:L170" si="54">+I170+200</f>
        <v>1400</v>
      </c>
      <c r="K170" s="183">
        <f t="shared" si="54"/>
        <v>1600</v>
      </c>
      <c r="L170" s="183">
        <f t="shared" si="54"/>
        <v>1800</v>
      </c>
    </row>
    <row r="171" spans="1:20" hidden="1" outlineLevel="1" x14ac:dyDescent="0.15">
      <c r="G171" s="61">
        <v>12</v>
      </c>
      <c r="H171" s="184"/>
      <c r="I171" s="184"/>
      <c r="J171" s="184"/>
      <c r="K171" s="184"/>
      <c r="L171" s="184"/>
    </row>
    <row r="172" spans="1:20" hidden="1" outlineLevel="1" x14ac:dyDescent="0.15">
      <c r="G172" s="185">
        <f>+G171-1</f>
        <v>11</v>
      </c>
      <c r="H172" s="142"/>
      <c r="I172" s="142"/>
      <c r="J172" s="142"/>
      <c r="K172" s="142"/>
      <c r="L172" s="142"/>
    </row>
    <row r="173" spans="1:20" hidden="1" outlineLevel="1" x14ac:dyDescent="0.15">
      <c r="G173" s="185">
        <f t="shared" ref="G173:G179" si="55">+G172-1</f>
        <v>10</v>
      </c>
      <c r="H173" s="142"/>
      <c r="I173" s="142"/>
      <c r="J173" s="142"/>
      <c r="K173" s="142"/>
      <c r="L173" s="142"/>
    </row>
    <row r="174" spans="1:20" hidden="1" outlineLevel="1" x14ac:dyDescent="0.15">
      <c r="G174" s="185">
        <f t="shared" si="55"/>
        <v>9</v>
      </c>
      <c r="H174" s="142"/>
      <c r="I174" s="186"/>
      <c r="J174" s="186"/>
      <c r="K174" s="186"/>
      <c r="L174" s="142"/>
    </row>
    <row r="175" spans="1:20" hidden="1" outlineLevel="1" x14ac:dyDescent="0.15">
      <c r="G175" s="185">
        <f t="shared" si="55"/>
        <v>8</v>
      </c>
      <c r="H175" s="142"/>
      <c r="I175" s="186"/>
      <c r="J175" s="186"/>
      <c r="K175" s="186"/>
      <c r="L175" s="142"/>
    </row>
    <row r="176" spans="1:20" hidden="1" outlineLevel="1" x14ac:dyDescent="0.15">
      <c r="G176" s="185">
        <f t="shared" si="55"/>
        <v>7</v>
      </c>
      <c r="H176" s="142"/>
      <c r="I176" s="186"/>
      <c r="J176" s="186"/>
      <c r="K176" s="186"/>
      <c r="L176" s="142"/>
    </row>
    <row r="177" spans="1:20" hidden="1" outlineLevel="1" x14ac:dyDescent="0.15">
      <c r="G177" s="185">
        <f t="shared" si="55"/>
        <v>6</v>
      </c>
      <c r="H177" s="142"/>
      <c r="I177" s="142"/>
      <c r="J177" s="142"/>
      <c r="K177" s="142"/>
      <c r="L177" s="142"/>
    </row>
    <row r="178" spans="1:20" hidden="1" outlineLevel="1" x14ac:dyDescent="0.15">
      <c r="G178" s="185">
        <f t="shared" si="55"/>
        <v>5</v>
      </c>
      <c r="H178" s="142"/>
      <c r="I178" s="142"/>
      <c r="J178" s="142"/>
      <c r="K178" s="142"/>
      <c r="L178" s="142"/>
    </row>
    <row r="179" spans="1:20" hidden="1" outlineLevel="1" x14ac:dyDescent="0.15">
      <c r="G179" s="185">
        <f t="shared" si="55"/>
        <v>4</v>
      </c>
      <c r="H179" s="142"/>
      <c r="I179" s="142"/>
      <c r="J179" s="142"/>
      <c r="K179" s="142"/>
      <c r="L179" s="142"/>
    </row>
    <row r="180" spans="1:20" hidden="1" outlineLevel="1" x14ac:dyDescent="0.15">
      <c r="G180" s="77"/>
      <c r="H180" s="77"/>
      <c r="I180" s="77"/>
      <c r="J180" s="77"/>
      <c r="K180" s="77"/>
      <c r="L180" s="77"/>
    </row>
    <row r="181" spans="1:20" hidden="1" outlineLevel="1" x14ac:dyDescent="0.15">
      <c r="G181" s="77"/>
      <c r="H181" s="77"/>
      <c r="I181" s="77"/>
      <c r="J181" s="77"/>
      <c r="K181" s="77"/>
      <c r="L181" s="77"/>
    </row>
    <row r="182" spans="1:20" ht="15.75" hidden="1" customHeight="1" outlineLevel="1" x14ac:dyDescent="0.15">
      <c r="G182" s="51" t="s">
        <v>231</v>
      </c>
      <c r="H182" s="52"/>
      <c r="I182" s="52"/>
      <c r="J182" s="52"/>
      <c r="K182" s="52"/>
      <c r="L182" s="52"/>
    </row>
    <row r="183" spans="1:20" hidden="1" outlineLevel="1" x14ac:dyDescent="0.15">
      <c r="G183" s="77"/>
      <c r="H183" s="182" t="s">
        <v>230</v>
      </c>
      <c r="I183" s="182"/>
      <c r="J183" s="182"/>
      <c r="K183" s="182"/>
      <c r="L183" s="182"/>
    </row>
    <row r="184" spans="1:20" hidden="1" outlineLevel="1" x14ac:dyDescent="0.15">
      <c r="G184" s="54">
        <f>E136/1000000</f>
        <v>0</v>
      </c>
      <c r="H184" s="62">
        <v>1000</v>
      </c>
      <c r="I184" s="183">
        <f>+H184+200</f>
        <v>1200</v>
      </c>
      <c r="J184" s="183">
        <f t="shared" ref="J184:L184" si="56">+I184+200</f>
        <v>1400</v>
      </c>
      <c r="K184" s="183">
        <f t="shared" si="56"/>
        <v>1600</v>
      </c>
      <c r="L184" s="183">
        <f t="shared" si="56"/>
        <v>1800</v>
      </c>
    </row>
    <row r="185" spans="1:20" hidden="1" outlineLevel="1" x14ac:dyDescent="0.15">
      <c r="G185" s="63">
        <v>0.09</v>
      </c>
      <c r="H185" s="187"/>
      <c r="I185" s="144"/>
      <c r="J185" s="144"/>
      <c r="K185" s="144"/>
      <c r="L185" s="144"/>
    </row>
    <row r="186" spans="1:20" hidden="1" outlineLevel="1" x14ac:dyDescent="0.15">
      <c r="A186" s="77"/>
      <c r="B186" s="77"/>
      <c r="C186" s="77"/>
      <c r="D186" s="77"/>
      <c r="E186" s="77"/>
      <c r="F186" s="77"/>
      <c r="G186" s="188">
        <f>G185-0.01</f>
        <v>0.08</v>
      </c>
      <c r="H186" s="146"/>
      <c r="I186" s="146"/>
      <c r="J186" s="146"/>
      <c r="K186" s="146"/>
      <c r="L186" s="146"/>
      <c r="M186" s="77"/>
      <c r="N186" s="77"/>
      <c r="O186" s="77"/>
      <c r="P186" s="77"/>
      <c r="Q186" s="77"/>
      <c r="R186" s="77"/>
      <c r="S186" s="77"/>
      <c r="T186" s="77"/>
    </row>
    <row r="187" spans="1:20" hidden="1" outlineLevel="1" x14ac:dyDescent="0.15">
      <c r="A187" s="77"/>
      <c r="B187" s="77"/>
      <c r="C187" s="77"/>
      <c r="D187" s="77"/>
      <c r="E187" s="77"/>
      <c r="F187" s="77"/>
      <c r="G187" s="188">
        <f t="shared" ref="G187:G193" si="57">G186-0.01</f>
        <v>7.0000000000000007E-2</v>
      </c>
      <c r="H187" s="146"/>
      <c r="I187" s="146"/>
      <c r="J187" s="146"/>
      <c r="K187" s="146"/>
      <c r="L187" s="146"/>
      <c r="M187" s="77"/>
      <c r="N187" s="77"/>
      <c r="O187" s="77"/>
      <c r="P187" s="77"/>
      <c r="Q187" s="77"/>
      <c r="R187" s="77"/>
      <c r="S187" s="77"/>
      <c r="T187" s="77"/>
    </row>
    <row r="188" spans="1:20" hidden="1" outlineLevel="1" x14ac:dyDescent="0.15">
      <c r="A188" s="77"/>
      <c r="B188" s="77"/>
      <c r="C188" s="77"/>
      <c r="D188" s="77"/>
      <c r="E188" s="77"/>
      <c r="F188" s="77"/>
      <c r="G188" s="188">
        <f t="shared" si="57"/>
        <v>6.0000000000000005E-2</v>
      </c>
      <c r="H188" s="146"/>
      <c r="I188" s="189"/>
      <c r="J188" s="189"/>
      <c r="K188" s="189"/>
      <c r="L188" s="146"/>
      <c r="M188" s="77"/>
      <c r="N188" s="77"/>
      <c r="O188" s="77"/>
      <c r="P188" s="77"/>
      <c r="Q188" s="77"/>
      <c r="R188" s="77"/>
      <c r="S188" s="77"/>
      <c r="T188" s="77"/>
    </row>
    <row r="189" spans="1:20" hidden="1" outlineLevel="1" x14ac:dyDescent="0.15">
      <c r="A189" s="77"/>
      <c r="B189" s="77"/>
      <c r="C189" s="77"/>
      <c r="D189" s="77"/>
      <c r="E189" s="77"/>
      <c r="F189" s="77"/>
      <c r="G189" s="188">
        <f t="shared" si="57"/>
        <v>0.05</v>
      </c>
      <c r="H189" s="146"/>
      <c r="I189" s="189"/>
      <c r="J189" s="189"/>
      <c r="K189" s="189"/>
      <c r="L189" s="146"/>
      <c r="M189" s="77"/>
      <c r="N189" s="77"/>
      <c r="O189" s="77"/>
      <c r="P189" s="77"/>
      <c r="Q189" s="77"/>
      <c r="R189" s="77"/>
      <c r="S189" s="77"/>
      <c r="T189" s="77"/>
    </row>
    <row r="190" spans="1:20" hidden="1" outlineLevel="1" x14ac:dyDescent="0.15">
      <c r="A190" s="77"/>
      <c r="B190" s="77"/>
      <c r="C190" s="77"/>
      <c r="D190" s="77"/>
      <c r="E190" s="77"/>
      <c r="F190" s="77"/>
      <c r="G190" s="188">
        <f t="shared" si="57"/>
        <v>0.04</v>
      </c>
      <c r="H190" s="146"/>
      <c r="I190" s="189"/>
      <c r="J190" s="189"/>
      <c r="K190" s="189"/>
      <c r="L190" s="146"/>
      <c r="M190" s="77"/>
      <c r="N190" s="77"/>
      <c r="O190" s="77"/>
      <c r="P190" s="77"/>
      <c r="Q190" s="77"/>
      <c r="R190" s="77"/>
      <c r="S190" s="77"/>
      <c r="T190" s="77"/>
    </row>
    <row r="191" spans="1:20" hidden="1" outlineLevel="1" x14ac:dyDescent="0.15">
      <c r="A191" s="77"/>
      <c r="B191" s="77"/>
      <c r="C191" s="77"/>
      <c r="D191" s="77"/>
      <c r="E191" s="77"/>
      <c r="F191" s="77"/>
      <c r="G191" s="188">
        <f t="shared" si="57"/>
        <v>0.03</v>
      </c>
      <c r="H191" s="146"/>
      <c r="I191" s="146"/>
      <c r="J191" s="146"/>
      <c r="K191" s="146"/>
      <c r="L191" s="146"/>
      <c r="M191" s="77"/>
      <c r="N191" s="77"/>
      <c r="O191" s="77"/>
      <c r="P191" s="77"/>
      <c r="Q191" s="77"/>
      <c r="R191" s="77"/>
      <c r="S191" s="77"/>
      <c r="T191" s="77"/>
    </row>
    <row r="192" spans="1:20" hidden="1" outlineLevel="1" x14ac:dyDescent="0.15">
      <c r="A192" s="77"/>
      <c r="B192" s="77"/>
      <c r="C192" s="77"/>
      <c r="D192" s="77"/>
      <c r="E192" s="77"/>
      <c r="F192" s="77"/>
      <c r="G192" s="188">
        <f t="shared" si="57"/>
        <v>1.9999999999999997E-2</v>
      </c>
      <c r="H192" s="146"/>
      <c r="I192" s="146"/>
      <c r="J192" s="146"/>
      <c r="K192" s="146"/>
      <c r="L192" s="146"/>
      <c r="M192" s="77"/>
      <c r="N192" s="77"/>
      <c r="O192" s="77"/>
      <c r="P192" s="77"/>
      <c r="Q192" s="77"/>
      <c r="R192" s="77"/>
      <c r="S192" s="77"/>
      <c r="T192" s="77"/>
    </row>
    <row r="193" spans="1:20" hidden="1" outlineLevel="1" x14ac:dyDescent="0.15">
      <c r="A193" s="77"/>
      <c r="B193" s="77"/>
      <c r="C193" s="77"/>
      <c r="D193" s="77"/>
      <c r="E193" s="77"/>
      <c r="F193" s="77"/>
      <c r="G193" s="188">
        <f t="shared" si="57"/>
        <v>9.9999999999999967E-3</v>
      </c>
      <c r="H193" s="146"/>
      <c r="I193" s="146"/>
      <c r="J193" s="146"/>
      <c r="K193" s="146"/>
      <c r="L193" s="146"/>
      <c r="M193" s="77"/>
      <c r="N193" s="77"/>
      <c r="O193" s="77"/>
      <c r="P193" s="77"/>
      <c r="Q193" s="77"/>
      <c r="R193" s="77"/>
      <c r="S193" s="77"/>
      <c r="T193" s="77"/>
    </row>
    <row r="194" spans="1:20" hidden="1" outlineLevel="1" x14ac:dyDescent="0.15">
      <c r="A194" s="77"/>
      <c r="B194" s="77"/>
      <c r="C194" s="77"/>
      <c r="D194" s="77"/>
      <c r="E194" s="77"/>
      <c r="F194" s="77"/>
      <c r="G194" s="142"/>
      <c r="H194" s="146"/>
      <c r="I194" s="146"/>
      <c r="J194" s="146"/>
      <c r="K194" s="146"/>
      <c r="L194" s="146"/>
      <c r="M194" s="77"/>
      <c r="N194" s="77"/>
      <c r="O194" s="77"/>
      <c r="P194" s="77"/>
      <c r="Q194" s="77"/>
      <c r="R194" s="77"/>
      <c r="S194" s="77"/>
      <c r="T194" s="77"/>
    </row>
    <row r="195" spans="1:20" collapsed="1" x14ac:dyDescent="0.1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</row>
    <row r="196" spans="1:20" s="50" customFormat="1" ht="18.75" customHeight="1" x14ac:dyDescent="0.2">
      <c r="A196" s="107" t="s">
        <v>232</v>
      </c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</row>
    <row r="197" spans="1:20" s="29" customFormat="1" ht="24" hidden="1" customHeight="1" outlineLevel="2" x14ac:dyDescent="0.2">
      <c r="A197" s="80"/>
      <c r="B197" s="80"/>
      <c r="C197" s="80"/>
      <c r="D197" s="80"/>
      <c r="E197" s="80"/>
      <c r="F197" s="80"/>
      <c r="G197" s="56">
        <f t="shared" ref="G197:P197" si="58">G2</f>
        <v>2024</v>
      </c>
      <c r="H197" s="56">
        <f t="shared" si="58"/>
        <v>2025</v>
      </c>
      <c r="I197" s="56">
        <f t="shared" si="58"/>
        <v>2026</v>
      </c>
      <c r="J197" s="56">
        <f t="shared" si="58"/>
        <v>2027</v>
      </c>
      <c r="K197" s="56">
        <f t="shared" si="58"/>
        <v>2028</v>
      </c>
      <c r="L197" s="56">
        <f t="shared" si="58"/>
        <v>2029</v>
      </c>
      <c r="M197" s="56">
        <f t="shared" si="58"/>
        <v>2030</v>
      </c>
      <c r="N197" s="56">
        <f t="shared" si="58"/>
        <v>2031</v>
      </c>
      <c r="O197" s="56">
        <f t="shared" si="58"/>
        <v>2032</v>
      </c>
      <c r="P197" s="56">
        <f t="shared" si="58"/>
        <v>2033</v>
      </c>
      <c r="Q197" s="56">
        <f t="shared" ref="Q197:T197" si="59">Q2</f>
        <v>2034</v>
      </c>
      <c r="R197" s="56">
        <f t="shared" si="59"/>
        <v>2035</v>
      </c>
      <c r="S197" s="56">
        <f t="shared" si="59"/>
        <v>2036</v>
      </c>
      <c r="T197" s="56">
        <f t="shared" si="59"/>
        <v>2037</v>
      </c>
    </row>
    <row r="198" spans="1:20" s="29" customFormat="1" hidden="1" outlineLevel="2" x14ac:dyDescent="0.15">
      <c r="A198" s="153" t="s">
        <v>233</v>
      </c>
      <c r="B198" s="153"/>
      <c r="C198" s="153"/>
      <c r="D198" s="153"/>
      <c r="E198" s="153"/>
      <c r="F198" s="153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</row>
    <row r="199" spans="1:20" s="29" customFormat="1" hidden="1" outlineLevel="2" x14ac:dyDescent="0.15">
      <c r="A199" s="80" t="s">
        <v>203</v>
      </c>
      <c r="B199" s="80"/>
      <c r="C199" s="80"/>
      <c r="D199" s="80"/>
      <c r="E199" s="80"/>
      <c r="F199" s="8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 s="29" customFormat="1" hidden="1" outlineLevel="2" x14ac:dyDescent="0.15">
      <c r="A200" s="153" t="s">
        <v>199</v>
      </c>
      <c r="B200" s="153"/>
      <c r="C200" s="153"/>
      <c r="D200" s="153"/>
      <c r="E200" s="153"/>
      <c r="F200" s="153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</row>
    <row r="201" spans="1:20" s="29" customFormat="1" hidden="1" outlineLevel="2" x14ac:dyDescent="0.15">
      <c r="A201" s="80"/>
      <c r="B201" s="80"/>
      <c r="C201" s="80"/>
      <c r="D201" s="80"/>
      <c r="E201" s="80"/>
      <c r="F201" s="80"/>
      <c r="G201" s="55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</row>
    <row r="202" spans="1:20" s="29" customFormat="1" hidden="1" outlineLevel="2" x14ac:dyDescent="0.15">
      <c r="A202" s="80" t="s">
        <v>215</v>
      </c>
      <c r="B202" s="80"/>
      <c r="C202" s="80"/>
      <c r="D202" s="80"/>
      <c r="E202" s="80"/>
      <c r="F202" s="80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</row>
    <row r="203" spans="1:20" s="29" customFormat="1" hidden="1" outlineLevel="2" x14ac:dyDescent="0.15">
      <c r="A203" s="80" t="s">
        <v>234</v>
      </c>
      <c r="B203" s="80"/>
      <c r="C203" s="80"/>
      <c r="D203" s="80"/>
      <c r="E203" s="80"/>
      <c r="F203" s="8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 s="29" customFormat="1" hidden="1" outlineLevel="2" x14ac:dyDescent="0.15">
      <c r="A204" s="153" t="s">
        <v>199</v>
      </c>
      <c r="B204" s="153"/>
      <c r="C204" s="153"/>
      <c r="D204" s="153"/>
      <c r="E204" s="153"/>
      <c r="F204" s="153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</row>
    <row r="205" spans="1:20" s="29" customFormat="1" hidden="1" outlineLevel="2" x14ac:dyDescent="0.15">
      <c r="A205" s="80"/>
      <c r="B205" s="80"/>
      <c r="C205" s="80"/>
      <c r="D205" s="80"/>
      <c r="E205" s="80"/>
      <c r="F205" s="80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</row>
    <row r="206" spans="1:20" s="29" customFormat="1" hidden="1" outlineLevel="2" x14ac:dyDescent="0.15">
      <c r="A206" s="80" t="s">
        <v>235</v>
      </c>
      <c r="B206" s="80"/>
      <c r="C206" s="80"/>
      <c r="D206" s="80"/>
      <c r="E206" s="80"/>
      <c r="F206" s="8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 s="29" customFormat="1" hidden="1" outlineLevel="2" x14ac:dyDescent="0.15">
      <c r="A207" s="80" t="s">
        <v>236</v>
      </c>
      <c r="B207" s="80"/>
      <c r="C207" s="80"/>
      <c r="D207" s="80"/>
      <c r="E207" s="80"/>
      <c r="F207" s="8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 s="29" customFormat="1" hidden="1" outlineLevel="2" x14ac:dyDescent="0.15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</row>
    <row r="209" spans="1:20" s="29" customFormat="1" hidden="1" outlineLevel="2" x14ac:dyDescent="0.15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</row>
    <row r="210" spans="1:20" s="29" customFormat="1" hidden="1" outlineLevel="2" x14ac:dyDescent="0.15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</row>
    <row r="211" spans="1:20" s="29" customFormat="1" hidden="1" outlineLevel="2" x14ac:dyDescent="0.15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</row>
    <row r="212" spans="1:20" s="29" customFormat="1" hidden="1" outlineLevel="2" x14ac:dyDescent="0.1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</row>
    <row r="213" spans="1:20" s="29" customFormat="1" hidden="1" outlineLevel="2" x14ac:dyDescent="0.15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</row>
    <row r="214" spans="1:20" s="29" customFormat="1" hidden="1" outlineLevel="2" x14ac:dyDescent="0.15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</row>
    <row r="215" spans="1:20" s="29" customFormat="1" hidden="1" outlineLevel="2" x14ac:dyDescent="0.1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</row>
    <row r="216" spans="1:20" s="29" customFormat="1" hidden="1" outlineLevel="2" x14ac:dyDescent="0.15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</row>
    <row r="217" spans="1:20" s="29" customFormat="1" hidden="1" outlineLevel="2" x14ac:dyDescent="0.15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</row>
    <row r="218" spans="1:20" s="29" customFormat="1" hidden="1" outlineLevel="2" x14ac:dyDescent="0.15"/>
    <row r="219" spans="1:20" s="29" customFormat="1" hidden="1" outlineLevel="2" x14ac:dyDescent="0.15"/>
    <row r="220" spans="1:20" s="29" customFormat="1" hidden="1" outlineLevel="2" x14ac:dyDescent="0.15"/>
    <row r="221" spans="1:20" s="29" customFormat="1" hidden="1" outlineLevel="2" x14ac:dyDescent="0.15"/>
    <row r="222" spans="1:20" s="29" customFormat="1" hidden="1" outlineLevel="2" x14ac:dyDescent="0.15"/>
    <row r="223" spans="1:20" s="29" customFormat="1" hidden="1" outlineLevel="2" x14ac:dyDescent="0.15"/>
    <row r="224" spans="1:20" s="29" customFormat="1" hidden="1" outlineLevel="2" x14ac:dyDescent="0.15"/>
    <row r="225" s="29" customFormat="1" hidden="1" outlineLevel="2" x14ac:dyDescent="0.15"/>
    <row r="226" s="29" customFormat="1" hidden="1" outlineLevel="2" x14ac:dyDescent="0.15"/>
    <row r="227" s="29" customFormat="1" hidden="1" outlineLevel="2" x14ac:dyDescent="0.15"/>
    <row r="228" s="29" customFormat="1" hidden="1" outlineLevel="2" x14ac:dyDescent="0.15"/>
    <row r="229" s="29" customFormat="1" hidden="1" outlineLevel="2" x14ac:dyDescent="0.15"/>
    <row r="230" s="29" customFormat="1" hidden="1" outlineLevel="2" x14ac:dyDescent="0.15"/>
    <row r="231" hidden="1" outlineLevel="2" x14ac:dyDescent="0.15"/>
    <row r="232" collapsed="1" x14ac:dyDescent="0.15"/>
  </sheetData>
  <conditionalFormatting sqref="A2 C2">
    <cfRule type="containsText" dxfId="3" priority="3" operator="containsText" text="OK">
      <formula>NOT(ISERROR(SEARCH("OK",A2)))</formula>
    </cfRule>
    <cfRule type="containsText" dxfId="2" priority="4" operator="containsText" text="ERROR">
      <formula>NOT(ISERROR(SEARCH("ERROR",A2)))</formula>
    </cfRule>
  </conditionalFormatting>
  <conditionalFormatting sqref="E3:T3">
    <cfRule type="containsText" dxfId="1" priority="1" operator="containsText" text="OK">
      <formula>NOT(ISERROR(SEARCH("OK",#REF!)))</formula>
    </cfRule>
    <cfRule type="containsText" dxfId="0" priority="2" operator="containsText" text="ERROR">
      <formula>NOT(ISERROR(SEARCH("ERROR",#REF!)))</formula>
    </cfRule>
  </conditionalFormatting>
  <dataValidations count="1">
    <dataValidation type="list" allowBlank="1" showInputMessage="1" showErrorMessage="1" sqref="F24" xr:uid="{09554BA4-164B-A34F-88CF-38A619EC480A}">
      <formula1>$A$15:$A$16</formula1>
    </dataValidation>
  </dataValidations>
  <pageMargins left="0.7" right="0.7" top="0.75" bottom="0.75" header="0.3" footer="0.3"/>
  <pageSetup paperSize="17" scale="7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COMPS</vt:lpstr>
      <vt:lpstr>Orezone</vt:lpstr>
      <vt:lpstr>Orezone summary</vt:lpstr>
      <vt:lpstr>Perseus</vt:lpstr>
      <vt:lpstr>West African</vt:lpstr>
      <vt:lpstr>Apex</vt:lpstr>
      <vt:lpstr>Mineros S.A.</vt:lpstr>
      <vt:lpstr>Pan African</vt:lpstr>
      <vt:lpstr>Harmony</vt:lpstr>
      <vt:lpstr>Ramelius</vt:lpstr>
      <vt:lpstr>Lundin</vt:lpstr>
      <vt:lpstr>Management</vt:lpstr>
      <vt:lpstr>Lundin!Print_Area</vt:lpstr>
      <vt:lpstr>'Orezone summary'!Print_Area</vt:lpstr>
      <vt:lpstr>Apex!Print_Titles</vt:lpstr>
      <vt:lpstr>Harmony!Print_Titles</vt:lpstr>
      <vt:lpstr>Lundin!Print_Titles</vt:lpstr>
      <vt:lpstr>'Mineros S.A.'!Print_Titles</vt:lpstr>
      <vt:lpstr>Orezone!Print_Titles</vt:lpstr>
      <vt:lpstr>'Pan African'!Print_Titles</vt:lpstr>
      <vt:lpstr>Perseus!Print_Titles</vt:lpstr>
      <vt:lpstr>Ramelius!Print_Titles</vt:lpstr>
      <vt:lpstr>'West African'!Print_Titles</vt:lpstr>
    </vt:vector>
  </TitlesOfParts>
  <Manager/>
  <Company>Onlineshoes.com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Corporate Finance Institute® (CFI)</dc:creator>
  <cp:keywords/>
  <dc:description/>
  <cp:lastModifiedBy>Lê Thái Thảo Nghi</cp:lastModifiedBy>
  <cp:revision/>
  <cp:lastPrinted>2024-11-04T14:18:19Z</cp:lastPrinted>
  <dcterms:created xsi:type="dcterms:W3CDTF">2016-03-28T18:22:40Z</dcterms:created>
  <dcterms:modified xsi:type="dcterms:W3CDTF">2024-11-20T21:49:44Z</dcterms:modified>
  <cp:category/>
  <cp:contentStatus/>
</cp:coreProperties>
</file>