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4.xml" ContentType="application/vnd.openxmlformats-officedocument.drawing+xml"/>
  <Override PartName="/xl/webextensions/webextension1.xml" ContentType="application/vnd.ms-office.webextension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13.xml" ContentType="application/vnd.openxmlformats-officedocument.drawing+xml"/>
  <Override PartName="/xl/ctrlProps/ctrlProp16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Chilliwack Real Estate\"/>
    </mc:Choice>
  </mc:AlternateContent>
  <xr:revisionPtr revIDLastSave="0" documentId="13_ncr:1_{5C383F38-5EF2-4F08-B92C-04A9C82B601B}" xr6:coauthVersionLast="47" xr6:coauthVersionMax="47" xr10:uidLastSave="{00000000-0000-0000-0000-000000000000}"/>
  <bookViews>
    <workbookView xWindow="-108" yWindow="-108" windowWidth="23256" windowHeight="12456" activeTab="1" xr2:uid="{D473BC54-900F-4A3E-8C3D-C23A812F35C1}"/>
  </bookViews>
  <sheets>
    <sheet name="Table of contents" sheetId="22" r:id="rId1"/>
    <sheet name="Outputs" sheetId="21" r:id="rId2"/>
    <sheet name="Calculating offering price" sheetId="2" r:id="rId3"/>
    <sheet name="ROI Number insert" sheetId="3" r:id="rId4"/>
    <sheet name="ROI details" sheetId="8" r:id="rId5"/>
    <sheet name="Total Result" sheetId="7" r:id="rId6"/>
    <sheet name="Total CF" sheetId="20" r:id="rId7"/>
    <sheet name="Graph" sheetId="16" r:id="rId8"/>
    <sheet name="Financial Statement" sheetId="9" r:id="rId9"/>
    <sheet name="Principal Recapture" sheetId="6" r:id="rId10"/>
    <sheet name="PR Result" sheetId="18" r:id="rId11"/>
    <sheet name="Calculating offering price ARV" sheetId="13" r:id="rId12"/>
    <sheet name="ROI Number insert ARV" sheetId="14" r:id="rId13"/>
    <sheet name="Financial Statement ARV" sheetId="11" r:id="rId14"/>
    <sheet name="ROI Detail ARV" sheetId="12" r:id="rId15"/>
    <sheet name="Principle Recapture ARV" sheetId="15" r:id="rId16"/>
    <sheet name="PR ARV result" sheetId="19" r:id="rId17"/>
    <sheet name="Mortgage Caculator" sheetId="4" r:id="rId18"/>
    <sheet name="Debt payment Calculator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21" l="1"/>
  <c r="C26" i="21" s="1"/>
  <c r="L29" i="8"/>
  <c r="J29" i="8"/>
  <c r="C91" i="2"/>
  <c r="C59" i="13"/>
  <c r="C28" i="2"/>
  <c r="C32" i="2"/>
  <c r="B20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H29" i="8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B2" i="21" s="1"/>
  <c r="C18" i="11" l="1"/>
  <c r="D31" i="7" s="1"/>
  <c r="H20" i="14"/>
  <c r="H21" i="14" s="1"/>
  <c r="F3" i="4"/>
  <c r="F9" i="4" s="1"/>
  <c r="F10" i="4" s="1"/>
  <c r="F11" i="4" s="1"/>
  <c r="C41" i="7"/>
  <c r="C91" i="13"/>
  <c r="C102" i="13" s="1"/>
  <c r="C113" i="13" s="1"/>
  <c r="C114" i="13" s="1"/>
  <c r="C115" i="13" s="1"/>
  <c r="C106" i="13"/>
  <c r="H20" i="12" s="1"/>
  <c r="C70" i="13"/>
  <c r="C105" i="2"/>
  <c r="C40" i="13"/>
  <c r="D40" i="13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6" i="13"/>
  <c r="C71" i="13"/>
  <c r="C82" i="13" s="1"/>
  <c r="C58" i="13"/>
  <c r="C23" i="13" s="1"/>
  <c r="C35" i="13"/>
  <c r="E36" i="14"/>
  <c r="E37" i="14" s="1"/>
  <c r="C14" i="11" s="1"/>
  <c r="H15" i="14"/>
  <c r="C112" i="13"/>
  <c r="C101" i="13"/>
  <c r="B23" i="2"/>
  <c r="B22" i="2"/>
  <c r="C103" i="13" l="1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B6" i="21" s="1"/>
  <c r="D20" i="21" s="1"/>
  <c r="E20" i="21" s="1"/>
  <c r="C9" i="15" l="1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B3" i="21" s="1"/>
  <c r="E46" i="14" l="1"/>
  <c r="C20" i="11"/>
  <c r="G11" i="15"/>
  <c r="C1" i="7"/>
  <c r="C11" i="7" s="1"/>
  <c r="B4" i="21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5" i="7"/>
  <c r="C23" i="7"/>
  <c r="I20" i="3"/>
  <c r="I18" i="3"/>
  <c r="I14" i="3"/>
  <c r="C30" i="2"/>
  <c r="I16" i="3" s="1"/>
  <c r="C17" i="9" s="1"/>
  <c r="B5" i="21" l="1"/>
  <c r="D13" i="15"/>
  <c r="C13" i="15"/>
  <c r="C19" i="7"/>
  <c r="B8" i="21" s="1"/>
  <c r="H27" i="8"/>
  <c r="E13" i="15" l="1"/>
  <c r="G14" i="15" s="1"/>
  <c r="C6" i="5"/>
  <c r="C8" i="4"/>
  <c r="F32" i="3"/>
  <c r="F38" i="3"/>
  <c r="C9" i="9" s="1"/>
  <c r="I15" i="3"/>
  <c r="C102" i="2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C57" i="2"/>
  <c r="E14" i="15" l="1"/>
  <c r="G15" i="15" s="1"/>
  <c r="D15" i="15" s="1"/>
  <c r="H28" i="8"/>
  <c r="H19" i="8"/>
  <c r="C58" i="2"/>
  <c r="C59" i="2" s="1"/>
  <c r="C5" i="2" s="1"/>
  <c r="F23" i="3"/>
  <c r="C103" i="2"/>
  <c r="C104" i="2" s="1"/>
  <c r="C83" i="2"/>
  <c r="H17" i="12" l="1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C30" i="7"/>
  <c r="E30" i="7" s="1"/>
  <c r="F41" i="3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3" i="20"/>
  <c r="J33" i="20" s="1"/>
  <c r="H34" i="20"/>
  <c r="J34" i="20" s="1"/>
  <c r="H37" i="20"/>
  <c r="J37" i="20" s="1"/>
  <c r="H36" i="20"/>
  <c r="J36" i="20" s="1"/>
  <c r="H35" i="20"/>
  <c r="J35" i="20" s="1"/>
  <c r="H29" i="20"/>
  <c r="J29" i="20" s="1"/>
  <c r="H25" i="20"/>
  <c r="J25" i="20" s="1"/>
  <c r="H21" i="20"/>
  <c r="J21" i="20" s="1"/>
  <c r="H10" i="20"/>
  <c r="J10" i="20" s="1"/>
  <c r="H32" i="20"/>
  <c r="J32" i="20" s="1"/>
  <c r="H28" i="20"/>
  <c r="J28" i="20" s="1"/>
  <c r="H24" i="20"/>
  <c r="J24" i="20" s="1"/>
  <c r="H20" i="20"/>
  <c r="J20" i="20" s="1"/>
  <c r="H17" i="20"/>
  <c r="J17" i="20" s="1"/>
  <c r="H15" i="20"/>
  <c r="J15" i="20" s="1"/>
  <c r="H12" i="20"/>
  <c r="J12" i="20" s="1"/>
  <c r="H9" i="20"/>
  <c r="J9" i="20" s="1"/>
  <c r="H7" i="20"/>
  <c r="J7" i="20" s="1"/>
  <c r="H4" i="20"/>
  <c r="J4" i="20" s="1"/>
  <c r="H31" i="20"/>
  <c r="J31" i="20" s="1"/>
  <c r="H27" i="20"/>
  <c r="J27" i="20" s="1"/>
  <c r="H23" i="20"/>
  <c r="J23" i="20" s="1"/>
  <c r="H19" i="20"/>
  <c r="J19" i="20" s="1"/>
  <c r="H14" i="20"/>
  <c r="J14" i="20" s="1"/>
  <c r="H6" i="20"/>
  <c r="J6" i="20" s="1"/>
  <c r="H30" i="20"/>
  <c r="J30" i="20" s="1"/>
  <c r="H26" i="20"/>
  <c r="J26" i="20" s="1"/>
  <c r="H22" i="20"/>
  <c r="J22" i="20" s="1"/>
  <c r="H18" i="20"/>
  <c r="J18" i="20" s="1"/>
  <c r="H16" i="20"/>
  <c r="J16" i="20" s="1"/>
  <c r="H13" i="20"/>
  <c r="J13" i="20" s="1"/>
  <c r="H11" i="20"/>
  <c r="J11" i="20" s="1"/>
  <c r="H8" i="20"/>
  <c r="J8" i="20" s="1"/>
  <c r="H5" i="20"/>
  <c r="J5" i="20" s="1"/>
  <c r="D18" i="7"/>
  <c r="C16" i="11"/>
  <c r="C7" i="11" s="1"/>
  <c r="C19" i="11" s="1"/>
  <c r="C34" i="12"/>
  <c r="C43" i="12"/>
  <c r="C37" i="12"/>
  <c r="C6" i="12"/>
  <c r="C40" i="12"/>
  <c r="C8" i="12"/>
  <c r="E44" i="14"/>
  <c r="E45" i="14" s="1"/>
  <c r="C33" i="12"/>
  <c r="C9" i="12"/>
  <c r="C7" i="12"/>
  <c r="C46" i="12"/>
  <c r="C22" i="12"/>
  <c r="C23" i="12"/>
  <c r="C25" i="12"/>
  <c r="C39" i="12"/>
  <c r="C36" i="12"/>
  <c r="C17" i="12"/>
  <c r="C20" i="12"/>
  <c r="C42" i="12"/>
  <c r="C18" i="12"/>
  <c r="C45" i="12"/>
  <c r="C21" i="12"/>
  <c r="C19" i="12"/>
  <c r="C24" i="12"/>
  <c r="C35" i="12"/>
  <c r="C38" i="12"/>
  <c r="C41" i="12"/>
  <c r="C44" i="12"/>
  <c r="C17" i="15"/>
  <c r="D17" i="15"/>
  <c r="C15" i="9"/>
  <c r="D32" i="7" s="1"/>
  <c r="D35" i="7" s="1"/>
  <c r="D38" i="7" s="1"/>
  <c r="D39" i="7" s="1"/>
  <c r="C34" i="7"/>
  <c r="E34" i="7" s="1"/>
  <c r="C8" i="9"/>
  <c r="F44" i="3"/>
  <c r="F45" i="3" s="1"/>
  <c r="H34" i="8" s="1"/>
  <c r="C33" i="7"/>
  <c r="E33" i="7" s="1"/>
  <c r="D9" i="6"/>
  <c r="H37" i="8" l="1"/>
  <c r="C8" i="7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I13" i="3" s="1"/>
  <c r="C27" i="2"/>
  <c r="C3" i="6"/>
  <c r="C4" i="18" s="1"/>
  <c r="C17" i="21" s="1"/>
  <c r="J3" i="20" l="1"/>
  <c r="H38" i="20"/>
  <c r="H41" i="20"/>
  <c r="E18" i="15"/>
  <c r="G19" i="15" s="1"/>
  <c r="C19" i="15" s="1"/>
  <c r="D12" i="7"/>
  <c r="C22" i="11"/>
  <c r="F29" i="3"/>
  <c r="F30" i="3" s="1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45" i="8"/>
  <c r="E45" i="8" s="1"/>
  <c r="C35" i="8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8"/>
  <c r="E21" i="8" s="1"/>
  <c r="C43" i="8"/>
  <c r="E43" i="8" s="1"/>
  <c r="C19" i="8"/>
  <c r="E19" i="8" s="1"/>
  <c r="C41" i="8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E57" i="7" s="1"/>
  <c r="C22" i="9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H26" i="8"/>
  <c r="E12" i="7" l="1"/>
  <c r="B10" i="21"/>
  <c r="H30" i="8"/>
  <c r="B9" i="21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E41" i="8"/>
  <c r="E5" i="20"/>
  <c r="E28" i="20"/>
  <c r="E23" i="20"/>
  <c r="E4" i="20"/>
  <c r="E36" i="20"/>
  <c r="E34" i="20"/>
  <c r="E7" i="20"/>
  <c r="E30" i="20"/>
  <c r="E42" i="8"/>
  <c r="F48" i="3"/>
  <c r="C10" i="6"/>
  <c r="E10" i="6" s="1"/>
  <c r="E36" i="8"/>
  <c r="C23" i="9"/>
  <c r="C33" i="9" s="1"/>
  <c r="C40" i="9" s="1"/>
  <c r="C41" i="9" s="1"/>
  <c r="C49" i="7" s="1"/>
  <c r="C24" i="21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6" i="7"/>
  <c r="B7" i="21" s="1"/>
  <c r="F20" i="21" s="1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C10" i="8"/>
  <c r="C54" i="7" s="1"/>
  <c r="G54" i="7" s="1"/>
  <c r="C16" i="8"/>
  <c r="E5" i="8"/>
  <c r="H32" i="8" l="1"/>
  <c r="C50" i="7" s="1"/>
  <c r="C38" i="20"/>
  <c r="C14" i="21" a="1"/>
  <c r="C14" i="21" s="1"/>
  <c r="B11" i="21"/>
  <c r="C24" i="9"/>
  <c r="C47" i="7" s="1"/>
  <c r="C22" i="21" s="1"/>
  <c r="C41" i="20"/>
  <c r="D5" i="8"/>
  <c r="C39" i="20"/>
  <c r="D3" i="20" s="1"/>
  <c r="D14" i="21" s="1" a="1"/>
  <c r="D14" i="21" s="1"/>
  <c r="G11" i="6"/>
  <c r="E3" i="20"/>
  <c r="E14" i="21" s="1" a="1"/>
  <c r="E14" i="21" s="1"/>
  <c r="E20" i="15"/>
  <c r="E56" i="7"/>
  <c r="E63" i="7"/>
  <c r="E69" i="7"/>
  <c r="H32" i="12"/>
  <c r="E32" i="12"/>
  <c r="C47" i="12"/>
  <c r="E67" i="7" s="1"/>
  <c r="C69" i="7"/>
  <c r="C63" i="7"/>
  <c r="J20" i="8"/>
  <c r="D63" i="7" s="1"/>
  <c r="C56" i="7"/>
  <c r="C12" i="8"/>
  <c r="D54" i="7" s="1"/>
  <c r="D8" i="8"/>
  <c r="C48" i="8"/>
  <c r="C27" i="8"/>
  <c r="D9" i="8"/>
  <c r="C13" i="8" s="1"/>
  <c r="D7" i="8"/>
  <c r="D6" i="8"/>
  <c r="E16" i="8"/>
  <c r="C32" i="8"/>
  <c r="C26" i="8"/>
  <c r="I7" i="8"/>
  <c r="I11" i="8"/>
  <c r="C11" i="6" l="1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C61" i="7"/>
  <c r="G61" i="7" s="1"/>
  <c r="C28" i="8"/>
  <c r="D61" i="7" s="1"/>
  <c r="D32" i="8"/>
  <c r="E32" i="8"/>
  <c r="C47" i="8"/>
  <c r="D21" i="15" l="1"/>
  <c r="E21" i="15" s="1"/>
  <c r="E11" i="6"/>
  <c r="C29" i="8"/>
  <c r="C50" i="8"/>
  <c r="C67" i="7"/>
  <c r="G67" i="7" s="1"/>
  <c r="C49" i="8"/>
  <c r="D67" i="7" s="1"/>
  <c r="G12" i="6" l="1"/>
  <c r="G22" i="15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17" i="21" s="1" a="1"/>
  <c r="E17" i="21" s="1"/>
  <c r="D27" i="15"/>
  <c r="C27" i="15"/>
  <c r="C20" i="6" l="1"/>
  <c r="E20" i="6" s="1"/>
  <c r="C5" i="18" s="1"/>
  <c r="E27" i="15"/>
  <c r="G28" i="15" s="1"/>
  <c r="D28" i="15" s="1"/>
  <c r="F5" i="18" l="1"/>
  <c r="F17" i="21" s="1" a="1"/>
  <c r="F17" i="21" s="1"/>
  <c r="D17" i="21" a="1"/>
  <c r="D17" i="21" s="1"/>
  <c r="C28" i="15"/>
  <c r="E28" i="15" s="1"/>
  <c r="G29" i="15" s="1"/>
  <c r="D29" i="15" s="1"/>
  <c r="G5" i="18"/>
  <c r="G17" i="21" s="1" a="1"/>
  <c r="G17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23" i="21"/>
  <c r="D31" i="15"/>
  <c r="E31" i="15" s="1"/>
  <c r="G32" i="15" s="1"/>
  <c r="C22" i="6"/>
  <c r="E22" i="6" s="1"/>
  <c r="D32" i="15" l="1"/>
  <c r="E5" i="19" s="1"/>
  <c r="C32" i="15"/>
  <c r="E32" i="15" s="1"/>
  <c r="G33" i="15" s="1"/>
  <c r="G23" i="6"/>
  <c r="C5" i="19" l="1"/>
  <c r="F5" i="19" s="1"/>
  <c r="C33" i="15"/>
  <c r="D33" i="15"/>
  <c r="D23" i="6"/>
  <c r="C23" i="6"/>
  <c r="E23" i="6" l="1"/>
  <c r="G24" i="6" s="1"/>
  <c r="E33" i="15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s="1"/>
  <c r="D66" i="15" l="1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9" i="15"/>
  <c r="D60" i="6"/>
  <c r="C60" i="6"/>
  <c r="E69" i="15" l="1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E72" i="15" s="1"/>
  <c r="G62" i="6"/>
  <c r="D62" i="6" l="1"/>
  <c r="C62" i="6"/>
  <c r="G73" i="15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F9" i="18"/>
  <c r="C69" i="6"/>
  <c r="D69" i="6"/>
  <c r="D79" i="15" l="1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D90" i="15" s="1"/>
  <c r="C78" i="6"/>
  <c r="E78" i="6" s="1"/>
  <c r="G79" i="6" s="1"/>
  <c r="D79" i="6" s="1"/>
  <c r="C90" i="15"/>
  <c r="E90" i="15" l="1"/>
  <c r="G91" i="15" s="1"/>
  <c r="C79" i="6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/>
  <c r="D104" i="15"/>
  <c r="C92" i="6"/>
  <c r="D92" i="6"/>
  <c r="E11" i="18" s="1"/>
  <c r="E92" i="6" l="1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s="1"/>
  <c r="E94" i="6" l="1"/>
  <c r="G95" i="6" s="1"/>
  <c r="G107" i="15"/>
  <c r="D95" i="6" l="1"/>
  <c r="C95" i="6"/>
  <c r="D107" i="15"/>
  <c r="C107" i="15"/>
  <c r="E107" i="15" s="1"/>
  <c r="E95" i="6" l="1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s="1"/>
  <c r="C116" i="6" l="1"/>
  <c r="E116" i="6" s="1"/>
  <c r="G117" i="6" s="1"/>
  <c r="D117" i="6" s="1"/>
  <c r="G130" i="15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E118" i="6"/>
  <c r="G119" i="6" s="1"/>
  <c r="G132" i="15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I9" i="8"/>
  <c r="D130" i="6"/>
  <c r="C130" i="6"/>
  <c r="E144" i="15"/>
  <c r="G145" i="15" s="1"/>
  <c r="D62" i="7" l="1"/>
  <c r="D64" i="7" s="1"/>
  <c r="I10" i="8"/>
  <c r="E130" i="6"/>
  <c r="G131" i="6" s="1"/>
  <c r="C131" i="6" s="1"/>
  <c r="G62" i="7"/>
  <c r="G64" i="7" s="1"/>
  <c r="C64" i="7"/>
  <c r="D65" i="7" s="1"/>
  <c r="D131" i="6"/>
  <c r="D145" i="15"/>
  <c r="C145" i="15"/>
  <c r="E145" i="15" s="1"/>
  <c r="G146" i="15" l="1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E198" i="15" s="1"/>
  <c r="G199" i="15" s="1"/>
  <c r="D199" i="15" s="1"/>
  <c r="C180" i="6"/>
  <c r="D180" i="6"/>
  <c r="C199" i="15" l="1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C207" i="15"/>
  <c r="D207" i="15"/>
  <c r="C68" i="7" l="1"/>
  <c r="I13" i="8"/>
  <c r="C190" i="6"/>
  <c r="D190" i="6"/>
  <c r="E207" i="15"/>
  <c r="G208" i="15" s="1"/>
  <c r="D208" i="15" s="1"/>
  <c r="C208" i="15" l="1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s="1"/>
  <c r="G211" i="15" s="1"/>
  <c r="C192" i="6" l="1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E216" i="15" s="1"/>
  <c r="D200" i="6"/>
  <c r="E20" i="18" s="1"/>
  <c r="C200" i="6"/>
  <c r="E200" i="6" s="1"/>
  <c r="G201" i="6" l="1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s="1"/>
  <c r="G207" i="6" s="1"/>
  <c r="G226" i="15" l="1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s="1"/>
  <c r="C236" i="6" l="1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s="1"/>
  <c r="G266" i="15" l="1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s="1"/>
  <c r="E269" i="15" l="1"/>
  <c r="G270" i="15" s="1"/>
  <c r="D270" i="15" s="1"/>
  <c r="G251" i="6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s="1"/>
  <c r="E273" i="15" l="1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s="1"/>
  <c r="E264" i="6" l="1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s="1"/>
  <c r="G293" i="15" s="1"/>
  <c r="C272" i="6" l="1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D306" i="15"/>
  <c r="G285" i="6"/>
  <c r="C27" i="18"/>
  <c r="G27" i="18" s="1"/>
  <c r="E306" i="15" l="1"/>
  <c r="G307" i="15" s="1"/>
  <c r="D307" i="15"/>
  <c r="C307" i="15"/>
  <c r="E307" i="15" s="1"/>
  <c r="G308" i="15" s="1"/>
  <c r="D308" i="15" s="1"/>
  <c r="C285" i="6"/>
  <c r="D285" i="6"/>
  <c r="F27" i="18"/>
  <c r="C308" i="15" l="1"/>
  <c r="E308" i="15" s="1"/>
  <c r="E28" i="19"/>
  <c r="E285" i="6"/>
  <c r="G286" i="6" l="1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/>
  <c r="G318" i="15" s="1"/>
  <c r="E295" i="6"/>
  <c r="D318" i="15"/>
  <c r="C318" i="15"/>
  <c r="E318" i="15" s="1"/>
  <c r="G319" i="15" s="1"/>
  <c r="G296" i="6" l="1"/>
  <c r="C319" i="15"/>
  <c r="D319" i="15"/>
  <c r="C296" i="6" l="1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/>
  <c r="E29" i="18" s="1"/>
  <c r="C327" i="15" l="1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0" i="19"/>
  <c r="G30" i="19" s="1"/>
  <c r="C333" i="15"/>
  <c r="D333" i="15"/>
  <c r="D311" i="6"/>
  <c r="C311" i="6"/>
  <c r="E311" i="6" s="1"/>
  <c r="F30" i="19" l="1"/>
  <c r="E333" i="15"/>
  <c r="G334" i="15" s="1"/>
  <c r="D334" i="15" s="1"/>
  <c r="G312" i="6"/>
  <c r="C334" i="15" l="1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68" i="15"/>
  <c r="E33" i="19" s="1"/>
  <c r="D347" i="6"/>
  <c r="C347" i="6"/>
  <c r="E368" i="15" l="1"/>
  <c r="E347" i="6"/>
  <c r="G348" i="6" s="1"/>
  <c r="G369" i="15" l="1"/>
  <c r="C33" i="19"/>
  <c r="C348" i="6"/>
  <c r="D348" i="6"/>
  <c r="F33" i="19" l="1"/>
  <c r="G33" i="19"/>
  <c r="D369" i="15"/>
  <c r="C369" i="15"/>
  <c r="E348" i="6"/>
  <c r="G349" i="6" s="1"/>
  <c r="E369" i="15" l="1"/>
  <c r="G370" i="15" s="1"/>
  <c r="D370" i="15" s="1"/>
  <c r="C370" i="15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s="1"/>
  <c r="G351" i="6" s="1"/>
  <c r="D351" i="6" l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s="1"/>
  <c r="G362" i="6" l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/>
  <c r="G34" i="18" l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<sst xmlns="http://schemas.openxmlformats.org/spreadsheetml/2006/main" count="1099" uniqueCount="455">
  <si>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</si>
  <si>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</si>
  <si>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</si>
  <si>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</si>
  <si>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</si>
  <si>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</si>
  <si>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</si>
  <si>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</si>
  <si>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</si>
  <si>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</si>
  <si>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</si>
  <si>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</si>
  <si>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</si>
  <si>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</si>
  <si>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</si>
  <si>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</si>
  <si>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</si>
  <si>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</si>
  <si>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</si>
  <si>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</si>
  <si>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</si>
  <si>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</si>
  <si>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</si>
  <si>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</si>
  <si>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</si>
  <si>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</si>
  <si>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</si>
  <si>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</si>
  <si>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</si>
  <si>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</si>
  <si>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</si>
  <si>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</si>
  <si>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</si>
  <si>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</si>
  <si>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</si>
  <si>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</si>
  <si>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</si>
  <si>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</si>
  <si>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</si>
  <si>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</si>
  <si>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</si>
  <si>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</si>
  <si>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</si>
  <si>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</si>
  <si>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</si>
  <si>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</si>
  <si>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</si>
  <si>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</si>
  <si>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</si>
  <si>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</si>
  <si>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</si>
  <si>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</si>
  <si>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</si>
  <si>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</si>
  <si>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</si>
  <si>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</si>
  <si>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</si>
  <si>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</si>
  <si>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</si>
  <si>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</si>
  <si>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</si>
  <si>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</si>
  <si>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</si>
  <si>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</si>
  <si>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</si>
  <si>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</si>
  <si>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</si>
  <si>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</si>
  <si>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</si>
  <si>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</si>
  <si>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</si>
  <si>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</si>
  <si>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</si>
  <si>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</si>
  <si>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</si>
  <si>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</si>
  <si>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</si>
  <si>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</si>
  <si>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</si>
  <si>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</si>
  <si>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</si>
  <si>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</si>
  <si>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</si>
  <si>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</si>
  <si>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</si>
  <si>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</si>
  <si>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</si>
  <si>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</si>
  <si>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</si>
  <si>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</si>
  <si>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</si>
  <si>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</si>
  <si>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</si>
  <si>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</si>
  <si>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</si>
  <si>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</si>
  <si>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</si>
  <si>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</si>
  <si>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</si>
  <si>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</si>
  <si>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</si>
  <si>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</si>
  <si>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</si>
  <si>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</si>
  <si>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</si>
  <si>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</si>
  <si>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</si>
  <si>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</si>
  <si>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</si>
  <si>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</si>
  <si>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</si>
  <si>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</si>
  <si>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</si>
  <si>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</si>
  <si>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</si>
  <si>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</si>
  <si>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</si>
  <si>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</si>
  <si>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</si>
  <si>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</si>
  <si>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</si>
  <si>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</si>
  <si>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</si>
  <si>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</si>
  <si>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</si>
  <si>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</si>
  <si>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</si>
  <si>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</si>
  <si>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</si>
  <si>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</si>
  <si>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</si>
  <si>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</si>
  <si>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</si>
  <si>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</si>
  <si>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</si>
  <si>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</si>
  <si>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</si>
  <si>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</si>
  <si>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</si>
  <si>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</si>
  <si>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</si>
  <si>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</si>
  <si>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</si>
  <si>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</si>
  <si>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</si>
  <si>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</si>
  <si>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</si>
  <si>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</si>
  <si>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</si>
  <si>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</si>
  <si>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</si>
  <si>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</si>
  <si>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</si>
  <si>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</si>
  <si>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</si>
  <si>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</si>
  <si>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</si>
  <si>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</si>
  <si>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</si>
  <si>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</si>
  <si>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</si>
  <si>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</si>
  <si>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</si>
  <si>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</si>
  <si>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</si>
  <si>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</si>
  <si>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</si>
  <si>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</si>
  <si>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</si>
  <si>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</si>
  <si>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</si>
  <si>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</si>
  <si>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</si>
  <si>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</si>
  <si>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</si>
  <si>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</si>
  <si>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</si>
  <si>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</si>
  <si>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</si>
  <si>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</si>
  <si>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</si>
  <si>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</si>
  <si>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</si>
  <si>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</si>
  <si>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</si>
  <si>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</si>
  <si>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</si>
  <si>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</si>
  <si>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</si>
  <si>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</si>
  <si>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</si>
  <si>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</si>
  <si>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</si>
  <si>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</si>
  <si>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</si>
  <si>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</si>
  <si>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</si>
  <si>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</si>
  <si>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</si>
  <si>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</si>
  <si>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</si>
  <si>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</si>
  <si>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</si>
  <si>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</si>
  <si>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</si>
  <si>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</si>
  <si>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</si>
  <si>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</si>
  <si>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</si>
  <si>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</si>
  <si>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</si>
  <si>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</si>
  <si>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</si>
  <si>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</si>
  <si>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</si>
  <si>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</si>
  <si>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</si>
  <si>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</si>
  <si>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</si>
  <si>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</si>
  <si>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</si>
  <si>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</si>
  <si>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</si>
  <si>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</si>
  <si>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</si>
  <si>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</si>
  <si>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</si>
  <si>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</si>
  <si>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</si>
  <si>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</si>
  <si>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</si>
  <si>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</si>
  <si>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</si>
  <si>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</si>
  <si>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</si>
  <si>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</si>
  <si>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</si>
  <si>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</si>
  <si>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</si>
  <si>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</si>
  <si>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</si>
  <si>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</si>
  <si>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</si>
  <si>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</si>
  <si>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</si>
  <si>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</si>
  <si>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</si>
  <si>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</si>
  <si>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</si>
  <si>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</si>
  <si>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</si>
  <si>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</si>
  <si>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</si>
  <si>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</si>
  <si>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</si>
  <si>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</si>
  <si>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</si>
  <si>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</si>
  <si>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</si>
  <si>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</si>
  <si>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</si>
  <si>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</si>
  <si>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</si>
  <si>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</si>
  <si>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</si>
  <si>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</si>
  <si>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</si>
  <si>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</si>
  <si>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</si>
  <si>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</si>
  <si>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</si>
  <si>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</si>
  <si>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</si>
  <si>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</si>
  <si>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</si>
  <si>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</si>
  <si>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</si>
  <si>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</si>
  <si>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</si>
  <si>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</si>
  <si>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</si>
  <si>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</si>
  <si>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</si>
  <si>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</si>
  <si>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</si>
  <si>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</si>
  <si>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</si>
  <si>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</si>
  <si>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</si>
  <si>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</si>
  <si>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</si>
  <si>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</si>
  <si>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</si>
  <si>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</si>
  <si>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</si>
  <si>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</si>
  <si>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</si>
  <si>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</si>
  <si>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</si>
  <si>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</si>
  <si>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</si>
  <si>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</si>
  <si>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</si>
  <si>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</si>
  <si>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</si>
  <si>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</si>
  <si>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</si>
  <si>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</si>
  <si>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</si>
  <si>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</si>
  <si>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</si>
  <si>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</si>
  <si>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</si>
  <si>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</si>
  <si>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</si>
  <si>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</si>
  <si>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</si>
  <si>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</si>
  <si>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</si>
  <si>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</si>
  <si>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</si>
  <si>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ARV or(intrinsic value)X80%-renocost-carrying cost-closing cost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</si>
  <si>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</si>
  <si>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</si>
  <si>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</si>
  <si>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</si>
  <si>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</si>
  <si>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</si>
  <si>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</si>
  <si>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</si>
  <si>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</si>
  <si>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</si>
  <si>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</si>
  <si>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</si>
  <si>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</si>
  <si>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</si>
  <si>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</si>
  <si>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</si>
  <si>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</si>
  <si>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</si>
  <si>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</si>
  <si>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</si>
  <si>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</si>
  <si>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</si>
  <si>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</si>
  <si>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</si>
  <si>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</si>
  <si>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</si>
  <si>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</si>
  <si>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</si>
  <si>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</si>
  <si>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</si>
  <si>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</si>
  <si>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</si>
  <si>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</si>
  <si>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</si>
  <si>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</si>
  <si>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</si>
  <si>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</si>
  <si>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</si>
  <si>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</si>
  <si>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</si>
  <si>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</si>
  <si>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</si>
  <si>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</si>
  <si>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</si>
  <si>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</si>
  <si>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</si>
  <si>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</si>
  <si>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</si>
  <si>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</si>
  <si>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</si>
  <si>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</si>
  <si>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</si>
  <si>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</si>
  <si>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</si>
  <si>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</si>
  <si>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</si>
  <si>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</si>
  <si>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</si>
  <si>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</si>
  <si>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</si>
  <si>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</si>
  <si>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</si>
  <si>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</si>
  <si>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</si>
  <si>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</si>
  <si>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</si>
  <si>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</si>
  <si>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</si>
  <si>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</si>
  <si>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</si>
  <si>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</si>
  <si>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</si>
  <si>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Graphs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</si>
  <si>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</si>
  <si>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</si>
  <si>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</si>
  <si>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</si>
  <si>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</si>
  <si>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</si>
  <si>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</si>
  <si>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</si>
  <si>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</si>
  <si>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</si>
  <si>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</si>
  <si>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</si>
  <si>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</si>
  <si>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</si>
  <si>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</si>
  <si>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</si>
  <si>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</si>
  <si>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</si>
  <si>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</si>
  <si>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</si>
  <si>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</si>
  <si>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</si>
  <si>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</si>
  <si>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</si>
  <si>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</si>
  <si>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</si>
  <si>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</si>
  <si>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</si>
  <si>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</si>
  <si>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</si>
  <si>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</si>
  <si>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</si>
  <si>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</si>
  <si>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</si>
  <si>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</si>
  <si>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</si>
  <si>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</si>
  <si>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</si>
  <si>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</si>
  <si>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</si>
  <si>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</si>
  <si>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</si>
  <si>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Property tax rate web</t>
  </si>
  <si>
    <t>Property tax rate PDF</t>
  </si>
  <si>
    <t>0.85% instead of 0.6%</t>
  </si>
  <si>
    <t>C8048059</t>
  </si>
  <si>
    <t>45540 Yale Road</t>
  </si>
  <si>
    <t>First Year Result</t>
  </si>
  <si>
    <t>First Year Financial Statement</t>
  </si>
  <si>
    <t>Output</t>
  </si>
  <si>
    <t xml:space="preserve"> - (Gross Operating Expenses + Mortgage Payment + 2nd Mortgage Payment) / Grosss Operating Income</t>
  </si>
  <si>
    <t xml:space="preserve"> - Total Investment Capital / 1st Year Cash Flow</t>
  </si>
  <si>
    <t xml:space="preserve"> - Net Operating Income / Purchase Price</t>
  </si>
  <si>
    <t>Desired Purchase Price</t>
  </si>
  <si>
    <t>* All the results are based on Desired Purchase Price</t>
  </si>
  <si>
    <t>Monthly income/0.85%</t>
  </si>
  <si>
    <t>Property Hold</t>
  </si>
  <si>
    <t>Years and anticipated Appreciation rate of</t>
  </si>
  <si>
    <t xml:space="preserve"> - Active Appreciation Set Up</t>
  </si>
  <si>
    <t>Holding Property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</si>
</sst>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1" formatCode="0.0"/>
  </numFmts>
  <fonts count="134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b/>
      <sz val="11"/>
      <color rgb="FFC00000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name val="Baskerville Old Face"/>
      <family val="1"/>
      <scheme val="minor"/>
    </font>
    <font>
      <b/>
      <u/>
      <sz val="14"/>
      <color theme="1"/>
      <name val="Baskerville Old Face"/>
      <family val="1"/>
      <scheme val="minor"/>
    </font>
    <font>
      <b/>
      <u/>
      <sz val="14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5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7" fillId="0" borderId="106" applyNumberFormat="0" applyFill="0" applyAlignment="0" applyProtection="0"/>
    <xf numFmtId="0" fontId="108" fillId="0" borderId="107" applyNumberFormat="0" applyFill="0" applyAlignment="0" applyProtection="0"/>
    <xf numFmtId="0" fontId="109" fillId="0" borderId="108" applyNumberFormat="0" applyFill="0" applyAlignment="0" applyProtection="0"/>
    <xf numFmtId="0" fontId="110" fillId="43" borderId="109" applyNumberFormat="0" applyAlignment="0" applyProtection="0"/>
  </cellStyleXfs>
  <cellXfs count="909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44" fontId="9" fillId="2" borderId="100" xfId="1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0" fontId="62" fillId="8" borderId="32" xfId="0" applyFont="1" applyFill="1" applyBorder="1"/>
    <xf numFmtId="10" fontId="74" fillId="8" borderId="20" xfId="2" applyNumberFormat="1" applyFont="1" applyFill="1" applyBorder="1"/>
    <xf numFmtId="44" fontId="58" fillId="8" borderId="33" xfId="0" applyNumberFormat="1" applyFont="1" applyFill="1" applyBorder="1"/>
    <xf numFmtId="0" fontId="76" fillId="2" borderId="0" xfId="3" applyFont="1" applyFill="1"/>
    <xf numFmtId="0" fontId="46" fillId="2" borderId="0" xfId="3" applyFont="1" applyFill="1"/>
    <xf numFmtId="0" fontId="77" fillId="2" borderId="0" xfId="0" applyFont="1" applyFill="1"/>
    <xf numFmtId="0" fontId="77" fillId="2" borderId="0" xfId="0" applyFont="1" applyFill="1" applyAlignment="1">
      <alignment horizontal="center"/>
    </xf>
    <xf numFmtId="169" fontId="77" fillId="2" borderId="0" xfId="0" applyNumberFormat="1" applyFont="1" applyFill="1"/>
    <xf numFmtId="0" fontId="78" fillId="24" borderId="50" xfId="0" applyFont="1" applyFill="1" applyBorder="1" applyAlignment="1">
      <alignment horizontal="center"/>
    </xf>
    <xf numFmtId="0" fontId="79" fillId="24" borderId="51" xfId="0" applyFont="1" applyFill="1" applyBorder="1" applyAlignment="1">
      <alignment horizontal="right"/>
    </xf>
    <xf numFmtId="0" fontId="78" fillId="24" borderId="19" xfId="0" applyFont="1" applyFill="1" applyBorder="1" applyAlignment="1">
      <alignment horizontal="center"/>
    </xf>
    <xf numFmtId="0" fontId="79" fillId="24" borderId="20" xfId="0" applyFont="1" applyFill="1" applyBorder="1" applyAlignment="1">
      <alignment horizontal="right"/>
    </xf>
    <xf numFmtId="0" fontId="78" fillId="24" borderId="32" xfId="0" applyFont="1" applyFill="1" applyBorder="1" applyAlignment="1">
      <alignment horizontal="center"/>
    </xf>
    <xf numFmtId="44" fontId="79" fillId="24" borderId="33" xfId="0" applyNumberFormat="1" applyFont="1" applyFill="1" applyBorder="1" applyAlignment="1">
      <alignment horizontal="right"/>
    </xf>
    <xf numFmtId="169" fontId="81" fillId="2" borderId="0" xfId="0" applyNumberFormat="1" applyFont="1" applyFill="1" applyAlignment="1">
      <alignment horizontal="center" vertical="center"/>
    </xf>
    <xf numFmtId="0" fontId="81" fillId="2" borderId="0" xfId="0" applyFont="1" applyFill="1" applyAlignment="1">
      <alignment horizontal="center" vertical="center"/>
    </xf>
    <xf numFmtId="0" fontId="82" fillId="35" borderId="50" xfId="0" applyFont="1" applyFill="1" applyBorder="1" applyAlignment="1">
      <alignment horizontal="center"/>
    </xf>
    <xf numFmtId="44" fontId="83" fillId="35" borderId="51" xfId="1" applyFont="1" applyFill="1" applyBorder="1"/>
    <xf numFmtId="0" fontId="82" fillId="35" borderId="19" xfId="0" applyFont="1" applyFill="1" applyBorder="1" applyAlignment="1">
      <alignment horizontal="center"/>
    </xf>
    <xf numFmtId="10" fontId="83" fillId="35" borderId="20" xfId="1" applyNumberFormat="1" applyFont="1" applyFill="1" applyBorder="1"/>
    <xf numFmtId="10" fontId="83" fillId="35" borderId="51" xfId="2" applyNumberFormat="1" applyFont="1" applyFill="1" applyBorder="1"/>
    <xf numFmtId="0" fontId="77" fillId="2" borderId="72" xfId="0" applyFont="1" applyFill="1" applyBorder="1"/>
    <xf numFmtId="0" fontId="77" fillId="2" borderId="0" xfId="0" applyFont="1" applyFill="1" applyAlignment="1">
      <alignment horizontal="right"/>
    </xf>
    <xf numFmtId="44" fontId="83" fillId="35" borderId="20" xfId="1" applyFont="1" applyFill="1" applyBorder="1"/>
    <xf numFmtId="10" fontId="83" fillId="35" borderId="20" xfId="2" applyNumberFormat="1" applyFont="1" applyFill="1" applyBorder="1"/>
    <xf numFmtId="0" fontId="83" fillId="35" borderId="20" xfId="1" applyNumberFormat="1" applyFont="1" applyFill="1" applyBorder="1"/>
    <xf numFmtId="0" fontId="82" fillId="35" borderId="52" xfId="0" applyFont="1" applyFill="1" applyBorder="1" applyAlignment="1">
      <alignment horizontal="center"/>
    </xf>
    <xf numFmtId="10" fontId="83" fillId="35" borderId="53" xfId="2" applyNumberFormat="1" applyFont="1" applyFill="1" applyBorder="1"/>
    <xf numFmtId="2" fontId="83" fillId="35" borderId="53" xfId="1" applyNumberFormat="1" applyFont="1" applyFill="1" applyBorder="1"/>
    <xf numFmtId="2" fontId="83" fillId="35" borderId="98" xfId="1" applyNumberFormat="1" applyFont="1" applyFill="1" applyBorder="1"/>
    <xf numFmtId="0" fontId="82" fillId="35" borderId="32" xfId="0" applyFont="1" applyFill="1" applyBorder="1" applyAlignment="1">
      <alignment horizontal="center"/>
    </xf>
    <xf numFmtId="10" fontId="83" fillId="35" borderId="33" xfId="2" applyNumberFormat="1" applyFont="1" applyFill="1" applyBorder="1"/>
    <xf numFmtId="0" fontId="77" fillId="2" borderId="97" xfId="0" applyFont="1" applyFill="1" applyBorder="1"/>
    <xf numFmtId="0" fontId="77" fillId="2" borderId="44" xfId="0" applyFont="1" applyFill="1" applyBorder="1"/>
    <xf numFmtId="0" fontId="85" fillId="36" borderId="36" xfId="0" applyFont="1" applyFill="1" applyBorder="1" applyAlignment="1">
      <alignment horizontal="center"/>
    </xf>
    <xf numFmtId="44" fontId="86" fillId="36" borderId="61" xfId="1" applyFont="1" applyFill="1" applyBorder="1"/>
    <xf numFmtId="44" fontId="86" fillId="36" borderId="37" xfId="1" applyFont="1" applyFill="1" applyBorder="1"/>
    <xf numFmtId="0" fontId="85" fillId="36" borderId="19" xfId="0" applyFont="1" applyFill="1" applyBorder="1" applyAlignment="1">
      <alignment horizontal="center"/>
    </xf>
    <xf numFmtId="44" fontId="86" fillId="36" borderId="59" xfId="1" applyFont="1" applyFill="1" applyBorder="1"/>
    <xf numFmtId="44" fontId="86" fillId="36" borderId="20" xfId="1" applyFont="1" applyFill="1" applyBorder="1"/>
    <xf numFmtId="0" fontId="85" fillId="36" borderId="32" xfId="0" applyFont="1" applyFill="1" applyBorder="1" applyAlignment="1">
      <alignment horizontal="center"/>
    </xf>
    <xf numFmtId="44" fontId="86" fillId="36" borderId="60" xfId="0" applyNumberFormat="1" applyFont="1" applyFill="1" applyBorder="1"/>
    <xf numFmtId="44" fontId="86" fillId="36" borderId="33" xfId="0" applyNumberFormat="1" applyFont="1" applyFill="1" applyBorder="1"/>
    <xf numFmtId="0" fontId="87" fillId="32" borderId="50" xfId="0" applyFont="1" applyFill="1" applyBorder="1" applyAlignment="1">
      <alignment horizontal="center"/>
    </xf>
    <xf numFmtId="16" fontId="88" fillId="32" borderId="51" xfId="0" applyNumberFormat="1" applyFont="1" applyFill="1" applyBorder="1" applyAlignment="1">
      <alignment horizontal="right"/>
    </xf>
    <xf numFmtId="0" fontId="87" fillId="32" borderId="19" xfId="0" applyFont="1" applyFill="1" applyBorder="1" applyAlignment="1">
      <alignment horizontal="center"/>
    </xf>
    <xf numFmtId="44" fontId="88" fillId="32" borderId="20" xfId="1" applyFont="1" applyFill="1" applyBorder="1" applyAlignment="1">
      <alignment horizontal="right"/>
    </xf>
    <xf numFmtId="44" fontId="88" fillId="32" borderId="20" xfId="1" applyFont="1" applyFill="1" applyBorder="1"/>
    <xf numFmtId="0" fontId="87" fillId="32" borderId="52" xfId="0" applyFont="1" applyFill="1" applyBorder="1" applyAlignment="1">
      <alignment horizontal="center"/>
    </xf>
    <xf numFmtId="44" fontId="88" fillId="32" borderId="53" xfId="1" applyFont="1" applyFill="1" applyBorder="1"/>
    <xf numFmtId="0" fontId="87" fillId="32" borderId="32" xfId="0" applyFont="1" applyFill="1" applyBorder="1" applyAlignment="1">
      <alignment horizontal="center"/>
    </xf>
    <xf numFmtId="44" fontId="88" fillId="32" borderId="33" xfId="1" applyFont="1" applyFill="1" applyBorder="1"/>
    <xf numFmtId="0" fontId="89" fillId="4" borderId="38" xfId="0" applyFont="1" applyFill="1" applyBorder="1" applyAlignment="1">
      <alignment horizontal="center"/>
    </xf>
    <xf numFmtId="44" fontId="80" fillId="4" borderId="64" xfId="1" applyFont="1" applyFill="1" applyBorder="1"/>
    <xf numFmtId="44" fontId="80" fillId="4" borderId="62" xfId="1" applyFont="1" applyFill="1" applyBorder="1"/>
    <xf numFmtId="0" fontId="85" fillId="8" borderId="50" xfId="0" applyFont="1" applyFill="1" applyBorder="1" applyAlignment="1">
      <alignment horizontal="center"/>
    </xf>
    <xf numFmtId="44" fontId="86" fillId="8" borderId="57" xfId="1" applyFont="1" applyFill="1" applyBorder="1"/>
    <xf numFmtId="44" fontId="80" fillId="8" borderId="51" xfId="1" applyFont="1" applyFill="1" applyBorder="1"/>
    <xf numFmtId="0" fontId="85" fillId="8" borderId="19" xfId="0" applyFont="1" applyFill="1" applyBorder="1" applyAlignment="1">
      <alignment horizontal="center"/>
    </xf>
    <xf numFmtId="44" fontId="86" fillId="8" borderId="59" xfId="1" applyFont="1" applyFill="1" applyBorder="1"/>
    <xf numFmtId="44" fontId="80" fillId="8" borderId="20" xfId="1" applyFont="1" applyFill="1" applyBorder="1"/>
    <xf numFmtId="0" fontId="85" fillId="8" borderId="32" xfId="0" applyFont="1" applyFill="1" applyBorder="1" applyAlignment="1">
      <alignment horizontal="center"/>
    </xf>
    <xf numFmtId="44" fontId="86" fillId="8" borderId="60" xfId="1" applyFont="1" applyFill="1" applyBorder="1"/>
    <xf numFmtId="44" fontId="80" fillId="8" borderId="33" xfId="1" applyFont="1" applyFill="1" applyBorder="1"/>
    <xf numFmtId="0" fontId="90" fillId="9" borderId="50" xfId="0" applyFont="1" applyFill="1" applyBorder="1" applyAlignment="1">
      <alignment horizontal="center"/>
    </xf>
    <xf numFmtId="44" fontId="91" fillId="9" borderId="57" xfId="1" applyFont="1" applyFill="1" applyBorder="1"/>
    <xf numFmtId="44" fontId="80" fillId="9" borderId="51" xfId="1" applyFont="1" applyFill="1" applyBorder="1"/>
    <xf numFmtId="0" fontId="90" fillId="9" borderId="32" xfId="0" applyFont="1" applyFill="1" applyBorder="1" applyAlignment="1">
      <alignment horizontal="center"/>
    </xf>
    <xf numFmtId="44" fontId="91" fillId="9" borderId="60" xfId="1" applyFont="1" applyFill="1" applyBorder="1"/>
    <xf numFmtId="44" fontId="80" fillId="9" borderId="33" xfId="1" applyFont="1" applyFill="1" applyBorder="1"/>
    <xf numFmtId="0" fontId="85" fillId="5" borderId="36" xfId="0" applyFont="1" applyFill="1" applyBorder="1" applyAlignment="1">
      <alignment horizontal="center"/>
    </xf>
    <xf numFmtId="44" fontId="86" fillId="5" borderId="61" xfId="1" applyFont="1" applyFill="1" applyBorder="1"/>
    <xf numFmtId="44" fontId="80" fillId="5" borderId="37" xfId="1" applyFont="1" applyFill="1" applyBorder="1"/>
    <xf numFmtId="0" fontId="85" fillId="5" borderId="32" xfId="0" applyFont="1" applyFill="1" applyBorder="1" applyAlignment="1">
      <alignment horizontal="center"/>
    </xf>
    <xf numFmtId="44" fontId="86" fillId="5" borderId="60" xfId="1" applyFont="1" applyFill="1" applyBorder="1"/>
    <xf numFmtId="44" fontId="80" fillId="5" borderId="33" xfId="1" applyFont="1" applyFill="1" applyBorder="1"/>
    <xf numFmtId="0" fontId="92" fillId="2" borderId="0" xfId="3" applyFont="1" applyFill="1" applyAlignment="1">
      <alignment horizontal="center" vertical="center"/>
    </xf>
    <xf numFmtId="0" fontId="85" fillId="31" borderId="50" xfId="0" applyFont="1" applyFill="1" applyBorder="1" applyAlignment="1">
      <alignment horizontal="center"/>
    </xf>
    <xf numFmtId="44" fontId="86" fillId="31" borderId="51" xfId="1" applyFont="1" applyFill="1" applyBorder="1"/>
    <xf numFmtId="0" fontId="85" fillId="31" borderId="19" xfId="0" applyFont="1" applyFill="1" applyBorder="1" applyAlignment="1">
      <alignment horizontal="center"/>
    </xf>
    <xf numFmtId="44" fontId="86" fillId="31" borderId="20" xfId="1" applyFont="1" applyFill="1" applyBorder="1"/>
    <xf numFmtId="164" fontId="86" fillId="31" borderId="20" xfId="1" applyNumberFormat="1" applyFont="1" applyFill="1" applyBorder="1"/>
    <xf numFmtId="0" fontId="85" fillId="31" borderId="32" xfId="0" applyFont="1" applyFill="1" applyBorder="1" applyAlignment="1">
      <alignment horizontal="center"/>
    </xf>
    <xf numFmtId="10" fontId="86" fillId="31" borderId="33" xfId="2" applyNumberFormat="1" applyFont="1" applyFill="1" applyBorder="1"/>
    <xf numFmtId="0" fontId="85" fillId="2" borderId="0" xfId="0" applyFont="1" applyFill="1" applyAlignment="1">
      <alignment horizontal="center"/>
    </xf>
    <xf numFmtId="10" fontId="86" fillId="2" borderId="0" xfId="2" applyNumberFormat="1" applyFont="1" applyFill="1" applyBorder="1"/>
    <xf numFmtId="10" fontId="86" fillId="36" borderId="37" xfId="2" applyNumberFormat="1" applyFont="1" applyFill="1" applyBorder="1"/>
    <xf numFmtId="10" fontId="86" fillId="36" borderId="20" xfId="2" applyNumberFormat="1" applyFont="1" applyFill="1" applyBorder="1"/>
    <xf numFmtId="0" fontId="85" fillId="36" borderId="52" xfId="0" applyFont="1" applyFill="1" applyBorder="1" applyAlignment="1">
      <alignment horizontal="center"/>
    </xf>
    <xf numFmtId="10" fontId="86" fillId="36" borderId="53" xfId="2" applyNumberFormat="1" applyFont="1" applyFill="1" applyBorder="1"/>
    <xf numFmtId="0" fontId="85" fillId="36" borderId="38" xfId="0" applyFont="1" applyFill="1" applyBorder="1" applyAlignment="1">
      <alignment horizontal="center"/>
    </xf>
    <xf numFmtId="10" fontId="86" fillId="36" borderId="62" xfId="2" applyNumberFormat="1" applyFont="1" applyFill="1" applyBorder="1"/>
    <xf numFmtId="0" fontId="89" fillId="39" borderId="19" xfId="0" applyFont="1" applyFill="1" applyBorder="1" applyAlignment="1">
      <alignment horizontal="center"/>
    </xf>
    <xf numFmtId="44" fontId="80" fillId="39" borderId="59" xfId="1" applyFont="1" applyFill="1" applyBorder="1"/>
    <xf numFmtId="10" fontId="80" fillId="39" borderId="59" xfId="2" applyNumberFormat="1" applyFont="1" applyFill="1" applyBorder="1"/>
    <xf numFmtId="10" fontId="80" fillId="39" borderId="20" xfId="2" applyNumberFormat="1" applyFont="1" applyFill="1" applyBorder="1"/>
    <xf numFmtId="44" fontId="80" fillId="39" borderId="59" xfId="0" applyNumberFormat="1" applyFont="1" applyFill="1" applyBorder="1"/>
    <xf numFmtId="0" fontId="93" fillId="40" borderId="93" xfId="0" applyFont="1" applyFill="1" applyBorder="1" applyAlignment="1">
      <alignment horizontal="center"/>
    </xf>
    <xf numFmtId="44" fontId="94" fillId="40" borderId="94" xfId="1" applyFont="1" applyFill="1" applyBorder="1"/>
    <xf numFmtId="10" fontId="94" fillId="40" borderId="95" xfId="2" applyNumberFormat="1" applyFont="1" applyFill="1" applyBorder="1"/>
    <xf numFmtId="10" fontId="94" fillId="40" borderId="96" xfId="2" applyNumberFormat="1" applyFont="1" applyFill="1" applyBorder="1"/>
    <xf numFmtId="10" fontId="94" fillId="40" borderId="62" xfId="2" applyNumberFormat="1" applyFont="1" applyFill="1" applyBorder="1"/>
    <xf numFmtId="0" fontId="93" fillId="40" borderId="85" xfId="0" applyFont="1" applyFill="1" applyBorder="1"/>
    <xf numFmtId="10" fontId="94" fillId="40" borderId="89" xfId="2" applyNumberFormat="1" applyFont="1" applyFill="1" applyBorder="1"/>
    <xf numFmtId="0" fontId="95" fillId="24" borderId="19" xfId="0" applyFont="1" applyFill="1" applyBorder="1" applyAlignment="1">
      <alignment horizontal="center"/>
    </xf>
    <xf numFmtId="44" fontId="79" fillId="24" borderId="59" xfId="1" applyFont="1" applyFill="1" applyBorder="1"/>
    <xf numFmtId="10" fontId="79" fillId="24" borderId="59" xfId="2" applyNumberFormat="1" applyFont="1" applyFill="1" applyBorder="1"/>
    <xf numFmtId="10" fontId="79" fillId="24" borderId="20" xfId="2" applyNumberFormat="1" applyFont="1" applyFill="1" applyBorder="1"/>
    <xf numFmtId="44" fontId="79" fillId="24" borderId="59" xfId="0" applyNumberFormat="1" applyFont="1" applyFill="1" applyBorder="1"/>
    <xf numFmtId="0" fontId="96" fillId="37" borderId="93" xfId="0" applyFont="1" applyFill="1" applyBorder="1" applyAlignment="1">
      <alignment horizontal="center"/>
    </xf>
    <xf numFmtId="44" fontId="97" fillId="37" borderId="94" xfId="1" applyFont="1" applyFill="1" applyBorder="1"/>
    <xf numFmtId="10" fontId="97" fillId="37" borderId="95" xfId="2" applyNumberFormat="1" applyFont="1" applyFill="1" applyBorder="1"/>
    <xf numFmtId="10" fontId="97" fillId="37" borderId="96" xfId="2" applyNumberFormat="1" applyFont="1" applyFill="1" applyBorder="1"/>
    <xf numFmtId="10" fontId="97" fillId="37" borderId="62" xfId="2" applyNumberFormat="1" applyFont="1" applyFill="1" applyBorder="1"/>
    <xf numFmtId="0" fontId="96" fillId="37" borderId="85" xfId="0" applyFont="1" applyFill="1" applyBorder="1"/>
    <xf numFmtId="10" fontId="97" fillId="37" borderId="89" xfId="2" applyNumberFormat="1" applyFont="1" applyFill="1" applyBorder="1"/>
    <xf numFmtId="0" fontId="98" fillId="31" borderId="19" xfId="0" applyFont="1" applyFill="1" applyBorder="1" applyAlignment="1">
      <alignment horizontal="center"/>
    </xf>
    <xf numFmtId="44" fontId="99" fillId="31" borderId="59" xfId="1" applyFont="1" applyFill="1" applyBorder="1"/>
    <xf numFmtId="10" fontId="99" fillId="31" borderId="88" xfId="2" applyNumberFormat="1" applyFont="1" applyFill="1" applyBorder="1"/>
    <xf numFmtId="10" fontId="99" fillId="31" borderId="20" xfId="2" applyNumberFormat="1" applyFont="1" applyFill="1" applyBorder="1"/>
    <xf numFmtId="44" fontId="99" fillId="31" borderId="59" xfId="0" applyNumberFormat="1" applyFont="1" applyFill="1" applyBorder="1"/>
    <xf numFmtId="0" fontId="100" fillId="38" borderId="32" xfId="0" applyFont="1" applyFill="1" applyBorder="1" applyAlignment="1">
      <alignment horizontal="center"/>
    </xf>
    <xf numFmtId="44" fontId="101" fillId="38" borderId="60" xfId="1" applyFont="1" applyFill="1" applyBorder="1"/>
    <xf numFmtId="10" fontId="101" fillId="38" borderId="90" xfId="2" applyNumberFormat="1" applyFont="1" applyFill="1" applyBorder="1"/>
    <xf numFmtId="10" fontId="101" fillId="38" borderId="33" xfId="2" applyNumberFormat="1" applyFont="1" applyFill="1" applyBorder="1"/>
    <xf numFmtId="10" fontId="101" fillId="38" borderId="71" xfId="2" applyNumberFormat="1" applyFont="1" applyFill="1" applyBorder="1"/>
    <xf numFmtId="0" fontId="100" fillId="38" borderId="85" xfId="0" applyFont="1" applyFill="1" applyBorder="1"/>
    <xf numFmtId="10" fontId="101" fillId="38" borderId="92" xfId="2" applyNumberFormat="1" applyFont="1" applyFill="1" applyBorder="1"/>
    <xf numFmtId="44" fontId="77" fillId="2" borderId="0" xfId="0" applyNumberFormat="1" applyFont="1" applyFill="1"/>
    <xf numFmtId="8" fontId="77" fillId="2" borderId="0" xfId="0" applyNumberFormat="1" applyFont="1" applyFill="1"/>
    <xf numFmtId="0" fontId="77" fillId="32" borderId="0" xfId="0" applyFont="1" applyFill="1"/>
    <xf numFmtId="0" fontId="102" fillId="32" borderId="0" xfId="3" quotePrefix="1" applyFont="1" applyFill="1"/>
    <xf numFmtId="165" fontId="103" fillId="0" borderId="0" xfId="0" applyNumberFormat="1" applyFont="1"/>
    <xf numFmtId="10" fontId="103" fillId="0" borderId="0" xfId="0" applyNumberFormat="1" applyFont="1"/>
    <xf numFmtId="0" fontId="103" fillId="0" borderId="0" xfId="0" applyFont="1"/>
    <xf numFmtId="0" fontId="0" fillId="0" borderId="0" xfId="0" applyAlignment="1">
      <alignment horizontal="center"/>
    </xf>
    <xf numFmtId="44" fontId="0" fillId="0" borderId="0" xfId="1" applyFont="1" applyFill="1"/>
    <xf numFmtId="10" fontId="0" fillId="0" borderId="0" xfId="2" applyNumberFormat="1" applyFont="1" applyFill="1"/>
    <xf numFmtId="0" fontId="0" fillId="0" borderId="38" xfId="0" applyBorder="1" applyAlignment="1">
      <alignment horizontal="center" vertical="center"/>
    </xf>
    <xf numFmtId="44" fontId="0" fillId="0" borderId="62" xfId="1" applyFont="1" applyFill="1" applyBorder="1" applyAlignment="1">
      <alignment horizontal="center" vertical="center"/>
    </xf>
    <xf numFmtId="10" fontId="0" fillId="0" borderId="38" xfId="2" applyNumberFormat="1" applyFont="1" applyFill="1" applyBorder="1" applyAlignment="1">
      <alignment horizontal="center" vertical="center" wrapText="1"/>
    </xf>
    <xf numFmtId="10" fontId="0" fillId="0" borderId="62" xfId="2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44" fontId="0" fillId="0" borderId="61" xfId="1" applyFont="1" applyFill="1" applyBorder="1"/>
    <xf numFmtId="0" fontId="0" fillId="0" borderId="61" xfId="0" applyBorder="1" applyAlignment="1">
      <alignment horizontal="center"/>
    </xf>
    <xf numFmtId="10" fontId="0" fillId="0" borderId="61" xfId="2" applyNumberFormat="1" applyFont="1" applyFill="1" applyBorder="1"/>
    <xf numFmtId="10" fontId="0" fillId="0" borderId="37" xfId="2" applyNumberFormat="1" applyFont="1" applyFill="1" applyBorder="1"/>
    <xf numFmtId="0" fontId="0" fillId="0" borderId="19" xfId="0" applyBorder="1" applyAlignment="1">
      <alignment horizontal="center"/>
    </xf>
    <xf numFmtId="44" fontId="0" fillId="0" borderId="59" xfId="1" applyFont="1" applyFill="1" applyBorder="1"/>
    <xf numFmtId="0" fontId="0" fillId="0" borderId="59" xfId="0" applyBorder="1" applyAlignment="1">
      <alignment horizontal="center"/>
    </xf>
    <xf numFmtId="10" fontId="0" fillId="0" borderId="59" xfId="2" applyNumberFormat="1" applyFont="1" applyFill="1" applyBorder="1"/>
    <xf numFmtId="10" fontId="0" fillId="0" borderId="20" xfId="2" applyNumberFormat="1" applyFont="1" applyFill="1" applyBorder="1"/>
    <xf numFmtId="0" fontId="0" fillId="0" borderId="32" xfId="0" applyBorder="1" applyAlignment="1">
      <alignment horizontal="center"/>
    </xf>
    <xf numFmtId="44" fontId="0" fillId="0" borderId="60" xfId="1" applyFont="1" applyFill="1" applyBorder="1"/>
    <xf numFmtId="0" fontId="0" fillId="0" borderId="60" xfId="0" applyBorder="1" applyAlignment="1">
      <alignment horizontal="center"/>
    </xf>
    <xf numFmtId="10" fontId="0" fillId="0" borderId="60" xfId="2" applyNumberFormat="1" applyFont="1" applyFill="1" applyBorder="1"/>
    <xf numFmtId="10" fontId="0" fillId="0" borderId="33" xfId="2" applyNumberFormat="1" applyFont="1" applyFill="1" applyBorder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3" fillId="0" borderId="0" xfId="0" applyFont="1" applyAlignment="1">
      <alignment horizontal="center" vertical="center" wrapText="1"/>
    </xf>
    <xf numFmtId="0" fontId="103" fillId="0" borderId="0" xfId="0" applyFont="1" applyAlignment="1">
      <alignment horizontal="center"/>
    </xf>
    <xf numFmtId="44" fontId="103" fillId="0" borderId="0" xfId="1" applyFont="1" applyFill="1"/>
    <xf numFmtId="10" fontId="103" fillId="0" borderId="0" xfId="2" applyNumberFormat="1" applyFont="1" applyFill="1"/>
    <xf numFmtId="0" fontId="103" fillId="0" borderId="38" xfId="0" applyFont="1" applyBorder="1" applyAlignment="1">
      <alignment horizontal="center" vertical="center"/>
    </xf>
    <xf numFmtId="44" fontId="103" fillId="0" borderId="62" xfId="1" applyFont="1" applyFill="1" applyBorder="1" applyAlignment="1">
      <alignment horizontal="center" vertical="center"/>
    </xf>
    <xf numFmtId="10" fontId="103" fillId="0" borderId="38" xfId="2" applyNumberFormat="1" applyFont="1" applyFill="1" applyBorder="1" applyAlignment="1">
      <alignment horizontal="center" vertical="center" wrapText="1"/>
    </xf>
    <xf numFmtId="10" fontId="103" fillId="0" borderId="62" xfId="2" applyNumberFormat="1" applyFont="1" applyFill="1" applyBorder="1" applyAlignment="1">
      <alignment horizontal="center" vertical="center"/>
    </xf>
    <xf numFmtId="0" fontId="103" fillId="0" borderId="0" xfId="0" applyFont="1" applyAlignment="1">
      <alignment horizontal="center" vertical="center"/>
    </xf>
    <xf numFmtId="0" fontId="103" fillId="0" borderId="36" xfId="0" applyFont="1" applyBorder="1" applyAlignment="1">
      <alignment horizontal="center"/>
    </xf>
    <xf numFmtId="44" fontId="103" fillId="0" borderId="61" xfId="1" applyFont="1" applyFill="1" applyBorder="1"/>
    <xf numFmtId="0" fontId="103" fillId="0" borderId="61" xfId="0" applyFont="1" applyBorder="1" applyAlignment="1">
      <alignment horizontal="center"/>
    </xf>
    <xf numFmtId="10" fontId="103" fillId="0" borderId="61" xfId="2" applyNumberFormat="1" applyFont="1" applyFill="1" applyBorder="1"/>
    <xf numFmtId="10" fontId="103" fillId="0" borderId="37" xfId="2" applyNumberFormat="1" applyFont="1" applyFill="1" applyBorder="1"/>
    <xf numFmtId="0" fontId="103" fillId="0" borderId="19" xfId="0" applyFont="1" applyBorder="1" applyAlignment="1">
      <alignment horizontal="center"/>
    </xf>
    <xf numFmtId="44" fontId="103" fillId="0" borderId="59" xfId="1" applyFont="1" applyFill="1" applyBorder="1"/>
    <xf numFmtId="0" fontId="103" fillId="0" borderId="59" xfId="0" applyFont="1" applyBorder="1" applyAlignment="1">
      <alignment horizontal="center"/>
    </xf>
    <xf numFmtId="10" fontId="103" fillId="0" borderId="59" xfId="2" applyNumberFormat="1" applyFont="1" applyFill="1" applyBorder="1"/>
    <xf numFmtId="0" fontId="103" fillId="0" borderId="32" xfId="0" applyFont="1" applyBorder="1" applyAlignment="1">
      <alignment horizontal="center"/>
    </xf>
    <xf numFmtId="44" fontId="103" fillId="0" borderId="60" xfId="1" applyFont="1" applyFill="1" applyBorder="1"/>
    <xf numFmtId="0" fontId="103" fillId="0" borderId="60" xfId="0" applyFont="1" applyBorder="1" applyAlignment="1">
      <alignment horizontal="center"/>
    </xf>
    <xf numFmtId="10" fontId="103" fillId="0" borderId="60" xfId="2" applyNumberFormat="1" applyFont="1" applyFill="1" applyBorder="1"/>
    <xf numFmtId="0" fontId="66" fillId="0" borderId="3" xfId="0" applyFont="1" applyBorder="1" applyAlignment="1">
      <alignment wrapText="1"/>
    </xf>
    <xf numFmtId="164" fontId="103" fillId="0" borderId="4" xfId="0" applyNumberFormat="1" applyFont="1" applyBorder="1" applyAlignment="1">
      <alignment wrapText="1"/>
    </xf>
    <xf numFmtId="10" fontId="103" fillId="0" borderId="4" xfId="0" applyNumberFormat="1" applyFont="1" applyBorder="1" applyAlignment="1">
      <alignment wrapText="1"/>
    </xf>
    <xf numFmtId="0" fontId="103" fillId="0" borderId="4" xfId="0" applyFont="1" applyBorder="1" applyAlignment="1">
      <alignment vertical="center" wrapText="1"/>
    </xf>
    <xf numFmtId="0" fontId="103" fillId="0" borderId="4" xfId="0" applyFont="1" applyBorder="1" applyAlignment="1">
      <alignment wrapText="1"/>
    </xf>
    <xf numFmtId="0" fontId="103" fillId="0" borderId="4" xfId="0" applyFont="1" applyBorder="1" applyAlignment="1">
      <alignment horizontal="right" vertical="center" wrapText="1"/>
    </xf>
    <xf numFmtId="0" fontId="66" fillId="0" borderId="9" xfId="0" applyFont="1" applyBorder="1" applyAlignment="1">
      <alignment wrapText="1"/>
    </xf>
    <xf numFmtId="164" fontId="103" fillId="0" borderId="10" xfId="0" applyNumberFormat="1" applyFont="1" applyBorder="1" applyAlignment="1">
      <alignment wrapText="1"/>
    </xf>
    <xf numFmtId="0" fontId="66" fillId="0" borderId="3" xfId="0" applyFont="1" applyBorder="1"/>
    <xf numFmtId="164" fontId="106" fillId="0" borderId="4" xfId="0" applyNumberFormat="1" applyFont="1" applyBorder="1" applyAlignment="1">
      <alignment wrapText="1"/>
    </xf>
    <xf numFmtId="0" fontId="106" fillId="0" borderId="4" xfId="0" applyFont="1" applyBorder="1" applyAlignment="1">
      <alignment vertical="center" wrapText="1"/>
    </xf>
    <xf numFmtId="10" fontId="106" fillId="0" borderId="4" xfId="0" applyNumberFormat="1" applyFont="1" applyBorder="1" applyAlignment="1">
      <alignment wrapText="1"/>
    </xf>
    <xf numFmtId="0" fontId="66" fillId="0" borderId="36" xfId="0" applyFont="1" applyBorder="1"/>
    <xf numFmtId="0" fontId="66" fillId="0" borderId="19" xfId="0" applyFont="1" applyBorder="1"/>
    <xf numFmtId="0" fontId="66" fillId="0" borderId="32" xfId="0" applyFont="1" applyBorder="1"/>
    <xf numFmtId="167" fontId="103" fillId="0" borderId="33" xfId="0" applyNumberFormat="1" applyFont="1" applyBorder="1"/>
    <xf numFmtId="0" fontId="103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3" fillId="2" borderId="50" xfId="0" applyFont="1" applyFill="1" applyBorder="1"/>
    <xf numFmtId="167" fontId="103" fillId="2" borderId="57" xfId="0" applyNumberFormat="1" applyFont="1" applyFill="1" applyBorder="1"/>
    <xf numFmtId="10" fontId="67" fillId="2" borderId="57" xfId="2" applyNumberFormat="1" applyFont="1" applyFill="1" applyBorder="1"/>
    <xf numFmtId="167" fontId="103" fillId="2" borderId="51" xfId="0" applyNumberFormat="1" applyFont="1" applyFill="1" applyBorder="1"/>
    <xf numFmtId="0" fontId="103" fillId="2" borderId="59" xfId="0" applyFont="1" applyFill="1" applyBorder="1"/>
    <xf numFmtId="167" fontId="103" fillId="2" borderId="59" xfId="0" applyNumberFormat="1" applyFont="1" applyFill="1" applyBorder="1"/>
    <xf numFmtId="10" fontId="67" fillId="2" borderId="59" xfId="2" applyNumberFormat="1" applyFont="1" applyFill="1" applyBorder="1"/>
    <xf numFmtId="0" fontId="103" fillId="2" borderId="19" xfId="0" applyFont="1" applyFill="1" applyBorder="1"/>
    <xf numFmtId="8" fontId="103" fillId="2" borderId="59" xfId="0" applyNumberFormat="1" applyFont="1" applyFill="1" applyBorder="1"/>
    <xf numFmtId="167" fontId="103" fillId="2" borderId="20" xfId="0" applyNumberFormat="1" applyFont="1" applyFill="1" applyBorder="1"/>
    <xf numFmtId="0" fontId="103" fillId="2" borderId="19" xfId="0" applyFont="1" applyFill="1" applyBorder="1" applyAlignment="1">
      <alignment vertical="center"/>
    </xf>
    <xf numFmtId="8" fontId="103" fillId="2" borderId="59" xfId="0" applyNumberFormat="1" applyFont="1" applyFill="1" applyBorder="1" applyAlignment="1">
      <alignment vertical="center"/>
    </xf>
    <xf numFmtId="167" fontId="103" fillId="2" borderId="20" xfId="0" applyNumberFormat="1" applyFont="1" applyFill="1" applyBorder="1" applyAlignment="1">
      <alignment vertical="center"/>
    </xf>
    <xf numFmtId="0" fontId="103" fillId="2" borderId="59" xfId="0" applyFont="1" applyFill="1" applyBorder="1" applyAlignment="1">
      <alignment vertical="center"/>
    </xf>
    <xf numFmtId="167" fontId="103" fillId="2" borderId="59" xfId="0" applyNumberFormat="1" applyFont="1" applyFill="1" applyBorder="1" applyAlignment="1">
      <alignment vertical="center"/>
    </xf>
    <xf numFmtId="0" fontId="103" fillId="2" borderId="19" xfId="0" applyFont="1" applyFill="1" applyBorder="1" applyAlignment="1">
      <alignment wrapText="1"/>
    </xf>
    <xf numFmtId="8" fontId="103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3" fillId="2" borderId="20" xfId="0" applyNumberFormat="1" applyFont="1" applyFill="1" applyBorder="1" applyAlignment="1">
      <alignment wrapText="1"/>
    </xf>
    <xf numFmtId="0" fontId="103" fillId="2" borderId="0" xfId="0" applyFont="1" applyFill="1" applyAlignment="1">
      <alignment wrapText="1"/>
    </xf>
    <xf numFmtId="0" fontId="103" fillId="2" borderId="32" xfId="0" applyFont="1" applyFill="1" applyBorder="1"/>
    <xf numFmtId="8" fontId="103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3" fillId="2" borderId="37" xfId="1" applyNumberFormat="1" applyFont="1" applyFill="1" applyBorder="1"/>
    <xf numFmtId="0" fontId="66" fillId="2" borderId="61" xfId="0" applyFont="1" applyFill="1" applyBorder="1"/>
    <xf numFmtId="167" fontId="103" fillId="2" borderId="61" xfId="1" applyNumberFormat="1" applyFont="1" applyFill="1" applyBorder="1"/>
    <xf numFmtId="0" fontId="66" fillId="2" borderId="19" xfId="0" applyFont="1" applyFill="1" applyBorder="1"/>
    <xf numFmtId="167" fontId="103" fillId="2" borderId="20" xfId="1" applyNumberFormat="1" applyFont="1" applyFill="1" applyBorder="1"/>
    <xf numFmtId="0" fontId="66" fillId="2" borderId="59" xfId="0" applyFont="1" applyFill="1" applyBorder="1"/>
    <xf numFmtId="167" fontId="103" fillId="2" borderId="59" xfId="1" applyNumberFormat="1" applyFont="1" applyFill="1" applyBorder="1"/>
    <xf numFmtId="10" fontId="103" fillId="2" borderId="20" xfId="2" applyNumberFormat="1" applyFont="1" applyFill="1" applyBorder="1"/>
    <xf numFmtId="10" fontId="103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3" fillId="2" borderId="33" xfId="2" applyNumberFormat="1" applyFont="1" applyFill="1" applyBorder="1" applyAlignment="1">
      <alignment horizontal="right" vertical="center" wrapText="1"/>
    </xf>
    <xf numFmtId="0" fontId="103" fillId="2" borderId="0" xfId="0" applyFont="1" applyFill="1" applyAlignment="1">
      <alignment horizontal="center"/>
    </xf>
    <xf numFmtId="0" fontId="103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3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2" fillId="13" borderId="42" xfId="0" applyFont="1" applyFill="1" applyBorder="1" applyAlignment="1">
      <alignment horizontal="center"/>
    </xf>
    <xf numFmtId="0" fontId="113" fillId="13" borderId="56" xfId="0" applyFont="1" applyFill="1" applyBorder="1" applyAlignment="1">
      <alignment horizontal="center" vertical="center" wrapText="1"/>
    </xf>
    <xf numFmtId="0" fontId="113" fillId="13" borderId="14" xfId="0" applyFont="1" applyFill="1" applyBorder="1" applyAlignment="1">
      <alignment horizontal="center"/>
    </xf>
    <xf numFmtId="0" fontId="113" fillId="14" borderId="16" xfId="0" applyFont="1" applyFill="1" applyBorder="1" applyAlignment="1">
      <alignment horizontal="center"/>
    </xf>
    <xf numFmtId="164" fontId="114" fillId="14" borderId="17" xfId="0" applyNumberFormat="1" applyFont="1" applyFill="1" applyBorder="1" applyAlignment="1">
      <alignment wrapText="1"/>
    </xf>
    <xf numFmtId="0" fontId="113" fillId="14" borderId="14" xfId="0" applyFont="1" applyFill="1" applyBorder="1" applyAlignment="1">
      <alignment horizontal="center"/>
    </xf>
    <xf numFmtId="164" fontId="114" fillId="14" borderId="15" xfId="0" applyNumberFormat="1" applyFont="1" applyFill="1" applyBorder="1" applyAlignment="1">
      <alignment wrapText="1"/>
    </xf>
    <xf numFmtId="0" fontId="113" fillId="14" borderId="12" xfId="0" applyFont="1" applyFill="1" applyBorder="1" applyAlignment="1">
      <alignment horizontal="center"/>
    </xf>
    <xf numFmtId="164" fontId="114" fillId="14" borderId="13" xfId="0" applyNumberFormat="1" applyFont="1" applyFill="1" applyBorder="1" applyAlignment="1">
      <alignment wrapText="1"/>
    </xf>
    <xf numFmtId="0" fontId="113" fillId="14" borderId="76" xfId="0" applyFont="1" applyFill="1" applyBorder="1" applyAlignment="1">
      <alignment horizontal="center" vertical="center"/>
    </xf>
    <xf numFmtId="164" fontId="114" fillId="14" borderId="13" xfId="0" applyNumberFormat="1" applyFont="1" applyFill="1" applyBorder="1" applyAlignment="1">
      <alignment vertical="center" wrapText="1"/>
    </xf>
    <xf numFmtId="0" fontId="113" fillId="14" borderId="76" xfId="0" applyFont="1" applyFill="1" applyBorder="1" applyAlignment="1">
      <alignment horizontal="center" vertical="center" wrapText="1"/>
    </xf>
    <xf numFmtId="10" fontId="114" fillId="14" borderId="15" xfId="0" applyNumberFormat="1" applyFont="1" applyFill="1" applyBorder="1" applyAlignment="1">
      <alignment vertical="center" wrapText="1"/>
    </xf>
    <xf numFmtId="0" fontId="113" fillId="14" borderId="12" xfId="0" applyFont="1" applyFill="1" applyBorder="1" applyAlignment="1">
      <alignment horizontal="center" vertical="center" wrapText="1"/>
    </xf>
    <xf numFmtId="164" fontId="114" fillId="14" borderId="22" xfId="0" applyNumberFormat="1" applyFont="1" applyFill="1" applyBorder="1" applyAlignment="1">
      <alignment vertical="center" wrapText="1"/>
    </xf>
    <xf numFmtId="0" fontId="113" fillId="14" borderId="23" xfId="0" applyFont="1" applyFill="1" applyBorder="1" applyAlignment="1">
      <alignment horizontal="center"/>
    </xf>
    <xf numFmtId="10" fontId="114" fillId="14" borderId="24" xfId="0" applyNumberFormat="1" applyFont="1" applyFill="1" applyBorder="1" applyAlignment="1">
      <alignment wrapText="1"/>
    </xf>
    <xf numFmtId="0" fontId="113" fillId="13" borderId="77" xfId="0" applyFont="1" applyFill="1" applyBorder="1" applyAlignment="1">
      <alignment horizontal="center" vertical="center" wrapText="1"/>
    </xf>
    <xf numFmtId="0" fontId="113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0" fillId="43" borderId="109" xfId="7" applyAlignment="1" applyProtection="1">
      <alignment horizontal="left" vertical="center" wrapText="1"/>
      <protection locked="0"/>
    </xf>
    <xf numFmtId="164" fontId="110" fillId="43" borderId="109" xfId="7" applyNumberFormat="1" applyAlignment="1" applyProtection="1">
      <alignment vertical="center" wrapText="1"/>
      <protection locked="0"/>
    </xf>
    <xf numFmtId="0" fontId="110" fillId="43" borderId="109" xfId="7" applyAlignment="1" applyProtection="1">
      <alignment vertical="center" wrapText="1"/>
      <protection locked="0"/>
    </xf>
    <xf numFmtId="10" fontId="110" fillId="43" borderId="109" xfId="7" applyNumberFormat="1" applyAlignment="1" applyProtection="1">
      <alignment vertical="center" wrapText="1"/>
      <protection locked="0"/>
    </xf>
    <xf numFmtId="164" fontId="110" fillId="43" borderId="109" xfId="7" applyNumberFormat="1" applyAlignment="1" applyProtection="1">
      <alignment wrapText="1"/>
      <protection locked="0"/>
    </xf>
    <xf numFmtId="0" fontId="110" fillId="43" borderId="109" xfId="7" applyAlignment="1" applyProtection="1">
      <alignment wrapText="1"/>
      <protection locked="0"/>
    </xf>
    <xf numFmtId="0" fontId="115" fillId="13" borderId="42" xfId="0" applyFont="1" applyFill="1" applyBorder="1" applyAlignment="1">
      <alignment horizontal="center"/>
    </xf>
    <xf numFmtId="0" fontId="116" fillId="13" borderId="56" xfId="0" applyFont="1" applyFill="1" applyBorder="1" applyAlignment="1">
      <alignment horizontal="center" vertical="center" wrapText="1"/>
    </xf>
    <xf numFmtId="0" fontId="116" fillId="13" borderId="14" xfId="0" applyFont="1" applyFill="1" applyBorder="1" applyAlignment="1">
      <alignment horizontal="center"/>
    </xf>
    <xf numFmtId="0" fontId="116" fillId="14" borderId="16" xfId="0" applyFont="1" applyFill="1" applyBorder="1" applyAlignment="1">
      <alignment horizontal="center"/>
    </xf>
    <xf numFmtId="164" fontId="117" fillId="14" borderId="17" xfId="0" applyNumberFormat="1" applyFont="1" applyFill="1" applyBorder="1" applyAlignment="1">
      <alignment wrapText="1"/>
    </xf>
    <xf numFmtId="0" fontId="116" fillId="14" borderId="14" xfId="0" applyFont="1" applyFill="1" applyBorder="1" applyAlignment="1">
      <alignment horizontal="center"/>
    </xf>
    <xf numFmtId="164" fontId="117" fillId="14" borderId="15" xfId="0" applyNumberFormat="1" applyFont="1" applyFill="1" applyBorder="1" applyAlignment="1">
      <alignment wrapText="1"/>
    </xf>
    <xf numFmtId="0" fontId="116" fillId="14" borderId="12" xfId="0" applyFont="1" applyFill="1" applyBorder="1" applyAlignment="1">
      <alignment horizontal="center"/>
    </xf>
    <xf numFmtId="164" fontId="117" fillId="14" borderId="13" xfId="0" applyNumberFormat="1" applyFont="1" applyFill="1" applyBorder="1" applyAlignment="1">
      <alignment wrapText="1"/>
    </xf>
    <xf numFmtId="0" fontId="116" fillId="14" borderId="76" xfId="0" applyFont="1" applyFill="1" applyBorder="1" applyAlignment="1">
      <alignment horizontal="center" vertical="center"/>
    </xf>
    <xf numFmtId="164" fontId="117" fillId="14" borderId="13" xfId="0" applyNumberFormat="1" applyFont="1" applyFill="1" applyBorder="1" applyAlignment="1">
      <alignment vertical="center" wrapText="1"/>
    </xf>
    <xf numFmtId="0" fontId="116" fillId="14" borderId="76" xfId="0" applyFont="1" applyFill="1" applyBorder="1" applyAlignment="1">
      <alignment horizontal="center" vertical="center" wrapText="1"/>
    </xf>
    <xf numFmtId="10" fontId="117" fillId="14" borderId="15" xfId="0" applyNumberFormat="1" applyFont="1" applyFill="1" applyBorder="1" applyAlignment="1">
      <alignment vertical="center" wrapText="1"/>
    </xf>
    <xf numFmtId="0" fontId="116" fillId="14" borderId="12" xfId="0" applyFont="1" applyFill="1" applyBorder="1" applyAlignment="1">
      <alignment horizontal="center" vertical="center" wrapText="1"/>
    </xf>
    <xf numFmtId="164" fontId="117" fillId="14" borderId="22" xfId="0" applyNumberFormat="1" applyFont="1" applyFill="1" applyBorder="1" applyAlignment="1">
      <alignment vertical="center" wrapText="1"/>
    </xf>
    <xf numFmtId="0" fontId="116" fillId="14" borderId="23" xfId="0" applyFont="1" applyFill="1" applyBorder="1" applyAlignment="1">
      <alignment horizontal="center"/>
    </xf>
    <xf numFmtId="10" fontId="117" fillId="14" borderId="24" xfId="0" applyNumberFormat="1" applyFont="1" applyFill="1" applyBorder="1" applyAlignment="1">
      <alignment wrapText="1"/>
    </xf>
    <xf numFmtId="0" fontId="116" fillId="13" borderId="77" xfId="0" applyFont="1" applyFill="1" applyBorder="1" applyAlignment="1">
      <alignment horizontal="center" vertical="center" wrapText="1"/>
    </xf>
    <xf numFmtId="0" fontId="116" fillId="13" borderId="43" xfId="0" applyFont="1" applyFill="1" applyBorder="1" applyAlignment="1">
      <alignment horizontal="center" vertical="center" wrapText="1"/>
    </xf>
    <xf numFmtId="165" fontId="110" fillId="43" borderId="109" xfId="7" applyNumberFormat="1" applyAlignment="1" applyProtection="1">
      <alignment wrapText="1"/>
      <protection locked="0"/>
    </xf>
    <xf numFmtId="0" fontId="110" fillId="43" borderId="109" xfId="7" applyProtection="1">
      <protection locked="0"/>
    </xf>
    <xf numFmtId="10" fontId="110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0" fillId="43" borderId="109" xfId="7" applyNumberFormat="1" applyAlignment="1">
      <alignment horizontal="right"/>
    </xf>
    <xf numFmtId="0" fontId="110" fillId="43" borderId="109" xfId="7" applyAlignment="1">
      <alignment horizontal="right"/>
    </xf>
    <xf numFmtId="44" fontId="110" fillId="43" borderId="109" xfId="7" applyNumberFormat="1" applyAlignment="1">
      <alignment horizontal="right"/>
    </xf>
    <xf numFmtId="10" fontId="110" fillId="43" borderId="109" xfId="7" applyNumberFormat="1" applyAlignment="1" applyProtection="1">
      <alignment wrapText="1"/>
      <protection locked="0"/>
    </xf>
    <xf numFmtId="0" fontId="110" fillId="43" borderId="109" xfId="7" applyAlignment="1" applyProtection="1">
      <alignment horizontal="right"/>
      <protection locked="0"/>
    </xf>
    <xf numFmtId="10" fontId="110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4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0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7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108" fillId="11" borderId="107" xfId="5" applyFill="1"/>
    <xf numFmtId="0" fontId="0" fillId="11" borderId="69" xfId="0" applyFill="1" applyBorder="1"/>
    <xf numFmtId="0" fontId="123" fillId="11" borderId="0" xfId="5" applyFont="1" applyFill="1" applyBorder="1"/>
    <xf numFmtId="0" fontId="108" fillId="11" borderId="0" xfId="5" applyFill="1" applyBorder="1"/>
    <xf numFmtId="0" fontId="3" fillId="11" borderId="0" xfId="3" applyFill="1" applyBorder="1" applyAlignment="1">
      <alignment horizontal="left"/>
    </xf>
    <xf numFmtId="0" fontId="111" fillId="11" borderId="0" xfId="6" applyFont="1" applyFill="1" applyBorder="1"/>
    <xf numFmtId="0" fontId="119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122" fillId="11" borderId="0" xfId="0" applyFont="1" applyFill="1"/>
    <xf numFmtId="0" fontId="123" fillId="11" borderId="0" xfId="0" applyFont="1" applyFill="1"/>
    <xf numFmtId="0" fontId="125" fillId="11" borderId="0" xfId="0" applyFont="1" applyFill="1"/>
    <xf numFmtId="0" fontId="126" fillId="11" borderId="0" xfId="0" applyFont="1" applyFill="1"/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7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28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28" fillId="54" borderId="59" xfId="7" applyNumberFormat="1" applyFont="1" applyFill="1" applyBorder="1" applyAlignment="1" applyProtection="1">
      <alignment wrapText="1"/>
    </xf>
    <xf numFmtId="165" fontId="110" fillId="43" borderId="109" xfId="7" applyNumberFormat="1" applyProtection="1">
      <protection locked="0"/>
    </xf>
    <xf numFmtId="165" fontId="110" fillId="43" borderId="109" xfId="7" applyNumberFormat="1" applyAlignment="1" applyProtection="1">
      <alignment vertical="center"/>
      <protection locked="0"/>
    </xf>
    <xf numFmtId="0" fontId="109" fillId="33" borderId="112" xfId="6" applyFill="1" applyBorder="1" applyAlignment="1">
      <alignment horizontal="center"/>
    </xf>
    <xf numFmtId="0" fontId="109" fillId="33" borderId="113" xfId="6" applyFill="1" applyBorder="1" applyAlignment="1">
      <alignment horizontal="center"/>
    </xf>
    <xf numFmtId="0" fontId="109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1" fillId="2" borderId="0" xfId="0" applyFont="1" applyFill="1"/>
    <xf numFmtId="0" fontId="121" fillId="33" borderId="65" xfId="0" applyFont="1" applyFill="1" applyBorder="1" applyAlignment="1">
      <alignment horizontal="center"/>
    </xf>
    <xf numFmtId="0" fontId="121" fillId="2" borderId="0" xfId="0" applyFont="1" applyFill="1" applyAlignment="1">
      <alignment horizontal="center"/>
    </xf>
    <xf numFmtId="0" fontId="109" fillId="19" borderId="112" xfId="6" applyFill="1" applyBorder="1" applyAlignment="1">
      <alignment horizontal="center" vertical="center" wrapText="1"/>
    </xf>
    <xf numFmtId="0" fontId="109" fillId="19" borderId="113" xfId="6" applyFill="1" applyBorder="1" applyAlignment="1">
      <alignment horizontal="center" vertical="center" wrapText="1"/>
    </xf>
    <xf numFmtId="0" fontId="109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1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5" fillId="36" borderId="50" xfId="0" applyFont="1" applyFill="1" applyBorder="1" applyAlignment="1">
      <alignment horizontal="center"/>
    </xf>
    <xf numFmtId="10" fontId="86" fillId="36" borderId="51" xfId="2" applyNumberFormat="1" applyFont="1" applyFill="1" applyBorder="1"/>
    <xf numFmtId="0" fontId="129" fillId="2" borderId="0" xfId="3" applyFont="1" applyFill="1"/>
    <xf numFmtId="0" fontId="129" fillId="2" borderId="80" xfId="3" applyFont="1" applyFill="1" applyBorder="1"/>
    <xf numFmtId="44" fontId="0" fillId="2" borderId="80" xfId="0" applyNumberFormat="1" applyFill="1" applyBorder="1"/>
    <xf numFmtId="0" fontId="121" fillId="2" borderId="0" xfId="0" applyFont="1" applyFill="1" applyAlignment="1">
      <alignment horizontal="left"/>
    </xf>
    <xf numFmtId="0" fontId="120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1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09" fillId="55" borderId="112" xfId="6" applyFill="1" applyBorder="1" applyAlignment="1">
      <alignment horizontal="center" vertical="center"/>
    </xf>
    <xf numFmtId="0" fontId="109" fillId="55" borderId="113" xfId="6" applyFill="1" applyBorder="1" applyAlignment="1">
      <alignment horizontal="center" vertical="center"/>
    </xf>
    <xf numFmtId="44" fontId="109" fillId="55" borderId="113" xfId="6" applyNumberFormat="1" applyFill="1" applyBorder="1" applyAlignment="1">
      <alignment horizontal="center" vertical="center" wrapText="1"/>
    </xf>
    <xf numFmtId="44" fontId="109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0" fontId="121" fillId="55" borderId="45" xfId="0" applyFont="1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0" fillId="16" borderId="59" xfId="1" applyNumberFormat="1" applyFont="1" applyFill="1" applyBorder="1"/>
    <xf numFmtId="0" fontId="3" fillId="3" borderId="0" xfId="3" applyFill="1" applyAlignment="1"/>
    <xf numFmtId="0" fontId="84" fillId="36" borderId="38" xfId="0" applyFont="1" applyFill="1" applyBorder="1" applyAlignment="1">
      <alignment horizontal="center"/>
    </xf>
    <xf numFmtId="0" fontId="84" fillId="36" borderId="64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100" fillId="38" borderId="45" xfId="0" applyFont="1" applyFill="1" applyBorder="1" applyAlignment="1">
      <alignment horizontal="center"/>
    </xf>
    <xf numFmtId="0" fontId="100" fillId="38" borderId="85" xfId="0" applyFont="1" applyFill="1" applyBorder="1" applyAlignment="1">
      <alignment horizontal="center"/>
    </xf>
    <xf numFmtId="0" fontId="96" fillId="37" borderId="45" xfId="0" applyFont="1" applyFill="1" applyBorder="1" applyAlignment="1">
      <alignment horizontal="center"/>
    </xf>
    <xf numFmtId="0" fontId="96" fillId="37" borderId="85" xfId="0" applyFont="1" applyFill="1" applyBorder="1" applyAlignment="1">
      <alignment horizontal="center"/>
    </xf>
    <xf numFmtId="0" fontId="93" fillId="40" borderId="45" xfId="0" applyFont="1" applyFill="1" applyBorder="1" applyAlignment="1">
      <alignment horizontal="center"/>
    </xf>
    <xf numFmtId="0" fontId="93" fillId="40" borderId="85" xfId="0" applyFont="1" applyFill="1" applyBorder="1" applyAlignment="1">
      <alignment horizontal="center"/>
    </xf>
    <xf numFmtId="0" fontId="81" fillId="2" borderId="71" xfId="0" applyFont="1" applyFill="1" applyBorder="1" applyAlignment="1">
      <alignment horizontal="center"/>
    </xf>
    <xf numFmtId="0" fontId="89" fillId="39" borderId="34" xfId="0" applyFont="1" applyFill="1" applyBorder="1" applyAlignment="1">
      <alignment horizontal="center" vertical="center"/>
    </xf>
    <xf numFmtId="0" fontId="89" fillId="39" borderId="63" xfId="0" applyFont="1" applyFill="1" applyBorder="1" applyAlignment="1">
      <alignment horizontal="center" vertical="center"/>
    </xf>
    <xf numFmtId="0" fontId="89" fillId="39" borderId="35" xfId="0" applyFont="1" applyFill="1" applyBorder="1" applyAlignment="1">
      <alignment horizontal="center" vertical="center"/>
    </xf>
    <xf numFmtId="0" fontId="95" fillId="24" borderId="87" xfId="0" applyFont="1" applyFill="1" applyBorder="1" applyAlignment="1">
      <alignment horizontal="center" vertical="center"/>
    </xf>
    <xf numFmtId="0" fontId="95" fillId="24" borderId="80" xfId="0" applyFont="1" applyFill="1" applyBorder="1" applyAlignment="1">
      <alignment horizontal="center" vertical="center"/>
    </xf>
    <xf numFmtId="0" fontId="95" fillId="24" borderId="91" xfId="0" applyFont="1" applyFill="1" applyBorder="1" applyAlignment="1">
      <alignment horizontal="center" vertical="center"/>
    </xf>
    <xf numFmtId="0" fontId="98" fillId="31" borderId="87" xfId="0" applyFont="1" applyFill="1" applyBorder="1" applyAlignment="1">
      <alignment horizontal="center"/>
    </xf>
    <xf numFmtId="0" fontId="98" fillId="31" borderId="80" xfId="0" applyFont="1" applyFill="1" applyBorder="1" applyAlignment="1">
      <alignment horizontal="center"/>
    </xf>
    <xf numFmtId="0" fontId="98" fillId="31" borderId="91" xfId="0" applyFont="1" applyFill="1" applyBorder="1" applyAlignment="1">
      <alignment horizontal="center"/>
    </xf>
    <xf numFmtId="0" fontId="89" fillId="39" borderId="19" xfId="0" applyFont="1" applyFill="1" applyBorder="1" applyAlignment="1">
      <alignment horizontal="center"/>
    </xf>
    <xf numFmtId="0" fontId="89" fillId="39" borderId="59" xfId="0" applyFont="1" applyFill="1" applyBorder="1" applyAlignment="1">
      <alignment horizontal="center"/>
    </xf>
    <xf numFmtId="0" fontId="85" fillId="36" borderId="38" xfId="0" applyFont="1" applyFill="1" applyBorder="1" applyAlignment="1">
      <alignment horizontal="center"/>
    </xf>
    <xf numFmtId="0" fontId="85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18" fillId="45" borderId="40" xfId="0" applyFont="1" applyFill="1" applyBorder="1" applyAlignment="1">
      <alignment horizontal="center" vertical="center" wrapText="1"/>
    </xf>
    <xf numFmtId="0" fontId="118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104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105" fillId="0" borderId="86" xfId="0" applyFont="1" applyBorder="1" applyAlignment="1">
      <alignment horizontal="center"/>
    </xf>
    <xf numFmtId="0" fontId="66" fillId="0" borderId="38" xfId="0" applyFont="1" applyBorder="1" applyAlignment="1">
      <alignment horizontal="center"/>
    </xf>
    <xf numFmtId="0" fontId="66" fillId="0" borderId="62" xfId="0" applyFont="1" applyBorder="1" applyAlignment="1">
      <alignment horizontal="center"/>
    </xf>
    <xf numFmtId="0" fontId="105" fillId="0" borderId="71" xfId="0" applyFont="1" applyBorder="1" applyAlignment="1">
      <alignment horizontal="center"/>
    </xf>
    <xf numFmtId="0" fontId="131" fillId="2" borderId="0" xfId="3" applyFont="1" applyFill="1"/>
    <xf numFmtId="0" fontId="132" fillId="2" borderId="0" xfId="0" applyFont="1" applyFill="1"/>
    <xf numFmtId="0" fontId="117" fillId="41" borderId="0" xfId="0" applyFont="1" applyFill="1" applyAlignment="1">
      <alignment horizontal="center" vertical="center"/>
    </xf>
    <xf numFmtId="0" fontId="117" fillId="41" borderId="0" xfId="0" applyFont="1" applyFill="1" applyAlignment="1">
      <alignment horizontal="center" vertical="center" wrapText="1"/>
    </xf>
    <xf numFmtId="0" fontId="117" fillId="41" borderId="0" xfId="0" applyFont="1" applyFill="1" applyAlignment="1">
      <alignment vertical="center"/>
    </xf>
    <xf numFmtId="10" fontId="117" fillId="41" borderId="0" xfId="0" applyNumberFormat="1" applyFont="1" applyFill="1" applyAlignment="1">
      <alignment vertical="center"/>
    </xf>
    <xf numFmtId="0" fontId="133" fillId="2" borderId="0" xfId="3" applyFont="1" applyFill="1"/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8982870022319236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Outputs!$B$22:$B$26</c:f>
              <c:strCache>
                <c:ptCount val="5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Active Appreciation</c:v>
                </c:pt>
                <c:pt idx="4">
                  <c:v>Total ROI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Outputs!$B$22:$B$26</c:f>
              <c:strCache>
                <c:ptCount val="5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Active Appreciation</c:v>
                </c:pt>
                <c:pt idx="4">
                  <c:v>Total ROI</c:v>
                </c:pt>
              </c:strCache>
            </c:strRef>
          </c:cat>
          <c:val>
            <c:numRef>
              <c:f>Outputs!$C$22:$C$26</c:f>
              <c:numCache>
                <c:formatCode>0.00%</c:formatCode>
                <c:ptCount val="5"/>
                <c:pt idx="0">
                  <c:v>5.0035317040614861E-2</c:v>
                </c:pt>
                <c:pt idx="1">
                  <c:v>2.8463802683488103E-2</c:v>
                </c:pt>
                <c:pt idx="2">
                  <c:v>5.1079637798931973E-2</c:v>
                </c:pt>
                <c:pt idx="3">
                  <c:v>0</c:v>
                </c:pt>
                <c:pt idx="4">
                  <c:v>0.12957875752303494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24518.719631556651</c:v>
                </c:pt>
                <c:pt idx="1">
                  <c:v>26095.808170082695</c:v>
                </c:pt>
                <c:pt idx="2">
                  <c:v>27774.337905201628</c:v>
                </c:pt>
                <c:pt idx="3">
                  <c:v>29560.833718754107</c:v>
                </c:pt>
                <c:pt idx="4">
                  <c:v>31462.240184820937</c:v>
                </c:pt>
                <c:pt idx="5">
                  <c:v>33485.948565089449</c:v>
                </c:pt>
                <c:pt idx="6">
                  <c:v>35639.825540610887</c:v>
                </c:pt>
                <c:pt idx="7">
                  <c:v>37932.243791636713</c:v>
                </c:pt>
                <c:pt idx="8">
                  <c:v>40372.114544405245</c:v>
                </c:pt>
                <c:pt idx="9">
                  <c:v>42968.922211396806</c:v>
                </c:pt>
                <c:pt idx="10">
                  <c:v>45732.761259712948</c:v>
                </c:pt>
                <c:pt idx="11">
                  <c:v>48674.375450896681</c:v>
                </c:pt>
                <c:pt idx="12">
                  <c:v>51805.19960472911</c:v>
                </c:pt>
                <c:pt idx="13">
                  <c:v>55137.404049349432</c:v>
                </c:pt>
                <c:pt idx="14">
                  <c:v>58683.941930487068</c:v>
                </c:pt>
                <c:pt idx="15">
                  <c:v>62458.599563709657</c:v>
                </c:pt>
                <c:pt idx="16">
                  <c:v>66476.050025418823</c:v>
                </c:pt>
                <c:pt idx="17">
                  <c:v>70751.910190916256</c:v>
                </c:pt>
                <c:pt idx="18">
                  <c:v>75302.801441261472</c:v>
                </c:pt>
                <c:pt idx="19">
                  <c:v>80146.414274905037</c:v>
                </c:pt>
                <c:pt idx="20">
                  <c:v>85301.577075259192</c:v>
                </c:pt>
                <c:pt idx="21">
                  <c:v>90788.329301523234</c:v>
                </c:pt>
                <c:pt idx="22">
                  <c:v>96627.999387276039</c:v>
                </c:pt>
                <c:pt idx="23">
                  <c:v>102843.2876496469</c:v>
                </c:pt>
                <c:pt idx="24">
                  <c:v>109458.35453135177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88680.545687304766</c:v>
                </c:pt>
                <c:pt idx="1">
                  <c:v>87103.457148778718</c:v>
                </c:pt>
                <c:pt idx="2">
                  <c:v>85424.927413659781</c:v>
                </c:pt>
                <c:pt idx="3">
                  <c:v>83638.431600107302</c:v>
                </c:pt>
                <c:pt idx="4">
                  <c:v>81737.025134040465</c:v>
                </c:pt>
                <c:pt idx="5">
                  <c:v>79713.316753771971</c:v>
                </c:pt>
                <c:pt idx="6">
                  <c:v>77559.439778250526</c:v>
                </c:pt>
                <c:pt idx="7">
                  <c:v>75267.021527224671</c:v>
                </c:pt>
                <c:pt idx="8">
                  <c:v>72827.150774456168</c:v>
                </c:pt>
                <c:pt idx="9">
                  <c:v>70230.343107464592</c:v>
                </c:pt>
                <c:pt idx="10">
                  <c:v>67466.504059148458</c:v>
                </c:pt>
                <c:pt idx="11">
                  <c:v>64524.889867964732</c:v>
                </c:pt>
                <c:pt idx="12">
                  <c:v>61394.06571413231</c:v>
                </c:pt>
                <c:pt idx="13">
                  <c:v>58061.861269511981</c:v>
                </c:pt>
                <c:pt idx="14">
                  <c:v>54515.323388374338</c:v>
                </c:pt>
                <c:pt idx="15">
                  <c:v>50740.665755151764</c:v>
                </c:pt>
                <c:pt idx="16">
                  <c:v>46723.215293442583</c:v>
                </c:pt>
                <c:pt idx="17">
                  <c:v>42447.355127945157</c:v>
                </c:pt>
                <c:pt idx="18">
                  <c:v>37896.463877599948</c:v>
                </c:pt>
                <c:pt idx="19">
                  <c:v>33052.851043956376</c:v>
                </c:pt>
                <c:pt idx="20">
                  <c:v>27897.688243602232</c:v>
                </c:pt>
                <c:pt idx="21">
                  <c:v>22410.936017338165</c:v>
                </c:pt>
                <c:pt idx="22">
                  <c:v>16571.265931585353</c:v>
                </c:pt>
                <c:pt idx="23">
                  <c:v>10355.977669214513</c:v>
                </c:pt>
                <c:pt idx="24">
                  <c:v>3740.9107875064319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43100.422098785639</c:v>
                </c:pt>
                <c:pt idx="1">
                  <c:v>45219.418064365083</c:v>
                </c:pt>
                <c:pt idx="2">
                  <c:v>47342.024534619282</c:v>
                </c:pt>
                <c:pt idx="3">
                  <c:v>49466.82109717829</c:v>
                </c:pt>
                <c:pt idx="4">
                  <c:v>51592.301465459808</c:v>
                </c:pt>
                <c:pt idx="5">
                  <c:v>53716.869548745453</c:v>
                </c:pt>
                <c:pt idx="6">
                  <c:v>55838.835358479395</c:v>
                </c:pt>
                <c:pt idx="7">
                  <c:v>57956.410744234658</c:v>
                </c:pt>
                <c:pt idx="8">
                  <c:v>60067.704952535132</c:v>
                </c:pt>
                <c:pt idx="9">
                  <c:v>62170.720001452573</c:v>
                </c:pt>
                <c:pt idx="10">
                  <c:v>64263.345863622701</c:v>
                </c:pt>
                <c:pt idx="11">
                  <c:v>66343.355450033079</c:v>
                </c:pt>
                <c:pt idx="12">
                  <c:v>68408.399386638048</c:v>
                </c:pt>
                <c:pt idx="13">
                  <c:v>70456.000575542319</c:v>
                </c:pt>
                <c:pt idx="14">
                  <c:v>72483.548532174304</c:v>
                </c:pt>
                <c:pt idx="15">
                  <c:v>74488.293489530406</c:v>
                </c:pt>
                <c:pt idx="16">
                  <c:v>76467.340260226716</c:v>
                </c:pt>
                <c:pt idx="17">
                  <c:v>78417.641846726256</c:v>
                </c:pt>
                <c:pt idx="18">
                  <c:v>80335.992789740078</c:v>
                </c:pt>
                <c:pt idx="19">
                  <c:v>82219.022244402746</c:v>
                </c:pt>
                <c:pt idx="20">
                  <c:v>84063.186773419584</c:v>
                </c:pt>
                <c:pt idx="21">
                  <c:v>85864.76284596014</c:v>
                </c:pt>
                <c:pt idx="22">
                  <c:v>87619.839030633259</c:v>
                </c:pt>
                <c:pt idx="23">
                  <c:v>89324.307870422854</c:v>
                </c:pt>
                <c:pt idx="24">
                  <c:v>90973.857426990988</c:v>
                </c:pt>
                <c:pt idx="25">
                  <c:v>92563.962481262686</c:v>
                </c:pt>
                <c:pt idx="26">
                  <c:v>94089.875376694952</c:v>
                </c:pt>
                <c:pt idx="27">
                  <c:v>95546.616491103865</c:v>
                </c:pt>
                <c:pt idx="28">
                  <c:v>96928.964322370244</c:v>
                </c:pt>
                <c:pt idx="29">
                  <c:v>98231.445172771899</c:v>
                </c:pt>
                <c:pt idx="30">
                  <c:v>212647.58773495979</c:v>
                </c:pt>
                <c:pt idx="31">
                  <c:v>213772.85064994218</c:v>
                </c:pt>
                <c:pt idx="32">
                  <c:v>214800.20280289528</c:v>
                </c:pt>
                <c:pt idx="33">
                  <c:v>215723.04996179565</c:v>
                </c:pt>
                <c:pt idx="34">
                  <c:v>216534.48752333337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5.0035317040614861E-2</c:v>
                </c:pt>
                <c:pt idx="1">
                  <c:v>5.2495261277414773E-2</c:v>
                </c:pt>
                <c:pt idx="2">
                  <c:v>5.4959396952193269E-2</c:v>
                </c:pt>
                <c:pt idx="3">
                  <c:v>5.7426075107009859E-2</c:v>
                </c:pt>
                <c:pt idx="4">
                  <c:v>5.9893547092477142E-2</c:v>
                </c:pt>
                <c:pt idx="5">
                  <c:v>6.2359960005509002E-2</c:v>
                </c:pt>
                <c:pt idx="6">
                  <c:v>6.4823351936939166E-2</c:v>
                </c:pt>
                <c:pt idx="7">
                  <c:v>6.7281647021400812E-2</c:v>
                </c:pt>
                <c:pt idx="8">
                  <c:v>6.9732650281559241E-2</c:v>
                </c:pt>
                <c:pt idx="9">
                  <c:v>7.2174042258477566E-2</c:v>
                </c:pt>
                <c:pt idx="10">
                  <c:v>7.460337341957593E-2</c:v>
                </c:pt>
                <c:pt idx="11">
                  <c:v>7.7018058335306575E-2</c:v>
                </c:pt>
                <c:pt idx="12">
                  <c:v>7.9415369615321627E-2</c:v>
                </c:pt>
                <c:pt idx="13">
                  <c:v>8.1792431594546453E-2</c:v>
                </c:pt>
                <c:pt idx="14">
                  <c:v>8.4146213759199326E-2</c:v>
                </c:pt>
                <c:pt idx="15">
                  <c:v>8.6473523902403537E-2</c:v>
                </c:pt>
                <c:pt idx="16">
                  <c:v>8.8771000998637939E-2</c:v>
                </c:pt>
                <c:pt idx="17">
                  <c:v>9.1035107785844269E-2</c:v>
                </c:pt>
                <c:pt idx="18">
                  <c:v>9.3262123043580308E-2</c:v>
                </c:pt>
                <c:pt idx="19">
                  <c:v>9.5448133555145975E-2</c:v>
                </c:pt>
                <c:pt idx="20">
                  <c:v>9.7589025741141838E-2</c:v>
                </c:pt>
                <c:pt idx="21">
                  <c:v>9.9680476951428065E-2</c:v>
                </c:pt>
                <c:pt idx="22">
                  <c:v>0.10171794640194248</c:v>
                </c:pt>
                <c:pt idx="23">
                  <c:v>0.10369666574230654</c:v>
                </c:pt>
                <c:pt idx="24">
                  <c:v>0.10561162923959948</c:v>
                </c:pt>
                <c:pt idx="25">
                  <c:v>0.10745758356310969</c:v>
                </c:pt>
                <c:pt idx="26">
                  <c:v>0.10922901715427787</c:v>
                </c:pt>
                <c:pt idx="27">
                  <c:v>0.11092014916543286</c:v>
                </c:pt>
                <c:pt idx="28">
                  <c:v>0.1125249179502789</c:v>
                </c:pt>
                <c:pt idx="29">
                  <c:v>0.11403696908842802</c:v>
                </c:pt>
                <c:pt idx="30">
                  <c:v>0.24686276727996259</c:v>
                </c:pt>
                <c:pt idx="31">
                  <c:v>0.24816908596464149</c:v>
                </c:pt>
                <c:pt idx="32">
                  <c:v>0.24936173996156871</c:v>
                </c:pt>
                <c:pt idx="33">
                  <c:v>0.25043307402112336</c:v>
                </c:pt>
                <c:pt idx="34">
                  <c:v>0.25137507258339142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-47782.598523994398</c:v>
                </c:pt>
                <c:pt idx="1">
                  <c:v>-48182.239575641463</c:v>
                </c:pt>
                <c:pt idx="2">
                  <c:v>-48594.875198321482</c:v>
                </c:pt>
                <c:pt idx="3">
                  <c:v>-49020.790292205078</c:v>
                </c:pt>
                <c:pt idx="4">
                  <c:v>-49460.275580510119</c:v>
                </c:pt>
                <c:pt idx="5">
                  <c:v>-49913.627726587736</c:v>
                </c:pt>
                <c:pt idx="6">
                  <c:v>-50381.149453353384</c:v>
                </c:pt>
                <c:pt idx="7">
                  <c:v>-50863.149665109675</c:v>
                </c:pt>
                <c:pt idx="8">
                  <c:v>-51359.943571808719</c:v>
                </c:pt>
                <c:pt idx="9">
                  <c:v>-51871.852815802871</c:v>
                </c:pt>
                <c:pt idx="10">
                  <c:v>-52399.205601133879</c:v>
                </c:pt>
                <c:pt idx="11">
                  <c:v>-52942.336825410726</c:v>
                </c:pt>
                <c:pt idx="12">
                  <c:v>-53501.588214328593</c:v>
                </c:pt>
                <c:pt idx="13">
                  <c:v>-54077.30845888098</c:v>
                </c:pt>
                <c:pt idx="14">
                  <c:v>-54669.853355319938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43100.422098785639</c:v>
                </c:pt>
                <c:pt idx="1">
                  <c:v>45219.418064365083</c:v>
                </c:pt>
                <c:pt idx="2">
                  <c:v>47342.024534619282</c:v>
                </c:pt>
                <c:pt idx="3">
                  <c:v>49466.82109717829</c:v>
                </c:pt>
                <c:pt idx="4">
                  <c:v>51592.301465459808</c:v>
                </c:pt>
                <c:pt idx="5">
                  <c:v>53716.869548745453</c:v>
                </c:pt>
                <c:pt idx="6">
                  <c:v>55838.835358479395</c:v>
                </c:pt>
                <c:pt idx="7">
                  <c:v>57956.410744234658</c:v>
                </c:pt>
                <c:pt idx="8">
                  <c:v>60067.704952535132</c:v>
                </c:pt>
                <c:pt idx="9">
                  <c:v>62170.720001452573</c:v>
                </c:pt>
                <c:pt idx="10">
                  <c:v>64263.345863622701</c:v>
                </c:pt>
                <c:pt idx="11">
                  <c:v>66343.355450033079</c:v>
                </c:pt>
                <c:pt idx="12">
                  <c:v>68408.399386638048</c:v>
                </c:pt>
                <c:pt idx="13">
                  <c:v>70456.000575542319</c:v>
                </c:pt>
                <c:pt idx="14">
                  <c:v>72483.548532174304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-6.5330323385280831E-2</c:v>
                </c:pt>
                <c:pt idx="1">
                  <c:v>-6.5876728979548077E-2</c:v>
                </c:pt>
                <c:pt idx="2">
                  <c:v>-6.644090128291151E-2</c:v>
                </c:pt>
                <c:pt idx="3">
                  <c:v>-6.7023229822539068E-2</c:v>
                </c:pt>
                <c:pt idx="4">
                  <c:v>-6.7624112087107086E-2</c:v>
                </c:pt>
                <c:pt idx="5">
                  <c:v>-6.8243953686885059E-2</c:v>
                </c:pt>
                <c:pt idx="6">
                  <c:v>-6.8883168517026777E-2</c:v>
                </c:pt>
                <c:pt idx="7">
                  <c:v>-6.9542178924131351E-2</c:v>
                </c:pt>
                <c:pt idx="8">
                  <c:v>-7.0221415876139892E-2</c:v>
                </c:pt>
                <c:pt idx="9">
                  <c:v>-7.0921319135634223E-2</c:v>
                </c:pt>
                <c:pt idx="10">
                  <c:v>-7.1642337436606349E-2</c:v>
                </c:pt>
                <c:pt idx="11">
                  <c:v>-7.2384928664767201E-2</c:v>
                </c:pt>
                <c:pt idx="12">
                  <c:v>-7.3149560041466499E-2</c:v>
                </c:pt>
                <c:pt idx="13">
                  <c:v>-7.3936708311294744E-2</c:v>
                </c:pt>
                <c:pt idx="14">
                  <c:v>-7.4746859933442628E-2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5.0035317040614861E-2</c:v>
                </c:pt>
                <c:pt idx="1">
                  <c:v>5.2495261277414773E-2</c:v>
                </c:pt>
                <c:pt idx="2">
                  <c:v>5.4959396952193269E-2</c:v>
                </c:pt>
                <c:pt idx="3">
                  <c:v>5.7426075107009859E-2</c:v>
                </c:pt>
                <c:pt idx="4">
                  <c:v>5.9893547092477142E-2</c:v>
                </c:pt>
                <c:pt idx="5">
                  <c:v>6.2359960005509002E-2</c:v>
                </c:pt>
                <c:pt idx="6">
                  <c:v>6.4823351936939166E-2</c:v>
                </c:pt>
                <c:pt idx="7">
                  <c:v>6.7281647021400812E-2</c:v>
                </c:pt>
                <c:pt idx="8">
                  <c:v>6.9732650281559241E-2</c:v>
                </c:pt>
                <c:pt idx="9">
                  <c:v>7.2174042258477566E-2</c:v>
                </c:pt>
                <c:pt idx="10">
                  <c:v>7.460337341957593E-2</c:v>
                </c:pt>
                <c:pt idx="11">
                  <c:v>7.7018058335306575E-2</c:v>
                </c:pt>
                <c:pt idx="12">
                  <c:v>7.9415369615321627E-2</c:v>
                </c:pt>
                <c:pt idx="13">
                  <c:v>8.1792431594546453E-2</c:v>
                </c:pt>
                <c:pt idx="14">
                  <c:v>8.4146213759199326E-2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240971.03571197524</c:v>
                </c:pt>
                <c:pt idx="1">
                  <c:v>142123.39890579201</c:v>
                </c:pt>
                <c:pt idx="2">
                  <c:v>481787.7239884655</c:v>
                </c:pt>
                <c:pt idx="3">
                  <c:v>864882.15860623273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-243040.77917067255</c:v>
                </c:pt>
                <c:pt idx="1">
                  <c:v>179010.19130045222</c:v>
                </c:pt>
                <c:pt idx="2">
                  <c:v>481787.7239884655</c:v>
                </c:pt>
                <c:pt idx="3">
                  <c:v>417757.13611824519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0.27974348236820901</c:v>
                </c:pt>
                <c:pt idx="1">
                  <c:v>0.16499117588320411</c:v>
                </c:pt>
                <c:pt idx="2">
                  <c:v>0.55930778266596881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-0.33229529555738657</c:v>
                </c:pt>
                <c:pt idx="1">
                  <c:v>0.24475005646766779</c:v>
                </c:pt>
                <c:pt idx="2">
                  <c:v>0.65871988513599333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526471.52786585537</c:v>
                </c:pt>
                <c:pt idx="1">
                  <c:v>333514.1153019162</c:v>
                </c:pt>
                <c:pt idx="2">
                  <c:v>353189.81505532702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-497430.50240333489</c:v>
                </c:pt>
                <c:pt idx="1">
                  <c:v>382662.31683004339</c:v>
                </c:pt>
                <c:pt idx="2">
                  <c:v>353189.81505532702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0.61118124897359571</c:v>
                </c:pt>
                <c:pt idx="1">
                  <c:v>0.38717682296484351</c:v>
                </c:pt>
                <c:pt idx="2">
                  <c:v>0.41001835971131534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-0.68010733169720383</c:v>
                </c:pt>
                <c:pt idx="1">
                  <c:v>0.52319157346191325</c:v>
                </c:pt>
                <c:pt idx="2">
                  <c:v>0.48289556337889938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868426.17767386592</c:v>
                </c:pt>
                <c:pt idx="1">
                  <c:v>594902.13969237881</c:v>
                </c:pt>
                <c:pt idx="2">
                  <c:v>760910.34431308415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-765020.79485840909</c:v>
                </c:pt>
                <c:pt idx="1">
                  <c:v>617933.67133045115</c:v>
                </c:pt>
                <c:pt idx="2">
                  <c:v>760910.34431308415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1.0081566956975458</c:v>
                </c:pt>
                <c:pt idx="1">
                  <c:v>0.69062240502946226</c:v>
                </c:pt>
                <c:pt idx="2">
                  <c:v>0.883341472385749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-1.0459677260847813</c:v>
                </c:pt>
                <c:pt idx="1">
                  <c:v>0.8448641937796707</c:v>
                </c:pt>
                <c:pt idx="2">
                  <c:v>1.0403477499495271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33171.135354666185</c:v>
                </c:pt>
                <c:pt idx="1">
                  <c:v>34142.58172079613</c:v>
                </c:pt>
                <c:pt idx="2">
                  <c:v>35142.477762590694</c:v>
                </c:pt>
                <c:pt idx="3">
                  <c:v>36171.65665424621</c:v>
                </c:pt>
                <c:pt idx="4">
                  <c:v>37230.975970210609</c:v>
                </c:pt>
                <c:pt idx="5">
                  <c:v>38321.318399766431</c:v>
                </c:pt>
                <c:pt idx="6">
                  <c:v>39443.592482541389</c:v>
                </c:pt>
                <c:pt idx="7">
                  <c:v>40598.73336555867</c:v>
                </c:pt>
                <c:pt idx="8">
                  <c:v>41787.703582458496</c:v>
                </c:pt>
                <c:pt idx="9">
                  <c:v>43011.493855539527</c:v>
                </c:pt>
                <c:pt idx="10">
                  <c:v>44271.123921289036</c:v>
                </c:pt>
                <c:pt idx="11">
                  <c:v>45567.643380089379</c:v>
                </c:pt>
                <c:pt idx="12">
                  <c:v>46902.132570808804</c:v>
                </c:pt>
                <c:pt idx="13">
                  <c:v>48275.703471005545</c:v>
                </c:pt>
                <c:pt idx="14">
                  <c:v>49689.500623495194</c:v>
                </c:pt>
                <c:pt idx="15">
                  <c:v>51144.702090053237</c:v>
                </c:pt>
                <c:pt idx="16">
                  <c:v>52642.52043304799</c:v>
                </c:pt>
                <c:pt idx="17">
                  <c:v>54184.203725821135</c:v>
                </c:pt>
                <c:pt idx="18">
                  <c:v>55771.036592658449</c:v>
                </c:pt>
                <c:pt idx="19">
                  <c:v>57404.341279216824</c:v>
                </c:pt>
                <c:pt idx="20">
                  <c:v>59085.478754299773</c:v>
                </c:pt>
                <c:pt idx="21">
                  <c:v>60815.849843899443</c:v>
                </c:pt>
                <c:pt idx="22">
                  <c:v>62596.896398450073</c:v>
                </c:pt>
                <c:pt idx="23">
                  <c:v>64430.102494265317</c:v>
                </c:pt>
                <c:pt idx="24">
                  <c:v>66316.995670161064</c:v>
                </c:pt>
                <c:pt idx="25">
                  <c:v>68259.148200293581</c:v>
                </c:pt>
                <c:pt idx="26">
                  <c:v>70258.178404274004</c:v>
                </c:pt>
                <c:pt idx="27">
                  <c:v>72315.751995650644</c:v>
                </c:pt>
                <c:pt idx="28">
                  <c:v>74433.583469882855</c:v>
                </c:pt>
                <c:pt idx="29">
                  <c:v>76613.437532962911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44646.91058697526</c:v>
                </c:pt>
                <c:pt idx="1">
                  <c:v>43675.464220845322</c:v>
                </c:pt>
                <c:pt idx="2">
                  <c:v>42675.568179050766</c:v>
                </c:pt>
                <c:pt idx="3">
                  <c:v>41646.389287395235</c:v>
                </c:pt>
                <c:pt idx="4">
                  <c:v>40587.06997143085</c:v>
                </c:pt>
                <c:pt idx="5">
                  <c:v>39496.727541875007</c:v>
                </c:pt>
                <c:pt idx="6">
                  <c:v>38374.453459100063</c:v>
                </c:pt>
                <c:pt idx="7">
                  <c:v>37219.312576082768</c:v>
                </c:pt>
                <c:pt idx="8">
                  <c:v>36030.342359182949</c:v>
                </c:pt>
                <c:pt idx="9">
                  <c:v>34806.552086101932</c:v>
                </c:pt>
                <c:pt idx="10">
                  <c:v>33546.922020352416</c:v>
                </c:pt>
                <c:pt idx="11">
                  <c:v>32250.402561552073</c:v>
                </c:pt>
                <c:pt idx="12">
                  <c:v>30915.913370832648</c:v>
                </c:pt>
                <c:pt idx="13">
                  <c:v>29542.342470635893</c:v>
                </c:pt>
                <c:pt idx="14">
                  <c:v>28128.545318146269</c:v>
                </c:pt>
                <c:pt idx="15">
                  <c:v>26673.343851588219</c:v>
                </c:pt>
                <c:pt idx="16">
                  <c:v>25175.525508593473</c:v>
                </c:pt>
                <c:pt idx="17">
                  <c:v>23633.842215820321</c:v>
                </c:pt>
                <c:pt idx="18">
                  <c:v>22047.009348983003</c:v>
                </c:pt>
                <c:pt idx="19">
                  <c:v>20413.704662424643</c:v>
                </c:pt>
                <c:pt idx="20">
                  <c:v>18732.56718734169</c:v>
                </c:pt>
                <c:pt idx="21">
                  <c:v>17002.196097742002</c:v>
                </c:pt>
                <c:pt idx="22">
                  <c:v>15221.149543191388</c:v>
                </c:pt>
                <c:pt idx="23">
                  <c:v>13387.943447376138</c:v>
                </c:pt>
                <c:pt idx="24">
                  <c:v>11501.050271480386</c:v>
                </c:pt>
                <c:pt idx="25">
                  <c:v>9558.8977413478715</c:v>
                </c:pt>
                <c:pt idx="26">
                  <c:v>7559.8675373674514</c:v>
                </c:pt>
                <c:pt idx="27">
                  <c:v>5502.2939459908093</c:v>
                </c:pt>
                <c:pt idx="28">
                  <c:v>3384.4624717585962</c:v>
                </c:pt>
                <c:pt idx="29">
                  <c:v>1204.6084086785424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4.5352933216661451E-2</c:v>
                </c:pt>
                <c:pt idx="1">
                  <c:v>4.668113442821456E-2</c:v>
                </c:pt>
                <c:pt idx="2">
                  <c:v>4.8048233200151343E-2</c:v>
                </c:pt>
                <c:pt idx="3">
                  <c:v>4.945536868231639E-2</c:v>
                </c:pt>
                <c:pt idx="4">
                  <c:v>5.0903713385576442E-2</c:v>
                </c:pt>
                <c:pt idx="5">
                  <c:v>5.2394474158827496E-2</c:v>
                </c:pt>
                <c:pt idx="6">
                  <c:v>5.3928893194614969E-2</c:v>
                </c:pt>
                <c:pt idx="7">
                  <c:v>5.5508249064203811E-2</c:v>
                </c:pt>
                <c:pt idx="8">
                  <c:v>5.7133857782962122E-2</c:v>
                </c:pt>
                <c:pt idx="9">
                  <c:v>5.8807073906944937E-2</c:v>
                </c:pt>
                <c:pt idx="10">
                  <c:v>6.0529291661592884E-2</c:v>
                </c:pt>
                <c:pt idx="11">
                  <c:v>6.2301946103485613E-2</c:v>
                </c:pt>
                <c:pt idx="12">
                  <c:v>6.4126514316118141E-2</c:v>
                </c:pt>
                <c:pt idx="13">
                  <c:v>6.6004516640696675E-2</c:v>
                </c:pt>
                <c:pt idx="14">
                  <c:v>6.7937517942979489E-2</c:v>
                </c:pt>
                <c:pt idx="15">
                  <c:v>6.9927128917217987E-2</c:v>
                </c:pt>
                <c:pt idx="16">
                  <c:v>7.197500742828547E-2</c:v>
                </c:pt>
                <c:pt idx="17">
                  <c:v>7.4082859893110656E-2</c:v>
                </c:pt>
                <c:pt idx="18">
                  <c:v>7.6252442702568299E-2</c:v>
                </c:pt>
                <c:pt idx="19">
                  <c:v>7.8485563685010695E-2</c:v>
                </c:pt>
                <c:pt idx="20">
                  <c:v>8.0784083612660346E-2</c:v>
                </c:pt>
                <c:pt idx="21">
                  <c:v>8.3149917752118468E-2</c:v>
                </c:pt>
                <c:pt idx="22">
                  <c:v>8.5585037460281746E-2</c:v>
                </c:pt>
                <c:pt idx="23">
                  <c:v>8.8091471826996601E-2</c:v>
                </c:pt>
                <c:pt idx="24">
                  <c:v>9.0671309365820435E-2</c:v>
                </c:pt>
                <c:pt idx="25">
                  <c:v>9.3326699754298026E-2</c:v>
                </c:pt>
                <c:pt idx="26">
                  <c:v>9.6059855625203722E-2</c:v>
                </c:pt>
                <c:pt idx="27">
                  <c:v>9.8873054410241509E-2</c:v>
                </c:pt>
                <c:pt idx="28">
                  <c:v>0.10176864023773975</c:v>
                </c:pt>
                <c:pt idx="29">
                  <c:v>0.1047490258859214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24518.719631556651</c:v>
                </c:pt>
                <c:pt idx="1">
                  <c:v>26095.808170082695</c:v>
                </c:pt>
                <c:pt idx="2">
                  <c:v>27774.337905201628</c:v>
                </c:pt>
                <c:pt idx="3">
                  <c:v>29560.833718754107</c:v>
                </c:pt>
                <c:pt idx="4">
                  <c:v>31462.240184820937</c:v>
                </c:pt>
                <c:pt idx="5">
                  <c:v>33485.948565089449</c:v>
                </c:pt>
                <c:pt idx="6">
                  <c:v>35639.825540610887</c:v>
                </c:pt>
                <c:pt idx="7">
                  <c:v>37932.243791636713</c:v>
                </c:pt>
                <c:pt idx="8">
                  <c:v>40372.114544405245</c:v>
                </c:pt>
                <c:pt idx="9">
                  <c:v>42968.922211396806</c:v>
                </c:pt>
                <c:pt idx="10">
                  <c:v>45732.761259712948</c:v>
                </c:pt>
                <c:pt idx="11">
                  <c:v>48674.375450896681</c:v>
                </c:pt>
                <c:pt idx="12">
                  <c:v>51805.19960472911</c:v>
                </c:pt>
                <c:pt idx="13">
                  <c:v>55137.404049349432</c:v>
                </c:pt>
                <c:pt idx="14">
                  <c:v>58683.941930487068</c:v>
                </c:pt>
                <c:pt idx="15">
                  <c:v>62458.599563709657</c:v>
                </c:pt>
                <c:pt idx="16">
                  <c:v>66476.050025418823</c:v>
                </c:pt>
                <c:pt idx="17">
                  <c:v>70751.910190916256</c:v>
                </c:pt>
                <c:pt idx="18">
                  <c:v>75302.801441261472</c:v>
                </c:pt>
                <c:pt idx="19">
                  <c:v>80146.414274905037</c:v>
                </c:pt>
                <c:pt idx="20">
                  <c:v>85301.577075259192</c:v>
                </c:pt>
                <c:pt idx="21">
                  <c:v>90788.329301523234</c:v>
                </c:pt>
                <c:pt idx="22">
                  <c:v>96627.999387276039</c:v>
                </c:pt>
                <c:pt idx="23">
                  <c:v>102843.2876496469</c:v>
                </c:pt>
                <c:pt idx="24">
                  <c:v>109458.35453135177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88680.545687304766</c:v>
                </c:pt>
                <c:pt idx="1">
                  <c:v>87103.457148778718</c:v>
                </c:pt>
                <c:pt idx="2">
                  <c:v>85424.927413659781</c:v>
                </c:pt>
                <c:pt idx="3">
                  <c:v>83638.431600107302</c:v>
                </c:pt>
                <c:pt idx="4">
                  <c:v>81737.025134040465</c:v>
                </c:pt>
                <c:pt idx="5">
                  <c:v>79713.316753771971</c:v>
                </c:pt>
                <c:pt idx="6">
                  <c:v>77559.439778250526</c:v>
                </c:pt>
                <c:pt idx="7">
                  <c:v>75267.021527224671</c:v>
                </c:pt>
                <c:pt idx="8">
                  <c:v>72827.150774456168</c:v>
                </c:pt>
                <c:pt idx="9">
                  <c:v>70230.343107464592</c:v>
                </c:pt>
                <c:pt idx="10">
                  <c:v>67466.504059148458</c:v>
                </c:pt>
                <c:pt idx="11">
                  <c:v>64524.889867964732</c:v>
                </c:pt>
                <c:pt idx="12">
                  <c:v>61394.06571413231</c:v>
                </c:pt>
                <c:pt idx="13">
                  <c:v>58061.861269511981</c:v>
                </c:pt>
                <c:pt idx="14">
                  <c:v>54515.323388374338</c:v>
                </c:pt>
                <c:pt idx="15">
                  <c:v>50740.665755151764</c:v>
                </c:pt>
                <c:pt idx="16">
                  <c:v>46723.215293442583</c:v>
                </c:pt>
                <c:pt idx="17">
                  <c:v>42447.355127945157</c:v>
                </c:pt>
                <c:pt idx="18">
                  <c:v>37896.463877599948</c:v>
                </c:pt>
                <c:pt idx="19">
                  <c:v>33052.851043956376</c:v>
                </c:pt>
                <c:pt idx="20">
                  <c:v>27897.688243602232</c:v>
                </c:pt>
                <c:pt idx="21">
                  <c:v>22410.936017338165</c:v>
                </c:pt>
                <c:pt idx="22">
                  <c:v>16571.265931585353</c:v>
                </c:pt>
                <c:pt idx="23">
                  <c:v>10355.977669214513</c:v>
                </c:pt>
                <c:pt idx="24">
                  <c:v>3740.9107875064319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2.8463802683488103E-2</c:v>
                </c:pt>
                <c:pt idx="1">
                  <c:v>3.0294646122687133E-2</c:v>
                </c:pt>
                <c:pt idx="2">
                  <c:v>3.2243252734155591E-2</c:v>
                </c:pt>
                <c:pt idx="3">
                  <c:v>3.4317197258827613E-2</c:v>
                </c:pt>
                <c:pt idx="4">
                  <c:v>3.6524541658719455E-2</c:v>
                </c:pt>
                <c:pt idx="5">
                  <c:v>3.8873866455873519E-2</c:v>
                </c:pt>
                <c:pt idx="6">
                  <c:v>4.1374304087080205E-2</c:v>
                </c:pt>
                <c:pt idx="7">
                  <c:v>4.4035574404036118E-2</c:v>
                </c:pt>
                <c:pt idx="8">
                  <c:v>4.6868022456936664E-2</c:v>
                </c:pt>
                <c:pt idx="9">
                  <c:v>4.9882658708377998E-2</c:v>
                </c:pt>
                <c:pt idx="10">
                  <c:v>5.3091201833890121E-2</c:v>
                </c:pt>
                <c:pt idx="11">
                  <c:v>5.6506124275477923E-2</c:v>
                </c:pt>
                <c:pt idx="12">
                  <c:v>6.0140700725248561E-2</c:v>
                </c:pt>
                <c:pt idx="13">
                  <c:v>6.400905972759395E-2</c:v>
                </c:pt>
                <c:pt idx="14">
                  <c:v>6.8126238600519001E-2</c:v>
                </c:pt>
                <c:pt idx="15">
                  <c:v>7.250824188960954E-2</c:v>
                </c:pt>
                <c:pt idx="16">
                  <c:v>7.7172103581865367E-2</c:v>
                </c:pt>
                <c:pt idx="17">
                  <c:v>8.2135953321240143E-2</c:v>
                </c:pt>
                <c:pt idx="18">
                  <c:v>8.741908688328473E-2</c:v>
                </c:pt>
                <c:pt idx="19">
                  <c:v>9.3042041182847729E-2</c:v>
                </c:pt>
                <c:pt idx="20">
                  <c:v>9.9026674106407239E-2</c:v>
                </c:pt>
                <c:pt idx="21">
                  <c:v>0.10539624947936294</c:v>
                </c:pt>
                <c:pt idx="22">
                  <c:v>0.11217552749857911</c:v>
                </c:pt>
                <c:pt idx="23">
                  <c:v>0.11939086098171221</c:v>
                </c:pt>
                <c:pt idx="24">
                  <c:v>0.12707029780746665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43100.422098785639</c:v>
                </c:pt>
                <c:pt idx="1">
                  <c:v>45219.418064365083</c:v>
                </c:pt>
                <c:pt idx="2">
                  <c:v>47342.024534619282</c:v>
                </c:pt>
                <c:pt idx="3">
                  <c:v>49466.82109717829</c:v>
                </c:pt>
                <c:pt idx="4">
                  <c:v>51592.301465459808</c:v>
                </c:pt>
                <c:pt idx="5">
                  <c:v>53716.869548745453</c:v>
                </c:pt>
                <c:pt idx="6">
                  <c:v>55838.835358479395</c:v>
                </c:pt>
                <c:pt idx="7">
                  <c:v>57956.410744234658</c:v>
                </c:pt>
                <c:pt idx="8">
                  <c:v>60067.704952535132</c:v>
                </c:pt>
                <c:pt idx="9">
                  <c:v>62170.720001452573</c:v>
                </c:pt>
                <c:pt idx="10">
                  <c:v>64263.345863622701</c:v>
                </c:pt>
                <c:pt idx="11">
                  <c:v>66343.355450033079</c:v>
                </c:pt>
                <c:pt idx="12">
                  <c:v>68408.399386638048</c:v>
                </c:pt>
                <c:pt idx="13">
                  <c:v>70456.000575542319</c:v>
                </c:pt>
                <c:pt idx="14">
                  <c:v>72483.548532174304</c:v>
                </c:pt>
                <c:pt idx="15">
                  <c:v>74488.293489530406</c:v>
                </c:pt>
                <c:pt idx="16">
                  <c:v>76467.340260226716</c:v>
                </c:pt>
                <c:pt idx="17">
                  <c:v>78417.641846726256</c:v>
                </c:pt>
                <c:pt idx="18">
                  <c:v>80335.992789740078</c:v>
                </c:pt>
                <c:pt idx="19">
                  <c:v>82219.022244402746</c:v>
                </c:pt>
                <c:pt idx="20">
                  <c:v>84063.186773419584</c:v>
                </c:pt>
                <c:pt idx="21">
                  <c:v>85864.76284596014</c:v>
                </c:pt>
                <c:pt idx="22">
                  <c:v>87619.839030633259</c:v>
                </c:pt>
                <c:pt idx="23">
                  <c:v>89324.307870422854</c:v>
                </c:pt>
                <c:pt idx="24">
                  <c:v>90973.857426990988</c:v>
                </c:pt>
                <c:pt idx="25">
                  <c:v>92563.962481262686</c:v>
                </c:pt>
                <c:pt idx="26">
                  <c:v>94089.875376694952</c:v>
                </c:pt>
                <c:pt idx="27">
                  <c:v>95546.616491103865</c:v>
                </c:pt>
                <c:pt idx="28">
                  <c:v>96928.964322370244</c:v>
                </c:pt>
                <c:pt idx="29">
                  <c:v>98231.445172771899</c:v>
                </c:pt>
                <c:pt idx="30">
                  <c:v>212647.58773495979</c:v>
                </c:pt>
                <c:pt idx="31">
                  <c:v>213772.85064994218</c:v>
                </c:pt>
                <c:pt idx="32">
                  <c:v>214800.20280289528</c:v>
                </c:pt>
                <c:pt idx="33">
                  <c:v>215723.04996179565</c:v>
                </c:pt>
                <c:pt idx="34">
                  <c:v>216534.48752333337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5.0035317040614861E-2</c:v>
                </c:pt>
                <c:pt idx="1">
                  <c:v>5.2495261277414773E-2</c:v>
                </c:pt>
                <c:pt idx="2">
                  <c:v>5.4959396952193269E-2</c:v>
                </c:pt>
                <c:pt idx="3">
                  <c:v>5.7426075107009859E-2</c:v>
                </c:pt>
                <c:pt idx="4">
                  <c:v>5.9893547092477142E-2</c:v>
                </c:pt>
                <c:pt idx="5">
                  <c:v>6.2359960005509002E-2</c:v>
                </c:pt>
                <c:pt idx="6">
                  <c:v>6.4823351936939166E-2</c:v>
                </c:pt>
                <c:pt idx="7">
                  <c:v>6.7281647021400812E-2</c:v>
                </c:pt>
                <c:pt idx="8">
                  <c:v>6.9732650281559241E-2</c:v>
                </c:pt>
                <c:pt idx="9">
                  <c:v>7.2174042258477566E-2</c:v>
                </c:pt>
                <c:pt idx="10">
                  <c:v>7.460337341957593E-2</c:v>
                </c:pt>
                <c:pt idx="11">
                  <c:v>7.7018058335306575E-2</c:v>
                </c:pt>
                <c:pt idx="12">
                  <c:v>7.9415369615321627E-2</c:v>
                </c:pt>
                <c:pt idx="13">
                  <c:v>8.1792431594546453E-2</c:v>
                </c:pt>
                <c:pt idx="14">
                  <c:v>8.4146213759199326E-2</c:v>
                </c:pt>
                <c:pt idx="15">
                  <c:v>8.6473523902403537E-2</c:v>
                </c:pt>
                <c:pt idx="16">
                  <c:v>8.8771000998637939E-2</c:v>
                </c:pt>
                <c:pt idx="17">
                  <c:v>9.1035107785844269E-2</c:v>
                </c:pt>
                <c:pt idx="18">
                  <c:v>9.3262123043580308E-2</c:v>
                </c:pt>
                <c:pt idx="19">
                  <c:v>9.5448133555145975E-2</c:v>
                </c:pt>
                <c:pt idx="20">
                  <c:v>9.7589025741141838E-2</c:v>
                </c:pt>
                <c:pt idx="21">
                  <c:v>9.9680476951428065E-2</c:v>
                </c:pt>
                <c:pt idx="22">
                  <c:v>0.10171794640194248</c:v>
                </c:pt>
                <c:pt idx="23">
                  <c:v>0.10369666574230654</c:v>
                </c:pt>
                <c:pt idx="24">
                  <c:v>0.10561162923959948</c:v>
                </c:pt>
                <c:pt idx="25">
                  <c:v>0.10745758356310969</c:v>
                </c:pt>
                <c:pt idx="26">
                  <c:v>0.10922901715427787</c:v>
                </c:pt>
                <c:pt idx="27">
                  <c:v>0.11092014916543286</c:v>
                </c:pt>
                <c:pt idx="28">
                  <c:v>0.1125249179502789</c:v>
                </c:pt>
                <c:pt idx="29">
                  <c:v>0.11403696908842802</c:v>
                </c:pt>
                <c:pt idx="30">
                  <c:v>0.24686276727996259</c:v>
                </c:pt>
                <c:pt idx="31">
                  <c:v>0.24816908596464149</c:v>
                </c:pt>
                <c:pt idx="32">
                  <c:v>0.24936173996156871</c:v>
                </c:pt>
                <c:pt idx="33">
                  <c:v>0.25043307402112336</c:v>
                </c:pt>
                <c:pt idx="34">
                  <c:v>0.25137507258339142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-47782.598523994398</c:v>
                </c:pt>
                <c:pt idx="1">
                  <c:v>-48182.239575641463</c:v>
                </c:pt>
                <c:pt idx="2">
                  <c:v>-48594.875198321482</c:v>
                </c:pt>
                <c:pt idx="3">
                  <c:v>-49020.790292205078</c:v>
                </c:pt>
                <c:pt idx="4">
                  <c:v>-49460.275580510119</c:v>
                </c:pt>
                <c:pt idx="5">
                  <c:v>-49913.627726587736</c:v>
                </c:pt>
                <c:pt idx="6">
                  <c:v>-50381.149453353384</c:v>
                </c:pt>
                <c:pt idx="7">
                  <c:v>-50863.149665109675</c:v>
                </c:pt>
                <c:pt idx="8">
                  <c:v>-51359.943571808719</c:v>
                </c:pt>
                <c:pt idx="9">
                  <c:v>-51871.852815802871</c:v>
                </c:pt>
                <c:pt idx="10">
                  <c:v>-52399.205601133879</c:v>
                </c:pt>
                <c:pt idx="11">
                  <c:v>-52942.336825410726</c:v>
                </c:pt>
                <c:pt idx="12">
                  <c:v>-53501.588214328593</c:v>
                </c:pt>
                <c:pt idx="13">
                  <c:v>-54077.30845888098</c:v>
                </c:pt>
                <c:pt idx="14">
                  <c:v>-54669.853355319938</c:v>
                </c:pt>
                <c:pt idx="15">
                  <c:v>-55279.585947918116</c:v>
                </c:pt>
                <c:pt idx="16">
                  <c:v>-55906.876674589905</c:v>
                </c:pt>
                <c:pt idx="17">
                  <c:v>-56552.103515427851</c:v>
                </c:pt>
                <c:pt idx="18">
                  <c:v>-57215.652144213454</c:v>
                </c:pt>
                <c:pt idx="19">
                  <c:v>-57897.916082961317</c:v>
                </c:pt>
                <c:pt idx="20">
                  <c:v>-58599.296859557617</c:v>
                </c:pt>
                <c:pt idx="21">
                  <c:v>-59320.204168554694</c:v>
                </c:pt>
                <c:pt idx="22">
                  <c:v>-60061.056035184905</c:v>
                </c:pt>
                <c:pt idx="23">
                  <c:v>-60822.278982658179</c:v>
                </c:pt>
                <c:pt idx="24">
                  <c:v>-61604.308202808927</c:v>
                </c:pt>
                <c:pt idx="25">
                  <c:v>-62407.587730159343</c:v>
                </c:pt>
                <c:pt idx="26">
                  <c:v>-63232.570619467413</c:v>
                </c:pt>
                <c:pt idx="27">
                  <c:v>-64079.719126829317</c:v>
                </c:pt>
                <c:pt idx="28">
                  <c:v>-64949.504894407517</c:v>
                </c:pt>
                <c:pt idx="29">
                  <c:v>-65842.40913885663</c:v>
                </c:pt>
                <c:pt idx="30">
                  <c:v>11059.123098119773</c:v>
                </c:pt>
                <c:pt idx="31">
                  <c:v>10118.4989871578</c:v>
                </c:pt>
                <c:pt idx="32">
                  <c:v>9153.2533611119579</c:v>
                </c:pt>
                <c:pt idx="33">
                  <c:v>8162.8647445162496</c:v>
                </c:pt>
                <c:pt idx="34">
                  <c:v>7146.8010871695733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-6.5330323385280831E-2</c:v>
                </c:pt>
                <c:pt idx="1">
                  <c:v>-6.5876728979548077E-2</c:v>
                </c:pt>
                <c:pt idx="2">
                  <c:v>-6.644090128291151E-2</c:v>
                </c:pt>
                <c:pt idx="3">
                  <c:v>-6.7023229822539068E-2</c:v>
                </c:pt>
                <c:pt idx="4">
                  <c:v>-6.7624112087107086E-2</c:v>
                </c:pt>
                <c:pt idx="5">
                  <c:v>-6.8243953686885059E-2</c:v>
                </c:pt>
                <c:pt idx="6">
                  <c:v>-6.8883168517026777E-2</c:v>
                </c:pt>
                <c:pt idx="7">
                  <c:v>-6.9542178924131351E-2</c:v>
                </c:pt>
                <c:pt idx="8">
                  <c:v>-7.0221415876139892E-2</c:v>
                </c:pt>
                <c:pt idx="9">
                  <c:v>-7.0921319135634223E-2</c:v>
                </c:pt>
                <c:pt idx="10">
                  <c:v>-7.1642337436606349E-2</c:v>
                </c:pt>
                <c:pt idx="11">
                  <c:v>-7.2384928664767201E-2</c:v>
                </c:pt>
                <c:pt idx="12">
                  <c:v>-7.3149560041466499E-2</c:v>
                </c:pt>
                <c:pt idx="13">
                  <c:v>-7.3936708311294744E-2</c:v>
                </c:pt>
                <c:pt idx="14">
                  <c:v>-7.4746859933442628E-2</c:v>
                </c:pt>
                <c:pt idx="15">
                  <c:v>-7.5580511276891055E-2</c:v>
                </c:pt>
                <c:pt idx="16">
                  <c:v>-7.6438168819510391E-2</c:v>
                </c:pt>
                <c:pt idx="17">
                  <c:v>-7.732034935114554E-2</c:v>
                </c:pt>
                <c:pt idx="18">
                  <c:v>-7.8227580180767642E-2</c:v>
                </c:pt>
                <c:pt idx="19">
                  <c:v>-7.9160399347773205E-2</c:v>
                </c:pt>
                <c:pt idx="20">
                  <c:v>-8.0119355837513825E-2</c:v>
                </c:pt>
                <c:pt idx="21">
                  <c:v>-8.1105009801141228E-2</c:v>
                </c:pt>
                <c:pt idx="22">
                  <c:v>-8.2117932779853575E-2</c:v>
                </c:pt>
                <c:pt idx="23">
                  <c:v>-8.3158707933631643E-2</c:v>
                </c:pt>
                <c:pt idx="24">
                  <c:v>-8.4227930274554177E-2</c:v>
                </c:pt>
                <c:pt idx="25">
                  <c:v>-8.5326206904784443E-2</c:v>
                </c:pt>
                <c:pt idx="26">
                  <c:v>-8.6454157259321041E-2</c:v>
                </c:pt>
                <c:pt idx="27">
                  <c:v>-8.7612413353608587E-2</c:v>
                </c:pt>
                <c:pt idx="28">
                  <c:v>-8.8801620036105436E-2</c:v>
                </c:pt>
                <c:pt idx="29">
                  <c:v>-9.0022435245907348E-2</c:v>
                </c:pt>
                <c:pt idx="30">
                  <c:v>1.5120485504675653E-2</c:v>
                </c:pt>
                <c:pt idx="31">
                  <c:v>1.3834425741260323E-2</c:v>
                </c:pt>
                <c:pt idx="32">
                  <c:v>1.251470243520913E-2</c:v>
                </c:pt>
                <c:pt idx="33">
                  <c:v>1.1160602603932526E-2</c:v>
                </c:pt>
                <c:pt idx="34">
                  <c:v>9.7713988066305355E-3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43100.422098785639</c:v>
                </c:pt>
                <c:pt idx="1">
                  <c:v>45219.418064365083</c:v>
                </c:pt>
                <c:pt idx="2">
                  <c:v>47342.024534619282</c:v>
                </c:pt>
                <c:pt idx="3">
                  <c:v>49466.82109717829</c:v>
                </c:pt>
                <c:pt idx="4">
                  <c:v>51592.301465459808</c:v>
                </c:pt>
                <c:pt idx="5">
                  <c:v>53716.869548745453</c:v>
                </c:pt>
                <c:pt idx="6">
                  <c:v>55838.835358479395</c:v>
                </c:pt>
                <c:pt idx="7">
                  <c:v>57956.410744234658</c:v>
                </c:pt>
                <c:pt idx="8">
                  <c:v>60067.704952535132</c:v>
                </c:pt>
                <c:pt idx="9">
                  <c:v>62170.720001452573</c:v>
                </c:pt>
                <c:pt idx="10">
                  <c:v>64263.345863622701</c:v>
                </c:pt>
                <c:pt idx="11">
                  <c:v>66343.355450033079</c:v>
                </c:pt>
                <c:pt idx="12">
                  <c:v>68408.399386638048</c:v>
                </c:pt>
                <c:pt idx="13">
                  <c:v>70456.000575542319</c:v>
                </c:pt>
                <c:pt idx="14">
                  <c:v>72483.548532174304</c:v>
                </c:pt>
                <c:pt idx="15">
                  <c:v>74488.293489530406</c:v>
                </c:pt>
                <c:pt idx="16">
                  <c:v>76467.340260226716</c:v>
                </c:pt>
                <c:pt idx="17">
                  <c:v>78417.641846726256</c:v>
                </c:pt>
                <c:pt idx="18">
                  <c:v>80335.992789740078</c:v>
                </c:pt>
                <c:pt idx="19">
                  <c:v>82219.022244402746</c:v>
                </c:pt>
                <c:pt idx="20">
                  <c:v>84063.186773419584</c:v>
                </c:pt>
                <c:pt idx="21">
                  <c:v>85864.76284596014</c:v>
                </c:pt>
                <c:pt idx="22">
                  <c:v>87619.839030633259</c:v>
                </c:pt>
                <c:pt idx="23">
                  <c:v>89324.307870422854</c:v>
                </c:pt>
                <c:pt idx="24">
                  <c:v>90973.857426990988</c:v>
                </c:pt>
                <c:pt idx="25">
                  <c:v>92563.962481262686</c:v>
                </c:pt>
                <c:pt idx="26">
                  <c:v>94089.875376694952</c:v>
                </c:pt>
                <c:pt idx="27">
                  <c:v>95546.616491103865</c:v>
                </c:pt>
                <c:pt idx="28">
                  <c:v>96928.964322370244</c:v>
                </c:pt>
                <c:pt idx="29">
                  <c:v>98231.445172771899</c:v>
                </c:pt>
                <c:pt idx="30">
                  <c:v>212647.58773495979</c:v>
                </c:pt>
                <c:pt idx="31">
                  <c:v>213772.85064994218</c:v>
                </c:pt>
                <c:pt idx="32">
                  <c:v>214800.20280289528</c:v>
                </c:pt>
                <c:pt idx="33">
                  <c:v>215723.04996179565</c:v>
                </c:pt>
                <c:pt idx="34">
                  <c:v>216534.48752333337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-47782.598523994398</c:v>
                </c:pt>
                <c:pt idx="1">
                  <c:v>-48182.239575641463</c:v>
                </c:pt>
                <c:pt idx="2">
                  <c:v>-48594.875198321482</c:v>
                </c:pt>
                <c:pt idx="3">
                  <c:v>-49020.790292205078</c:v>
                </c:pt>
                <c:pt idx="4">
                  <c:v>-49460.275580510119</c:v>
                </c:pt>
                <c:pt idx="5">
                  <c:v>-49913.627726587736</c:v>
                </c:pt>
                <c:pt idx="6">
                  <c:v>-50381.149453353384</c:v>
                </c:pt>
                <c:pt idx="7">
                  <c:v>-50863.149665109675</c:v>
                </c:pt>
                <c:pt idx="8">
                  <c:v>-51359.943571808719</c:v>
                </c:pt>
                <c:pt idx="9">
                  <c:v>-51871.852815802871</c:v>
                </c:pt>
                <c:pt idx="10">
                  <c:v>-52399.205601133879</c:v>
                </c:pt>
                <c:pt idx="11">
                  <c:v>-52942.336825410726</c:v>
                </c:pt>
                <c:pt idx="12">
                  <c:v>-53501.588214328593</c:v>
                </c:pt>
                <c:pt idx="13">
                  <c:v>-54077.30845888098</c:v>
                </c:pt>
                <c:pt idx="14">
                  <c:v>-54669.853355319938</c:v>
                </c:pt>
                <c:pt idx="15">
                  <c:v>-55279.585947918116</c:v>
                </c:pt>
                <c:pt idx="16">
                  <c:v>-55906.876674589905</c:v>
                </c:pt>
                <c:pt idx="17">
                  <c:v>-56552.103515427851</c:v>
                </c:pt>
                <c:pt idx="18">
                  <c:v>-57215.652144213454</c:v>
                </c:pt>
                <c:pt idx="19">
                  <c:v>-57897.916082961317</c:v>
                </c:pt>
                <c:pt idx="20">
                  <c:v>-58599.296859557617</c:v>
                </c:pt>
                <c:pt idx="21">
                  <c:v>-59320.204168554694</c:v>
                </c:pt>
                <c:pt idx="22">
                  <c:v>-60061.056035184905</c:v>
                </c:pt>
                <c:pt idx="23">
                  <c:v>-60822.278982658179</c:v>
                </c:pt>
                <c:pt idx="24">
                  <c:v>-61604.308202808927</c:v>
                </c:pt>
                <c:pt idx="25">
                  <c:v>-62407.587730159343</c:v>
                </c:pt>
                <c:pt idx="26">
                  <c:v>-63232.570619467413</c:v>
                </c:pt>
                <c:pt idx="27">
                  <c:v>-64079.719126829317</c:v>
                </c:pt>
                <c:pt idx="28">
                  <c:v>-64949.504894407517</c:v>
                </c:pt>
                <c:pt idx="29">
                  <c:v>-65842.40913885663</c:v>
                </c:pt>
                <c:pt idx="30">
                  <c:v>11059.123098119773</c:v>
                </c:pt>
                <c:pt idx="31">
                  <c:v>10118.4989871578</c:v>
                </c:pt>
                <c:pt idx="32">
                  <c:v>9153.2533611119579</c:v>
                </c:pt>
                <c:pt idx="33">
                  <c:v>8162.8647445162496</c:v>
                </c:pt>
                <c:pt idx="34">
                  <c:v>7146.8010871695733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5.0035317040614861E-2</c:v>
                </c:pt>
                <c:pt idx="1">
                  <c:v>5.2495261277414773E-2</c:v>
                </c:pt>
                <c:pt idx="2">
                  <c:v>5.4959396952193269E-2</c:v>
                </c:pt>
                <c:pt idx="3">
                  <c:v>5.7426075107009859E-2</c:v>
                </c:pt>
                <c:pt idx="4">
                  <c:v>5.9893547092477142E-2</c:v>
                </c:pt>
                <c:pt idx="5">
                  <c:v>6.2359960005509002E-2</c:v>
                </c:pt>
                <c:pt idx="6">
                  <c:v>6.4823351936939166E-2</c:v>
                </c:pt>
                <c:pt idx="7">
                  <c:v>6.7281647021400812E-2</c:v>
                </c:pt>
                <c:pt idx="8">
                  <c:v>6.9732650281559241E-2</c:v>
                </c:pt>
                <c:pt idx="9">
                  <c:v>7.2174042258477566E-2</c:v>
                </c:pt>
                <c:pt idx="10">
                  <c:v>7.460337341957593E-2</c:v>
                </c:pt>
                <c:pt idx="11">
                  <c:v>7.7018058335306575E-2</c:v>
                </c:pt>
                <c:pt idx="12">
                  <c:v>7.9415369615321627E-2</c:v>
                </c:pt>
                <c:pt idx="13">
                  <c:v>8.1792431594546453E-2</c:v>
                </c:pt>
                <c:pt idx="14">
                  <c:v>8.4146213759199326E-2</c:v>
                </c:pt>
                <c:pt idx="15">
                  <c:v>8.6473523902403537E-2</c:v>
                </c:pt>
                <c:pt idx="16">
                  <c:v>8.8771000998637939E-2</c:v>
                </c:pt>
                <c:pt idx="17">
                  <c:v>9.1035107785844269E-2</c:v>
                </c:pt>
                <c:pt idx="18">
                  <c:v>9.3262123043580308E-2</c:v>
                </c:pt>
                <c:pt idx="19">
                  <c:v>9.5448133555145975E-2</c:v>
                </c:pt>
                <c:pt idx="20">
                  <c:v>9.7589025741141838E-2</c:v>
                </c:pt>
                <c:pt idx="21">
                  <c:v>9.9680476951428065E-2</c:v>
                </c:pt>
                <c:pt idx="22">
                  <c:v>0.10171794640194248</c:v>
                </c:pt>
                <c:pt idx="23">
                  <c:v>0.10369666574230654</c:v>
                </c:pt>
                <c:pt idx="24">
                  <c:v>0.10561162923959948</c:v>
                </c:pt>
                <c:pt idx="25">
                  <c:v>0.10745758356310969</c:v>
                </c:pt>
                <c:pt idx="26">
                  <c:v>0.10922901715427787</c:v>
                </c:pt>
                <c:pt idx="27">
                  <c:v>0.11092014916543286</c:v>
                </c:pt>
                <c:pt idx="28">
                  <c:v>0.1125249179502789</c:v>
                </c:pt>
                <c:pt idx="29">
                  <c:v>0.11403696908842802</c:v>
                </c:pt>
                <c:pt idx="30">
                  <c:v>0.24686276727996259</c:v>
                </c:pt>
                <c:pt idx="31">
                  <c:v>0.24816908596464149</c:v>
                </c:pt>
                <c:pt idx="32">
                  <c:v>0.24936173996156871</c:v>
                </c:pt>
                <c:pt idx="33">
                  <c:v>0.25043307402112336</c:v>
                </c:pt>
                <c:pt idx="34">
                  <c:v>0.25137507258339142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-6.5330323385280831E-2</c:v>
                </c:pt>
                <c:pt idx="1">
                  <c:v>-6.5876728979548077E-2</c:v>
                </c:pt>
                <c:pt idx="2">
                  <c:v>-6.644090128291151E-2</c:v>
                </c:pt>
                <c:pt idx="3">
                  <c:v>-6.7023229822539068E-2</c:v>
                </c:pt>
                <c:pt idx="4">
                  <c:v>-6.7624112087107086E-2</c:v>
                </c:pt>
                <c:pt idx="5">
                  <c:v>-6.8243953686885059E-2</c:v>
                </c:pt>
                <c:pt idx="6">
                  <c:v>-6.8883168517026777E-2</c:v>
                </c:pt>
                <c:pt idx="7">
                  <c:v>-6.9542178924131351E-2</c:v>
                </c:pt>
                <c:pt idx="8">
                  <c:v>-7.0221415876139892E-2</c:v>
                </c:pt>
                <c:pt idx="9">
                  <c:v>-7.0921319135634223E-2</c:v>
                </c:pt>
                <c:pt idx="10">
                  <c:v>-7.1642337436606349E-2</c:v>
                </c:pt>
                <c:pt idx="11">
                  <c:v>-7.2384928664767201E-2</c:v>
                </c:pt>
                <c:pt idx="12">
                  <c:v>-7.3149560041466499E-2</c:v>
                </c:pt>
                <c:pt idx="13">
                  <c:v>-7.3936708311294744E-2</c:v>
                </c:pt>
                <c:pt idx="14">
                  <c:v>-7.4746859933442628E-2</c:v>
                </c:pt>
                <c:pt idx="15">
                  <c:v>-7.5580511276891055E-2</c:v>
                </c:pt>
                <c:pt idx="16">
                  <c:v>-7.6438168819510391E-2</c:v>
                </c:pt>
                <c:pt idx="17">
                  <c:v>-7.732034935114554E-2</c:v>
                </c:pt>
                <c:pt idx="18">
                  <c:v>-7.8227580180767642E-2</c:v>
                </c:pt>
                <c:pt idx="19">
                  <c:v>-7.9160399347773205E-2</c:v>
                </c:pt>
                <c:pt idx="20">
                  <c:v>-8.0119355837513825E-2</c:v>
                </c:pt>
                <c:pt idx="21">
                  <c:v>-8.1105009801141228E-2</c:v>
                </c:pt>
                <c:pt idx="22">
                  <c:v>-8.2117932779853575E-2</c:v>
                </c:pt>
                <c:pt idx="23">
                  <c:v>-8.3158707933631643E-2</c:v>
                </c:pt>
                <c:pt idx="24">
                  <c:v>-8.4227930274554177E-2</c:v>
                </c:pt>
                <c:pt idx="25">
                  <c:v>-8.5326206904784443E-2</c:v>
                </c:pt>
                <c:pt idx="26">
                  <c:v>-8.6454157259321041E-2</c:v>
                </c:pt>
                <c:pt idx="27">
                  <c:v>-8.7612413353608587E-2</c:v>
                </c:pt>
                <c:pt idx="28">
                  <c:v>-8.8801620036105436E-2</c:v>
                </c:pt>
                <c:pt idx="29">
                  <c:v>-9.0022435245907348E-2</c:v>
                </c:pt>
                <c:pt idx="30">
                  <c:v>1.5120485504675653E-2</c:v>
                </c:pt>
                <c:pt idx="31">
                  <c:v>1.3834425741260323E-2</c:v>
                </c:pt>
                <c:pt idx="32">
                  <c:v>1.251470243520913E-2</c:v>
                </c:pt>
                <c:pt idx="33">
                  <c:v>1.1160602603932526E-2</c:v>
                </c:pt>
                <c:pt idx="34">
                  <c:v>9.7713988066305355E-3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B$14" max="35" min="1" page="10" val="9"/>
</file>

<file path=xl/ctrlProps/ctrlProp2.xml><?xml version="1.0" encoding="utf-8"?>
<formControlPr xmlns="http://schemas.microsoft.com/office/spreadsheetml/2009/9/main" objectType="Spin" dx="31" fmlaLink="$B$17" max="30" min="1" page="10"/>
</file>

<file path=xl/ctrlProps/ctrlProp3.xml><?xml version="1.0" encoding="utf-8"?>
<formControlPr xmlns="http://schemas.microsoft.com/office/spreadsheetml/2009/9/main" objectType="Spin" dx="31" fmlaLink="$C$20" max="10" min="1" page="10"/>
</file>

<file path=xl/ctrlProps/ctrlProp4.xml><?xml version="1.0" encoding="utf-8"?>
<formControlPr xmlns="http://schemas.microsoft.com/office/spreadsheetml/2009/9/main" objectType="Spin" dx="31" fmlaLink="$C$41" max="15" page="10" val="4"/>
</file>

<file path=xl/ctrlProps/ctrlProp5.xml><?xml version="1.0" encoding="utf-8"?>
<formControlPr xmlns="http://schemas.microsoft.com/office/spreadsheetml/2009/9/main" objectType="Spin" dx="31" fmlaLink="$C$42" max="15" page="10" val="3"/>
</file>

<file path=xl/ctrlProps/ctrlProp6.xml><?xml version="1.0" encoding="utf-8"?>
<formControlPr xmlns="http://schemas.microsoft.com/office/spreadsheetml/2009/9/main" objectType="Spin" dx="31" fmlaLink="$C$88" max="35" page="10" val="10"/>
</file>

<file path=xl/ctrlProps/ctrlProp7.xml><?xml version="1.0" encoding="utf-8"?>
<formControlPr xmlns="http://schemas.microsoft.com/office/spreadsheetml/2009/9/main" objectType="Spin" dx="31" fmlaLink="$C$50" max="15" page="10"/>
</file>

<file path=xl/ctrlProps/ctrlProp8.xml><?xml version="1.0" encoding="utf-8"?>
<formControlPr xmlns="http://schemas.microsoft.com/office/spreadsheetml/2009/9/main" objectType="Spin" dx="31" fmlaLink="$C$11" max="24" page="10" val="0"/>
</file>

<file path=xl/ctrlProps/ctrlProp9.xml><?xml version="1.0" encoding="utf-8"?>
<formControlPr xmlns="http://schemas.microsoft.com/office/spreadsheetml/2009/9/main" objectType="Spin" dx="31" fmlaLink="$C$50" max="15" page="10"/>
</file>

<file path=xl/ctrlProps/ctrlProp10.xml><?xml version="1.0" encoding="utf-8"?>
<formControlPr xmlns="http://schemas.microsoft.com/office/spreadsheetml/2009/9/main" objectType="Spin" dx="31" fmlaLink="$C$41" max="15" page="10" val="0"/>
</file>

<file path=xl/ctrlProps/ctrlProp11.xml><?xml version="1.0" encoding="utf-8"?>
<formControlPr xmlns="http://schemas.microsoft.com/office/spreadsheetml/2009/9/main" objectType="Spin" dx="31" fmlaLink="$C$42" max="15" page="10" val="3"/>
</file>

<file path=xl/ctrlProps/ctrlProp12.xml><?xml version="1.0" encoding="utf-8"?>
<formControlPr xmlns="http://schemas.microsoft.com/office/spreadsheetml/2009/9/main" objectType="Spin" dx="31" fmlaLink="$C$88" max="35" page="10" val="10"/>
</file>

<file path=xl/ctrlProps/ctrlProp13.xml><?xml version="1.0" encoding="utf-8"?>
<formControlPr xmlns="http://schemas.microsoft.com/office/spreadsheetml/2009/9/main" objectType="Spin" dx="31" fmlaLink="$C$50" max="15" page="10"/>
</file>

<file path=xl/ctrlProps/ctrlProp14.xml><?xml version="1.0" encoding="utf-8"?>
<formControlPr xmlns="http://schemas.microsoft.com/office/spreadsheetml/2009/9/main" objectType="Spin" dx="31" fmlaLink="$C$11" max="24" page="10" val="5"/>
</file>

<file path=xl/ctrlProps/ctrlProp15.xml><?xml version="1.0" encoding="utf-8"?>
<formControlPr xmlns="http://schemas.microsoft.com/office/spreadsheetml/2009/9/main" objectType="Spin" dx="31" fmlaLink="$C$50" max="15" page="10"/>
</file>

<file path=xl/ctrlProps/ctrlProp16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1.png"/><Relationship Id="rId4" Type="http://schemas.openxmlformats.org/officeDocument/2006/relationships/hyperlink" Target="#Outputs!AY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12</xdr:row>
          <xdr:rowOff>38100</xdr:rowOff>
        </xdr:from>
        <xdr:to>
          <xdr:col>5</xdr:col>
          <xdr:colOff>259080</xdr:colOff>
          <xdr:row>13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15</xdr:row>
          <xdr:rowOff>144780</xdr:rowOff>
        </xdr:from>
        <xdr:to>
          <xdr:col>7</xdr:col>
          <xdr:colOff>358140</xdr:colOff>
          <xdr:row>16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1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18</xdr:row>
          <xdr:rowOff>60960</xdr:rowOff>
        </xdr:from>
        <xdr:to>
          <xdr:col>6</xdr:col>
          <xdr:colOff>449580</xdr:colOff>
          <xdr:row>19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1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26</xdr:row>
      <xdr:rowOff>25400</xdr:rowOff>
    </xdr:from>
    <xdr:to>
      <xdr:col>7</xdr:col>
      <xdr:colOff>91440</xdr:colOff>
      <xdr:row>44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18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15</xdr:row>
      <xdr:rowOff>133350</xdr:rowOff>
    </xdr:from>
    <xdr:to>
      <xdr:col>9</xdr:col>
      <xdr:colOff>44450</xdr:colOff>
      <xdr:row>16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12</xdr:row>
      <xdr:rowOff>25400</xdr:rowOff>
    </xdr:from>
    <xdr:to>
      <xdr:col>6</xdr:col>
      <xdr:colOff>269779</xdr:colOff>
      <xdr:row>13</xdr:row>
      <xdr:rowOff>184107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18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7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7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7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7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7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7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C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C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C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C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C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C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E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00000000-0008-0000-08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printerSettings" Target="../printerSettings/printerSettings3.bin"/><Relationship Id="rId7" Type="http://schemas.openxmlformats.org/officeDocument/2006/relationships/ctrlProp" Target="../ctrlProps/ctrlProp5.xml"/><Relationship Id="rId2" Type="http://schemas.openxmlformats.org/officeDocument/2006/relationships/hyperlink" Target="2020%20Tax%20Rates%20for%20the%20Web.pdf" TargetMode="External"/><Relationship Id="rId1" Type="http://schemas.openxmlformats.org/officeDocument/2006/relationships/hyperlink" Target="https://wowa.ca/taxes/chilliwack-property-tax" TargetMode="Externa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vmlDrawing" Target="../drawings/vmlDrawing2.vml"/><Relationship Id="rId10" Type="http://schemas.openxmlformats.org/officeDocument/2006/relationships/ctrlProp" Target="../ctrlProps/ctrlProp8.xml"/><Relationship Id="rId4" Type="http://schemas.openxmlformats.org/officeDocument/2006/relationships/drawing" Target="../drawings/drawing3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0"/>
  </sheetPr>
  <dimension ref="A1:XFC31"/>
  <sheetViews>
    <sheetView workbookViewId="0"/>
  </sheetViews>
  <sheetFormatPr defaultColWidth="0" defaultRowHeight="14.4" zeroHeight="1" x14ac:dyDescent="0.3"/>
  <cols>
    <col min="1" max="1" width="8.77734375" style="774" customWidth="1"/>
    <col min="2" max="2" width="8.21875" style="752" customWidth="1"/>
    <col min="3" max="3" width="2.21875" style="752" customWidth="1"/>
    <col min="4" max="4" width="26.44140625" style="752" customWidth="1"/>
    <col min="5" max="5" width="65.5546875" style="752" bestFit="1" customWidth="1"/>
    <col min="6" max="6" width="8.109375" style="752" customWidth="1"/>
    <col min="7" max="16383" width="8.77734375" style="3" hidden="1"/>
    <col min="16384" max="16384" width="0.109375" style="3" customWidth="1"/>
  </cols>
  <sheetData>
    <row r="1" spans="1:6" s="751" customFormat="1" ht="15" thickBot="1" x14ac:dyDescent="0.35">
      <c r="A1" s="774"/>
      <c r="B1" s="774"/>
      <c r="C1" s="774"/>
      <c r="D1" s="774"/>
      <c r="E1" s="774"/>
      <c r="F1" s="774"/>
    </row>
    <row r="2" spans="1:6" s="744" customFormat="1" ht="19.8" thickBot="1" x14ac:dyDescent="0.4">
      <c r="A2" s="774"/>
      <c r="B2" s="753"/>
      <c r="C2" s="754"/>
      <c r="D2" s="755" t="s">
        <v>388</v>
      </c>
      <c r="E2" s="754"/>
      <c r="F2" s="756"/>
    </row>
    <row r="3" spans="1:6" s="744" customFormat="1" ht="18.600000000000001" thickTop="1" thickBot="1" x14ac:dyDescent="0.4">
      <c r="A3" s="774"/>
      <c r="B3" s="757"/>
      <c r="C3" s="758"/>
      <c r="D3" s="758" t="s">
        <v>389</v>
      </c>
      <c r="E3" s="758" t="s">
        <v>390</v>
      </c>
      <c r="F3" s="759"/>
    </row>
    <row r="4" spans="1:6" s="744" customFormat="1" ht="18" thickTop="1" x14ac:dyDescent="0.35">
      <c r="A4" s="774"/>
      <c r="B4" s="757"/>
      <c r="C4" s="760" t="s">
        <v>395</v>
      </c>
      <c r="E4" s="761"/>
      <c r="F4" s="759"/>
    </row>
    <row r="5" spans="1:6" s="744" customFormat="1" x14ac:dyDescent="0.3">
      <c r="A5" s="774"/>
      <c r="B5" s="757"/>
      <c r="D5" s="762" t="s">
        <v>396</v>
      </c>
      <c r="E5" s="763" t="s">
        <v>397</v>
      </c>
      <c r="F5" s="759"/>
    </row>
    <row r="6" spans="1:6" s="744" customFormat="1" x14ac:dyDescent="0.3">
      <c r="A6" s="774"/>
      <c r="B6" s="757"/>
      <c r="D6" s="762" t="s">
        <v>93</v>
      </c>
      <c r="E6" s="763" t="s">
        <v>397</v>
      </c>
      <c r="F6" s="759"/>
    </row>
    <row r="7" spans="1:6" s="744" customFormat="1" ht="15.6" x14ac:dyDescent="0.3">
      <c r="A7" s="774"/>
      <c r="B7" s="757"/>
      <c r="C7" s="764" t="s">
        <v>399</v>
      </c>
      <c r="F7" s="759"/>
    </row>
    <row r="8" spans="1:6" s="744" customFormat="1" x14ac:dyDescent="0.3">
      <c r="A8" s="774"/>
      <c r="B8" s="757"/>
      <c r="D8" s="765" t="s">
        <v>393</v>
      </c>
      <c r="F8" s="759"/>
    </row>
    <row r="9" spans="1:6" s="744" customFormat="1" x14ac:dyDescent="0.3">
      <c r="A9" s="774"/>
      <c r="B9" s="757"/>
      <c r="D9" s="766" t="s">
        <v>399</v>
      </c>
      <c r="E9" s="744" t="s">
        <v>391</v>
      </c>
      <c r="F9" s="759"/>
    </row>
    <row r="10" spans="1:6" s="744" customFormat="1" x14ac:dyDescent="0.3">
      <c r="A10" s="774"/>
      <c r="B10" s="757"/>
      <c r="D10" s="765" t="s">
        <v>394</v>
      </c>
      <c r="F10" s="759"/>
    </row>
    <row r="11" spans="1:6" s="744" customFormat="1" x14ac:dyDescent="0.3">
      <c r="A11" s="774"/>
      <c r="B11" s="757"/>
      <c r="D11" s="765" t="s">
        <v>401</v>
      </c>
      <c r="E11" s="744" t="s">
        <v>402</v>
      </c>
      <c r="F11" s="759"/>
    </row>
    <row r="12" spans="1:6" s="744" customFormat="1" ht="15.6" x14ac:dyDescent="0.3">
      <c r="A12" s="774"/>
      <c r="B12" s="757"/>
      <c r="C12" s="767" t="s">
        <v>398</v>
      </c>
      <c r="F12" s="759"/>
    </row>
    <row r="13" spans="1:6" s="744" customFormat="1" ht="15.6" x14ac:dyDescent="0.3">
      <c r="A13" s="774"/>
      <c r="B13" s="757"/>
      <c r="C13" s="767"/>
      <c r="D13" s="765" t="s">
        <v>403</v>
      </c>
      <c r="E13" s="744" t="s">
        <v>404</v>
      </c>
      <c r="F13" s="759"/>
    </row>
    <row r="14" spans="1:6" s="744" customFormat="1" x14ac:dyDescent="0.3">
      <c r="A14" s="774"/>
      <c r="B14" s="757"/>
      <c r="D14" s="765" t="s">
        <v>152</v>
      </c>
      <c r="E14" s="744" t="s">
        <v>400</v>
      </c>
      <c r="F14" s="759"/>
    </row>
    <row r="15" spans="1:6" s="744" customFormat="1" x14ac:dyDescent="0.3">
      <c r="A15" s="774"/>
      <c r="B15" s="757"/>
      <c r="D15" s="765" t="s">
        <v>297</v>
      </c>
      <c r="E15" s="744" t="s">
        <v>407</v>
      </c>
      <c r="F15" s="759"/>
    </row>
    <row r="16" spans="1:6" s="744" customFormat="1" x14ac:dyDescent="0.3">
      <c r="A16" s="774"/>
      <c r="B16" s="757"/>
      <c r="D16" s="765" t="s">
        <v>405</v>
      </c>
      <c r="E16" s="744" t="s">
        <v>406</v>
      </c>
      <c r="F16" s="759"/>
    </row>
    <row r="17" spans="1:6" s="744" customFormat="1" ht="15.6" x14ac:dyDescent="0.3">
      <c r="A17" s="774"/>
      <c r="B17" s="757"/>
      <c r="C17" s="768" t="s">
        <v>408</v>
      </c>
      <c r="D17" s="765"/>
      <c r="F17" s="759"/>
    </row>
    <row r="18" spans="1:6" s="744" customFormat="1" x14ac:dyDescent="0.3">
      <c r="A18" s="774"/>
      <c r="B18" s="757"/>
      <c r="D18" s="765" t="s">
        <v>409</v>
      </c>
      <c r="E18" s="744" t="s">
        <v>410</v>
      </c>
      <c r="F18" s="759"/>
    </row>
    <row r="19" spans="1:6" s="744" customFormat="1" x14ac:dyDescent="0.3">
      <c r="A19" s="774"/>
      <c r="B19" s="757"/>
      <c r="D19" s="765" t="s">
        <v>411</v>
      </c>
      <c r="E19" s="744" t="s">
        <v>412</v>
      </c>
      <c r="F19" s="759"/>
    </row>
    <row r="20" spans="1:6" s="744" customFormat="1" ht="15.6" x14ac:dyDescent="0.3">
      <c r="A20" s="774"/>
      <c r="B20" s="757"/>
      <c r="C20" s="769" t="s">
        <v>413</v>
      </c>
      <c r="F20" s="759"/>
    </row>
    <row r="21" spans="1:6" s="744" customFormat="1" ht="15.6" x14ac:dyDescent="0.3">
      <c r="A21" s="774"/>
      <c r="B21" s="757"/>
      <c r="C21" s="769"/>
      <c r="D21" s="765" t="s">
        <v>296</v>
      </c>
      <c r="F21" s="759"/>
    </row>
    <row r="22" spans="1:6" s="744" customFormat="1" ht="15.6" x14ac:dyDescent="0.3">
      <c r="A22" s="774"/>
      <c r="B22" s="757"/>
      <c r="C22" s="769"/>
      <c r="D22" s="765" t="s">
        <v>403</v>
      </c>
      <c r="F22" s="759"/>
    </row>
    <row r="23" spans="1:6" s="744" customFormat="1" ht="15.6" x14ac:dyDescent="0.3">
      <c r="A23" s="774"/>
      <c r="B23" s="757"/>
      <c r="C23" s="769"/>
      <c r="D23" s="765" t="s">
        <v>152</v>
      </c>
      <c r="F23" s="759"/>
    </row>
    <row r="24" spans="1:6" s="744" customFormat="1" ht="15.6" x14ac:dyDescent="0.3">
      <c r="A24" s="774"/>
      <c r="B24" s="757"/>
      <c r="C24" s="769"/>
      <c r="D24" s="765" t="s">
        <v>297</v>
      </c>
      <c r="F24" s="759"/>
    </row>
    <row r="25" spans="1:6" s="744" customFormat="1" ht="15.6" x14ac:dyDescent="0.3">
      <c r="A25" s="774"/>
      <c r="B25" s="757"/>
      <c r="C25" s="769"/>
      <c r="D25" s="765" t="s">
        <v>405</v>
      </c>
      <c r="F25" s="759"/>
    </row>
    <row r="26" spans="1:6" s="744" customFormat="1" ht="15.6" x14ac:dyDescent="0.3">
      <c r="A26" s="774"/>
      <c r="B26" s="757"/>
      <c r="C26" s="770" t="s">
        <v>414</v>
      </c>
      <c r="D26" s="765"/>
      <c r="F26" s="759"/>
    </row>
    <row r="27" spans="1:6" s="744" customFormat="1" ht="15.6" x14ac:dyDescent="0.3">
      <c r="A27" s="774"/>
      <c r="B27" s="757"/>
      <c r="C27" s="770"/>
      <c r="D27" s="765" t="s">
        <v>415</v>
      </c>
      <c r="E27" s="744" t="s">
        <v>417</v>
      </c>
      <c r="F27" s="759"/>
    </row>
    <row r="28" spans="1:6" s="744" customFormat="1" ht="15.6" x14ac:dyDescent="0.3">
      <c r="A28" s="774"/>
      <c r="B28" s="757"/>
      <c r="C28" s="770"/>
      <c r="D28" s="765" t="s">
        <v>416</v>
      </c>
      <c r="E28" s="744" t="s">
        <v>418</v>
      </c>
      <c r="F28" s="759"/>
    </row>
    <row r="29" spans="1:6" s="744" customFormat="1" ht="15" thickBot="1" x14ac:dyDescent="0.35">
      <c r="A29" s="774"/>
      <c r="B29" s="771"/>
      <c r="C29" s="772"/>
      <c r="D29" s="772"/>
      <c r="E29" s="772"/>
      <c r="F29" s="773"/>
    </row>
    <row r="30" spans="1:6" x14ac:dyDescent="0.3">
      <c r="B30" s="751"/>
      <c r="C30" s="751"/>
      <c r="D30" s="751"/>
      <c r="E30" s="751"/>
      <c r="F30" s="751"/>
    </row>
    <row r="31" spans="1:6" x14ac:dyDescent="0.3">
      <c r="B31" s="751"/>
      <c r="C31" s="751"/>
      <c r="D31" s="751"/>
      <c r="E31" s="751"/>
      <c r="F31" s="751"/>
    </row>
  </sheetData>
  <hyperlinks>
    <hyperlink ref="D9" location="Outputs!A1" display="Modify outputs" xr:uid="{F64697F5-038B-4044-BE85-99C09AB91C12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8" location="'Total Result'!A1" display="Total Result" xr:uid="{40D00808-204B-4824-96F2-FAF46FB96424}"/>
    <hyperlink ref="D10" location="Graph!A1" display="Graphs" xr:uid="{C526FE58-6550-42D4-9E32-B48D1A55ED49}"/>
    <hyperlink ref="D14" location="'Total CF'!A1" display="Total CF" xr:uid="{ECF84EEF-8C28-416E-9723-1DB2E05073BD}"/>
    <hyperlink ref="D11" location="'Financial Statement'!A1" display="First year financial statement" xr:uid="{4517DCFE-B5B9-4A1D-B38F-E71004B2FA9C}"/>
    <hyperlink ref="D13" location="'ROI details'!A1" display="4 ways to win" xr:uid="{B3C701A1-96BE-403F-9618-95DE9F271CE6}"/>
    <hyperlink ref="D15" location="'PR Result'!A1" display="Principal Recapture" xr:uid="{801959FA-21FB-4B22-95DD-BA7B104B41F6}"/>
    <hyperlink ref="D16" location="'Principal Recapture'!A1" display="Mortgage payment schedule" xr:uid="{1B1DCC8C-FFF7-4F86-9631-A5CF2711F284}"/>
    <hyperlink ref="D18" location="'Calculating offering price ARV'!A1" display="Reno cost, rental revenue" xr:uid="{241C22BA-AE3B-4E7F-A47C-930DFB973EB1}"/>
    <hyperlink ref="D19" location="'ROI Number insert ARV'!A1" display="New mortgage after refinance" xr:uid="{EE7E726F-9DAF-4A95-BCA8-950A1E757694}"/>
    <hyperlink ref="D22" location="'ROI Detail ARV'!A1" display="4 ways to win" xr:uid="{C9AAC31F-3479-4EDA-83D8-B3ECB5FC6B12}"/>
    <hyperlink ref="D23" location="'Total CF'!A1" display="Total CF" xr:uid="{0A8B9140-F447-46E2-B44C-50D1A3DC99C3}"/>
    <hyperlink ref="D24" location="'PR ARV result'!A1" display="Principal Recapture" xr:uid="{C90BD960-24C5-47F1-B412-5F7199ED77EE}"/>
    <hyperlink ref="D25" location="'Principle Recapture ARV'!A1" display="Mortgage payment schedule" xr:uid="{49512BE8-4F94-4293-8278-B7B214EC6701}"/>
    <hyperlink ref="D27" location="'Mortgage Caculator'!A1" display="Mortgage payment calculator" xr:uid="{1EB982F1-4F78-4B9E-9D3D-5132A7F5C276}"/>
    <hyperlink ref="D28" location="'Debt payment Calculator'!A1" display="Debt payment calculator" xr:uid="{CEB17A5B-6F24-4FB5-883E-F7580236564D}"/>
    <hyperlink ref="D21" location="'Financial Statement ARV'!A1" display="Financial Statement" xr:uid="{F11A6EAC-EAD3-40E4-A38D-AE02990C345E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26"/>
  <sheetViews>
    <sheetView tabSelected="1" workbookViewId="0">
      <selection activeCell="F23" sqref="F23"/>
    </sheetView>
  </sheetViews>
  <sheetFormatPr defaultColWidth="8.77734375" defaultRowHeight="14.4" x14ac:dyDescent="0.3"/>
  <cols>
    <col min="1" max="1" width="30.21875" style="1" bestFit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ht="18" x14ac:dyDescent="0.35">
      <c r="A1" s="662" t="s">
        <v>392</v>
      </c>
      <c r="B1" s="903" t="s">
        <v>449</v>
      </c>
      <c r="W1" s="662" t="s">
        <v>435</v>
      </c>
      <c r="AQ1" s="662" t="s">
        <v>435</v>
      </c>
    </row>
    <row r="2" spans="1:43" ht="15.6" x14ac:dyDescent="0.3">
      <c r="A2" s="808" t="s">
        <v>271</v>
      </c>
      <c r="B2" s="294" t="str">
        <f>'Total Result'!C2</f>
        <v>C8048059</v>
      </c>
    </row>
    <row r="3" spans="1:43" ht="15.6" x14ac:dyDescent="0.3">
      <c r="A3" s="808" t="s">
        <v>272</v>
      </c>
      <c r="B3" s="294" t="str">
        <f>'Total Result'!C3</f>
        <v>45540 Yale Road</v>
      </c>
    </row>
    <row r="4" spans="1:43" ht="15.6" x14ac:dyDescent="0.3">
      <c r="A4" s="809" t="s">
        <v>268</v>
      </c>
      <c r="B4" s="295">
        <f ca="1">'Total Result'!C11</f>
        <v>29</v>
      </c>
      <c r="D4" s="902" t="s">
        <v>443</v>
      </c>
    </row>
    <row r="5" spans="1:43" ht="15.6" x14ac:dyDescent="0.3">
      <c r="A5" s="808" t="s">
        <v>5</v>
      </c>
      <c r="B5" s="126">
        <f>'Total Result'!C25</f>
        <v>6500000</v>
      </c>
    </row>
    <row r="6" spans="1:43" ht="15.6" x14ac:dyDescent="0.3">
      <c r="A6" s="809" t="s">
        <v>448</v>
      </c>
      <c r="B6" s="810">
        <f>'Total Result'!C26</f>
        <v>2200000</v>
      </c>
    </row>
    <row r="7" spans="1:43" ht="15.6" x14ac:dyDescent="0.3">
      <c r="A7" s="176" t="s">
        <v>21</v>
      </c>
      <c r="B7" s="126">
        <f>'Total Result'!C6</f>
        <v>861400</v>
      </c>
    </row>
    <row r="8" spans="1:43" x14ac:dyDescent="0.3">
      <c r="A8" s="812" t="s">
        <v>179</v>
      </c>
      <c r="B8" s="296">
        <f>_xlfn.XLOOKUP(A8,'Total Result'!B17:B20,'Total Result'!C17:C20)</f>
        <v>0</v>
      </c>
    </row>
    <row r="9" spans="1:43" ht="15.6" x14ac:dyDescent="0.3">
      <c r="A9" s="811" t="s">
        <v>429</v>
      </c>
      <c r="B9" s="126">
        <f>SUM('ROI details'!H24:H28)</f>
        <v>2532400</v>
      </c>
    </row>
    <row r="10" spans="1:43" ht="15.6" x14ac:dyDescent="0.3">
      <c r="A10" s="811" t="s">
        <v>432</v>
      </c>
      <c r="B10" s="414">
        <f>'Total Result'!C12</f>
        <v>0.7954728180874967</v>
      </c>
      <c r="D10" s="1" t="s">
        <v>445</v>
      </c>
    </row>
    <row r="11" spans="1:43" ht="15.6" x14ac:dyDescent="0.3">
      <c r="A11" s="811" t="s">
        <v>433</v>
      </c>
      <c r="B11" s="827">
        <f>'Total Result'!C13</f>
        <v>19.985883155057781</v>
      </c>
      <c r="C11" s="1" t="s">
        <v>434</v>
      </c>
      <c r="D11" s="1" t="s">
        <v>446</v>
      </c>
    </row>
    <row r="12" spans="1:43" ht="16.2" thickBot="1" x14ac:dyDescent="0.35">
      <c r="A12" s="793" t="s">
        <v>217</v>
      </c>
      <c r="B12" s="414">
        <f>'Total Result'!C7</f>
        <v>7.1045312462566845E-2</v>
      </c>
      <c r="D12" s="1" t="s">
        <v>447</v>
      </c>
    </row>
    <row r="13" spans="1:43" ht="15" thickBot="1" x14ac:dyDescent="0.35">
      <c r="B13" s="786" t="s">
        <v>419</v>
      </c>
      <c r="C13" s="787" t="s">
        <v>422</v>
      </c>
      <c r="D13" s="787" t="s">
        <v>420</v>
      </c>
      <c r="E13" s="788" t="s">
        <v>421</v>
      </c>
      <c r="F13" s="711"/>
    </row>
    <row r="14" spans="1:43" ht="16.2" thickBot="1" x14ac:dyDescent="0.35">
      <c r="A14" s="794" t="s">
        <v>423</v>
      </c>
      <c r="B14" s="789">
        <v>9</v>
      </c>
      <c r="C14" s="790" cm="1">
        <f t="array" ref="C14">INDEX('Total CF'!C3:C37,Outputs!$B$14)</f>
        <v>60067.704952535132</v>
      </c>
      <c r="D14" s="791" cm="1">
        <f t="array" ref="D14">INDEX('Total CF'!D3:D37,Outputs!$B$14)</f>
        <v>6.9732650281559241E-2</v>
      </c>
      <c r="E14" s="792" cm="1">
        <f t="array" ref="E14">INDEX('Total CF'!E3:E37,Outputs!$B$14)</f>
        <v>5005.642079377928</v>
      </c>
    </row>
    <row r="15" spans="1:43" ht="15" thickBot="1" x14ac:dyDescent="0.35"/>
    <row r="16" spans="1:43" s="52" customFormat="1" ht="29.4" thickBot="1" x14ac:dyDescent="0.35">
      <c r="B16" s="796" t="s">
        <v>426</v>
      </c>
      <c r="C16" s="797" t="s">
        <v>161</v>
      </c>
      <c r="D16" s="797" t="s">
        <v>424</v>
      </c>
      <c r="E16" s="797" t="s">
        <v>425</v>
      </c>
      <c r="F16" s="797" t="s">
        <v>383</v>
      </c>
      <c r="G16" s="798" t="s">
        <v>384</v>
      </c>
    </row>
    <row r="17" spans="1:7" ht="16.2" thickBot="1" x14ac:dyDescent="0.35">
      <c r="A17" s="804" t="s">
        <v>427</v>
      </c>
      <c r="B17" s="799">
        <v>1</v>
      </c>
      <c r="C17" s="800">
        <f>'PR Result'!C4</f>
        <v>9433.2721099051178</v>
      </c>
      <c r="D17" s="801" cm="1">
        <f t="array" ref="D17">INDEX('PR Result'!C5:C34,Outputs!B17)</f>
        <v>24518.719631556651</v>
      </c>
      <c r="E17" s="801" cm="1">
        <f t="array" ref="E17">INDEX('PR Result'!E5:E34,Outputs!$B$17)</f>
        <v>88680.545687304766</v>
      </c>
      <c r="F17" s="802" cm="1">
        <f t="array" ref="F17">INDEX('PR Result'!F5:F34,Outputs!$B$17)</f>
        <v>0.21659786892160426</v>
      </c>
      <c r="G17" s="803" cm="1">
        <f t="array" ref="G17">INDEX('PR Result'!G5:G34,Outputs!$B$17)</f>
        <v>2.8463802683488103E-2</v>
      </c>
    </row>
    <row r="18" spans="1:7" ht="16.2" thickBot="1" x14ac:dyDescent="0.35">
      <c r="A18" s="795"/>
      <c r="C18" s="813"/>
      <c r="D18" s="814"/>
      <c r="E18" s="814"/>
      <c r="F18" s="815"/>
      <c r="G18" s="815"/>
    </row>
    <row r="19" spans="1:7" s="52" customFormat="1" ht="16.2" thickBot="1" x14ac:dyDescent="0.35">
      <c r="A19" s="816"/>
      <c r="B19" s="818" t="s">
        <v>430</v>
      </c>
      <c r="C19" s="819" t="s">
        <v>140</v>
      </c>
      <c r="D19" s="820" t="s">
        <v>7</v>
      </c>
      <c r="E19" s="820" t="s">
        <v>87</v>
      </c>
      <c r="F19" s="821" t="s">
        <v>384</v>
      </c>
      <c r="G19" s="817"/>
    </row>
    <row r="20" spans="1:7" ht="16.2" thickBot="1" x14ac:dyDescent="0.35">
      <c r="A20" s="824" t="s">
        <v>431</v>
      </c>
      <c r="B20" s="822">
        <f>'ROI Number insert'!F6</f>
        <v>0.02</v>
      </c>
      <c r="C20" s="823">
        <v>1</v>
      </c>
      <c r="D20" s="825">
        <f>FV(B20,C20,,-B6)</f>
        <v>2244000</v>
      </c>
      <c r="E20" s="825">
        <f>D20-B6</f>
        <v>44000</v>
      </c>
      <c r="F20" s="826">
        <f>E20/B7</f>
        <v>5.1079637798931973E-2</v>
      </c>
    </row>
    <row r="21" spans="1:7" ht="16.2" thickBot="1" x14ac:dyDescent="0.35">
      <c r="A21" s="793"/>
      <c r="B21" s="414"/>
    </row>
    <row r="22" spans="1:7" ht="15.6" x14ac:dyDescent="0.3">
      <c r="A22" s="795" t="s">
        <v>428</v>
      </c>
      <c r="B22" s="806" t="s">
        <v>141</v>
      </c>
      <c r="C22" s="807">
        <f>'Total Result'!C47</f>
        <v>5.0035317040614861E-2</v>
      </c>
    </row>
    <row r="23" spans="1:7" ht="15.6" x14ac:dyDescent="0.3">
      <c r="A23" s="795" t="s">
        <v>442</v>
      </c>
      <c r="B23" s="457" t="s">
        <v>142</v>
      </c>
      <c r="C23" s="507">
        <f>'Total Result'!C48</f>
        <v>2.8463802683488103E-2</v>
      </c>
    </row>
    <row r="24" spans="1:7" ht="15.6" x14ac:dyDescent="0.3">
      <c r="B24" s="457" t="s">
        <v>143</v>
      </c>
      <c r="C24" s="507">
        <f>'Total Result'!C49</f>
        <v>5.1079637798931973E-2</v>
      </c>
    </row>
    <row r="25" spans="1:7" ht="16.2" thickBot="1" x14ac:dyDescent="0.35">
      <c r="A25" s="711" t="s">
        <v>451</v>
      </c>
      <c r="B25" s="508" t="s">
        <v>206</v>
      </c>
      <c r="C25" s="509">
        <f>IF(A25="Property Sold", 'ROI details'!H32, 0)</f>
        <v>0</v>
      </c>
      <c r="D25" s="662" t="s">
        <v>453</v>
      </c>
    </row>
    <row r="26" spans="1:7" ht="16.2" thickBot="1" x14ac:dyDescent="0.35">
      <c r="B26" s="510" t="s">
        <v>387</v>
      </c>
      <c r="C26" s="511">
        <f>SUM(C22:C25)</f>
        <v>0.12957875752303494</v>
      </c>
    </row>
  </sheetData>
  <dataValidations count="1">
    <dataValidation type="list" allowBlank="1" showInputMessage="1" showErrorMessage="1" sqref="A25" xr:uid="{979686B9-06AE-4F84-8A19-E85A2E24610F}">
      <formula1>"Property Sold, Property Hold"</formula1>
    </dataValidation>
  </dataValidations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  <hyperlink ref="D4" location="'Financial Statement'!A1" display="First Year Financial Statement" xr:uid="{CDF32025-AF19-4968-9BC2-8D4B928752D6}"/>
    <hyperlink ref="D25" location="'Calculating offering price'!A84" display=" - Active Appreciation Set Up" xr:uid="{9B819EFA-0DD5-40A0-83E2-6B9F55AA90E5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12</xdr:row>
                    <xdr:rowOff>38100</xdr:rowOff>
                  </from>
                  <to>
                    <xdr:col>5</xdr:col>
                    <xdr:colOff>259080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15</xdr:row>
                    <xdr:rowOff>144780</xdr:rowOff>
                  </from>
                  <to>
                    <xdr:col>7</xdr:col>
                    <xdr:colOff>358140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18</xdr:row>
                    <xdr:rowOff>60960</xdr:rowOff>
                  </from>
                  <to>
                    <xdr:col>6</xdr:col>
                    <xdr:colOff>449580</xdr:colOff>
                    <xdr:row>19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topLeftCell="A84" workbookViewId="0">
      <selection activeCell="A85" sqref="A85"/>
    </sheetView>
  </sheetViews>
  <sheetFormatPr defaultColWidth="8.77734375" defaultRowHeight="14.4" x14ac:dyDescent="0.3"/>
  <cols>
    <col min="1" max="1" width="9.88671875" style="3" customWidth="1"/>
    <col min="2" max="2" width="49.44140625" style="361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16384" width="8.77734375" style="3"/>
  </cols>
  <sheetData>
    <row r="1" spans="1:8" ht="19.5" customHeight="1" thickBot="1" x14ac:dyDescent="0.35">
      <c r="A1" s="5" t="s">
        <v>392</v>
      </c>
      <c r="B1" s="312" t="s">
        <v>0</v>
      </c>
      <c r="D1" s="4"/>
      <c r="H1" s="4"/>
    </row>
    <row r="2" spans="1:8" ht="24" thickBot="1" x14ac:dyDescent="0.35">
      <c r="B2" s="859" t="s">
        <v>1</v>
      </c>
      <c r="C2" s="860"/>
      <c r="F2" s="5"/>
    </row>
    <row r="3" spans="1:8" ht="31.05" customHeight="1" thickTop="1" thickBot="1" x14ac:dyDescent="0.35">
      <c r="B3" s="712" t="s">
        <v>2</v>
      </c>
      <c r="C3" s="683" t="s">
        <v>436</v>
      </c>
      <c r="F3" s="6" t="s">
        <v>4</v>
      </c>
    </row>
    <row r="4" spans="1:8" ht="16.8" thickTop="1" thickBot="1" x14ac:dyDescent="0.35">
      <c r="B4" s="713" t="s">
        <v>5</v>
      </c>
      <c r="C4" s="684">
        <v>6500000</v>
      </c>
      <c r="F4" s="7" t="s">
        <v>6</v>
      </c>
      <c r="H4" s="4"/>
    </row>
    <row r="5" spans="1:8" ht="16.8" thickTop="1" thickBot="1" x14ac:dyDescent="0.35">
      <c r="B5" s="714" t="s">
        <v>7</v>
      </c>
      <c r="C5" s="684">
        <f>C59</f>
        <v>2020705.882352941</v>
      </c>
      <c r="D5" s="8" t="s">
        <v>236</v>
      </c>
      <c r="F5" s="3" t="s">
        <v>8</v>
      </c>
      <c r="H5" s="4"/>
    </row>
    <row r="6" spans="1:8" ht="13.5" customHeight="1" thickTop="1" thickBot="1" x14ac:dyDescent="0.35">
      <c r="B6" s="714" t="s">
        <v>9</v>
      </c>
      <c r="C6" s="685">
        <v>0</v>
      </c>
      <c r="F6" s="3" t="s">
        <v>10</v>
      </c>
      <c r="H6" s="4"/>
    </row>
    <row r="7" spans="1:8" ht="16.2" thickTop="1" x14ac:dyDescent="0.3">
      <c r="B7" s="714" t="s">
        <v>11</v>
      </c>
      <c r="C7" s="717">
        <f>C5*0.8</f>
        <v>1616564.7058823528</v>
      </c>
      <c r="F7" s="3" t="s">
        <v>12</v>
      </c>
      <c r="H7" s="4"/>
    </row>
    <row r="8" spans="1:8" ht="15" customHeight="1" thickBot="1" x14ac:dyDescent="0.35">
      <c r="B8" s="714" t="s">
        <v>13</v>
      </c>
      <c r="C8" s="717">
        <f>C5*6%</f>
        <v>121242.35294117645</v>
      </c>
      <c r="D8" s="2"/>
      <c r="F8" s="3" t="s">
        <v>14</v>
      </c>
      <c r="H8" s="4"/>
    </row>
    <row r="9" spans="1:8" ht="16.8" thickTop="1" thickBot="1" x14ac:dyDescent="0.35">
      <c r="B9" s="715" t="s">
        <v>15</v>
      </c>
      <c r="C9" s="684">
        <v>0</v>
      </c>
      <c r="D9" s="4"/>
      <c r="F9" s="3" t="s">
        <v>16</v>
      </c>
      <c r="H9" s="4"/>
    </row>
    <row r="10" spans="1:8" ht="16.8" thickTop="1" thickBot="1" x14ac:dyDescent="0.35">
      <c r="B10" s="714" t="s">
        <v>17</v>
      </c>
      <c r="C10" s="717">
        <f>C37</f>
        <v>11686.368158434527</v>
      </c>
      <c r="D10" s="4"/>
      <c r="F10" s="3" t="s">
        <v>3</v>
      </c>
      <c r="H10" s="4"/>
    </row>
    <row r="11" spans="1:8" ht="16.8" thickTop="1" thickBot="1" x14ac:dyDescent="0.35">
      <c r="B11" s="714" t="s">
        <v>18</v>
      </c>
      <c r="C11" s="685">
        <v>0</v>
      </c>
      <c r="D11" s="4"/>
      <c r="F11" s="3" t="s">
        <v>298</v>
      </c>
      <c r="H11" s="4"/>
    </row>
    <row r="12" spans="1:8" ht="16.8" thickTop="1" thickBot="1" x14ac:dyDescent="0.35">
      <c r="B12" s="714" t="s">
        <v>19</v>
      </c>
      <c r="C12" s="717">
        <f>C10*C11</f>
        <v>0</v>
      </c>
      <c r="D12" s="4"/>
      <c r="F12" s="3" t="s">
        <v>436</v>
      </c>
      <c r="H12" s="10"/>
    </row>
    <row r="13" spans="1:8" ht="16.8" thickTop="1" thickBot="1" x14ac:dyDescent="0.35">
      <c r="B13" s="714" t="s">
        <v>20</v>
      </c>
      <c r="C13" s="686">
        <v>0.35</v>
      </c>
      <c r="D13" s="4"/>
      <c r="H13" s="4"/>
    </row>
    <row r="14" spans="1:8" ht="16.8" thickTop="1" thickBot="1" x14ac:dyDescent="0.35">
      <c r="A14" s="195"/>
      <c r="B14" s="716" t="s">
        <v>214</v>
      </c>
      <c r="C14" s="718">
        <f>C7-C9-C12-C8</f>
        <v>1495322.3529411764</v>
      </c>
      <c r="D14" s="4"/>
      <c r="H14" s="4"/>
    </row>
    <row r="15" spans="1:8" ht="16.2" thickBot="1" x14ac:dyDescent="0.35">
      <c r="B15" s="861" t="s">
        <v>21</v>
      </c>
      <c r="C15" s="862"/>
      <c r="D15" s="4"/>
      <c r="H15" s="4"/>
    </row>
    <row r="16" spans="1:8" ht="15.6" x14ac:dyDescent="0.3">
      <c r="B16" s="719" t="s">
        <v>22</v>
      </c>
      <c r="C16" s="720">
        <f>C14*C13</f>
        <v>523362.82352941169</v>
      </c>
      <c r="D16" s="4"/>
      <c r="H16" s="4"/>
    </row>
    <row r="17" spans="2:9" ht="15.6" x14ac:dyDescent="0.3">
      <c r="B17" s="721" t="s">
        <v>234</v>
      </c>
      <c r="C17" s="722">
        <f>C14*4.5%</f>
        <v>67289.50588235294</v>
      </c>
      <c r="D17" s="8" t="s">
        <v>23</v>
      </c>
      <c r="H17" s="4"/>
    </row>
    <row r="18" spans="2:9" ht="16.2" thickBot="1" x14ac:dyDescent="0.35">
      <c r="B18" s="721" t="s">
        <v>24</v>
      </c>
      <c r="C18" s="722">
        <f>C9+C16+C17</f>
        <v>590652.32941176463</v>
      </c>
      <c r="D18" s="4"/>
      <c r="H18" s="4"/>
    </row>
    <row r="19" spans="2:9" ht="16.05" customHeight="1" thickTop="1" thickBot="1" x14ac:dyDescent="0.35">
      <c r="B19" s="723" t="s">
        <v>232</v>
      </c>
      <c r="C19" s="684">
        <v>861400</v>
      </c>
      <c r="D19" s="867" t="s">
        <v>235</v>
      </c>
      <c r="E19" s="868"/>
      <c r="F19" s="868"/>
      <c r="G19" s="868"/>
      <c r="H19" s="868"/>
    </row>
    <row r="20" spans="2:9" ht="21.75" customHeight="1" thickBot="1" x14ac:dyDescent="0.35">
      <c r="B20" s="863" t="s">
        <v>7</v>
      </c>
      <c r="C20" s="864"/>
      <c r="D20" s="8"/>
      <c r="E20" s="8"/>
      <c r="F20" s="8"/>
      <c r="G20" s="4"/>
      <c r="H20" s="4"/>
    </row>
    <row r="21" spans="2:9" ht="27.45" customHeight="1" x14ac:dyDescent="0.3">
      <c r="B21" s="724" t="s">
        <v>242</v>
      </c>
      <c r="C21" s="725" t="e">
        <f>C46*C6</f>
        <v>#DIV/0!</v>
      </c>
      <c r="D21" s="869" t="s">
        <v>25</v>
      </c>
      <c r="E21" s="870"/>
      <c r="F21" s="870"/>
      <c r="G21" s="870"/>
      <c r="H21" s="870"/>
      <c r="I21" s="243"/>
    </row>
    <row r="22" spans="2:9" ht="18.75" customHeight="1" x14ac:dyDescent="0.3">
      <c r="B22" s="726" t="str">
        <f>B66</f>
        <v>Conservative CF Multiplier Evaluation</v>
      </c>
      <c r="C22" s="727">
        <f>C78</f>
        <v>2147000</v>
      </c>
      <c r="F22" s="4"/>
      <c r="G22" s="4"/>
      <c r="H22" s="4"/>
    </row>
    <row r="23" spans="2:9" ht="16.2" thickBot="1" x14ac:dyDescent="0.35">
      <c r="B23" s="726" t="str">
        <f>B47</f>
        <v>CF Multiplier Evaluation</v>
      </c>
      <c r="C23" s="727">
        <f>C59</f>
        <v>2020705.882352941</v>
      </c>
      <c r="H23" s="4"/>
    </row>
    <row r="24" spans="2:9" ht="16.2" thickBot="1" x14ac:dyDescent="0.35">
      <c r="B24" s="865" t="s">
        <v>26</v>
      </c>
      <c r="C24" s="866"/>
      <c r="H24" s="4"/>
    </row>
    <row r="25" spans="2:9" ht="15.6" x14ac:dyDescent="0.3">
      <c r="B25" s="323" t="s">
        <v>27</v>
      </c>
      <c r="C25" s="242">
        <f>C14*(100%-C13)</f>
        <v>971959.5294117647</v>
      </c>
      <c r="D25" s="8" t="s">
        <v>28</v>
      </c>
      <c r="H25" s="4"/>
    </row>
    <row r="26" spans="2:9" ht="15.6" x14ac:dyDescent="0.3">
      <c r="B26" s="745" t="s">
        <v>29</v>
      </c>
      <c r="C26" s="310">
        <f>'Mortgage Caculator'!C11</f>
        <v>9433.2721099051178</v>
      </c>
      <c r="D26" s="2" t="s">
        <v>30</v>
      </c>
    </row>
    <row r="27" spans="2:9" ht="16.2" thickBot="1" x14ac:dyDescent="0.35">
      <c r="B27" s="325" t="s">
        <v>31</v>
      </c>
      <c r="C27" s="13">
        <f>C26*12</f>
        <v>113199.26531886141</v>
      </c>
      <c r="H27" s="4"/>
    </row>
    <row r="28" spans="2:9" ht="16.8" thickTop="1" thickBot="1" x14ac:dyDescent="0.35">
      <c r="B28" s="326" t="s">
        <v>32</v>
      </c>
      <c r="C28" s="687">
        <f>2066000*0.703495%</f>
        <v>14534.206700000001</v>
      </c>
      <c r="D28" s="3" t="s">
        <v>211</v>
      </c>
      <c r="G28" s="5" t="s">
        <v>437</v>
      </c>
      <c r="H28" s="830" t="s">
        <v>438</v>
      </c>
    </row>
    <row r="29" spans="2:9" ht="16.2" thickTop="1" x14ac:dyDescent="0.3">
      <c r="B29" s="327" t="s">
        <v>33</v>
      </c>
      <c r="C29" s="14">
        <f>C28/12</f>
        <v>1211.1838916666668</v>
      </c>
      <c r="E29" s="15"/>
      <c r="F29" s="15"/>
      <c r="H29" s="4"/>
    </row>
    <row r="30" spans="2:9" ht="27" customHeight="1" thickBot="1" x14ac:dyDescent="0.35">
      <c r="B30" s="328" t="s">
        <v>34</v>
      </c>
      <c r="C30" s="244">
        <f>'Debt payment Calculator'!C6</f>
        <v>0</v>
      </c>
      <c r="D30" s="871" t="s">
        <v>35</v>
      </c>
      <c r="E30" s="870"/>
      <c r="F30" s="870"/>
      <c r="G30" s="870"/>
      <c r="H30" s="870"/>
    </row>
    <row r="31" spans="2:9" ht="16.5" customHeight="1" thickTop="1" thickBot="1" x14ac:dyDescent="0.35">
      <c r="B31" s="329" t="s">
        <v>246</v>
      </c>
      <c r="C31" s="684">
        <v>0</v>
      </c>
      <c r="D31" s="281" t="s">
        <v>30</v>
      </c>
      <c r="E31" s="270"/>
      <c r="F31" s="270"/>
      <c r="G31" s="270"/>
      <c r="H31" s="270"/>
    </row>
    <row r="32" spans="2:9" ht="16.8" thickTop="1" thickBot="1" x14ac:dyDescent="0.35">
      <c r="B32" s="330" t="s">
        <v>36</v>
      </c>
      <c r="C32" s="687">
        <f>145*12</f>
        <v>1740</v>
      </c>
      <c r="F32" s="4"/>
      <c r="G32" s="4"/>
      <c r="H32" s="4"/>
    </row>
    <row r="33" spans="2:9" ht="13.5" customHeight="1" thickTop="1" thickBot="1" x14ac:dyDescent="0.35">
      <c r="B33" s="330" t="s">
        <v>37</v>
      </c>
      <c r="C33" s="16">
        <f>C7*0.38%</f>
        <v>6142.9458823529403</v>
      </c>
      <c r="D33" s="2" t="s">
        <v>38</v>
      </c>
      <c r="F33" s="4"/>
      <c r="G33" s="4"/>
      <c r="H33" s="4"/>
    </row>
    <row r="34" spans="2:9" ht="16.8" thickTop="1" thickBot="1" x14ac:dyDescent="0.35">
      <c r="B34" s="331" t="s">
        <v>39</v>
      </c>
      <c r="C34" s="687">
        <v>385</v>
      </c>
      <c r="F34" s="4"/>
      <c r="G34" s="4"/>
      <c r="H34" s="4"/>
    </row>
    <row r="35" spans="2:9" ht="16.2" thickTop="1" x14ac:dyDescent="0.3">
      <c r="B35" s="332" t="s">
        <v>40</v>
      </c>
      <c r="C35" s="17">
        <f>C34*12</f>
        <v>4620</v>
      </c>
      <c r="F35" s="4"/>
      <c r="G35" s="4"/>
      <c r="H35" s="4"/>
    </row>
    <row r="36" spans="2:9" ht="15.6" x14ac:dyDescent="0.3">
      <c r="B36" s="333" t="s">
        <v>41</v>
      </c>
      <c r="C36" s="18">
        <f>C27+C28+(C30*12)+C32+C33+C35</f>
        <v>140236.41790121433</v>
      </c>
      <c r="F36" s="4"/>
      <c r="G36" s="4"/>
      <c r="H36" s="4"/>
    </row>
    <row r="37" spans="2:9" ht="16.2" thickBot="1" x14ac:dyDescent="0.35">
      <c r="B37" s="334" t="s">
        <v>42</v>
      </c>
      <c r="C37" s="19">
        <f>C36/12</f>
        <v>11686.368158434527</v>
      </c>
      <c r="F37" s="4"/>
      <c r="G37" s="4"/>
      <c r="H37" s="4"/>
    </row>
    <row r="38" spans="2:9" ht="18.600000000000001" thickBot="1" x14ac:dyDescent="0.4">
      <c r="B38" s="335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6"/>
      <c r="C39" s="245" t="s">
        <v>45</v>
      </c>
      <c r="D39" s="245" t="s">
        <v>46</v>
      </c>
      <c r="E39" s="246" t="s">
        <v>47</v>
      </c>
      <c r="F39" s="4"/>
      <c r="G39" s="4"/>
      <c r="H39" s="4"/>
    </row>
    <row r="40" spans="2:9" ht="16.2" thickBot="1" x14ac:dyDescent="0.35">
      <c r="B40" s="337" t="s">
        <v>48</v>
      </c>
      <c r="C40" s="20" t="str">
        <f>C3</f>
        <v>Commercial</v>
      </c>
      <c r="D40" s="20" t="str">
        <f>C3</f>
        <v>Commercial</v>
      </c>
      <c r="E40" s="247" t="str">
        <f>C3</f>
        <v>Commercial</v>
      </c>
      <c r="F40" s="4"/>
      <c r="G40" s="21" t="s">
        <v>49</v>
      </c>
      <c r="H40" s="22"/>
    </row>
    <row r="41" spans="2:9" ht="16.8" thickTop="1" thickBot="1" x14ac:dyDescent="0.35">
      <c r="B41" s="337" t="s">
        <v>51</v>
      </c>
      <c r="C41" s="688">
        <v>4</v>
      </c>
      <c r="D41" s="20">
        <f>C41</f>
        <v>4</v>
      </c>
      <c r="E41" s="247">
        <f>C41</f>
        <v>4</v>
      </c>
      <c r="F41" s="4"/>
      <c r="G41" s="4"/>
      <c r="H41" s="4"/>
    </row>
    <row r="42" spans="2:9" ht="16.8" thickTop="1" thickBot="1" x14ac:dyDescent="0.35">
      <c r="B42" s="337" t="s">
        <v>52</v>
      </c>
      <c r="C42" s="688">
        <v>3</v>
      </c>
      <c r="D42" s="20">
        <f>C42</f>
        <v>3</v>
      </c>
      <c r="E42" s="247">
        <f>C42</f>
        <v>3</v>
      </c>
      <c r="F42" s="4"/>
      <c r="G42" s="4"/>
      <c r="H42" s="4"/>
    </row>
    <row r="43" spans="2:9" ht="16.8" thickTop="1" thickBot="1" x14ac:dyDescent="0.35">
      <c r="B43" s="337" t="s">
        <v>9</v>
      </c>
      <c r="C43" s="688">
        <v>0</v>
      </c>
      <c r="D43" s="688">
        <v>0</v>
      </c>
      <c r="E43" s="688">
        <v>0</v>
      </c>
      <c r="F43" s="4"/>
      <c r="G43" s="4"/>
      <c r="H43" s="4"/>
    </row>
    <row r="44" spans="2:9" ht="28.95" customHeight="1" thickTop="1" thickBot="1" x14ac:dyDescent="0.35">
      <c r="B44" s="338" t="s">
        <v>53</v>
      </c>
      <c r="C44" s="684">
        <v>0</v>
      </c>
      <c r="D44" s="684">
        <v>0</v>
      </c>
      <c r="E44" s="684">
        <v>0</v>
      </c>
      <c r="F44" s="4"/>
      <c r="G44" s="868" t="s">
        <v>212</v>
      </c>
      <c r="H44" s="868"/>
      <c r="I44" s="868"/>
    </row>
    <row r="45" spans="2:9" ht="16.8" thickTop="1" thickBot="1" x14ac:dyDescent="0.35">
      <c r="B45" s="339" t="s">
        <v>54</v>
      </c>
      <c r="C45" s="251" t="e">
        <f>C44/C43</f>
        <v>#DIV/0!</v>
      </c>
      <c r="D45" s="248" t="e">
        <f>D44/D43</f>
        <v>#DIV/0!</v>
      </c>
      <c r="E45" s="249" t="e">
        <f>E44/E43</f>
        <v>#DIV/0!</v>
      </c>
      <c r="F45" s="4"/>
      <c r="G45" s="4"/>
      <c r="H45" s="4"/>
    </row>
    <row r="46" spans="2:9" ht="16.2" thickBot="1" x14ac:dyDescent="0.35">
      <c r="B46" s="340" t="s">
        <v>55</v>
      </c>
      <c r="C46" s="250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1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89"/>
      <c r="C48" s="690" t="s">
        <v>56</v>
      </c>
      <c r="D48" s="706" t="s">
        <v>57</v>
      </c>
      <c r="E48" s="707" t="s">
        <v>58</v>
      </c>
      <c r="G48" s="4"/>
      <c r="H48" s="4"/>
    </row>
    <row r="49" spans="2:10" ht="16.8" thickTop="1" thickBot="1" x14ac:dyDescent="0.35">
      <c r="B49" s="691" t="s">
        <v>59</v>
      </c>
      <c r="C49" s="687">
        <v>17561</v>
      </c>
      <c r="D49" s="708">
        <v>0</v>
      </c>
      <c r="E49" s="708">
        <v>0</v>
      </c>
      <c r="F49" s="8" t="s">
        <v>60</v>
      </c>
      <c r="G49" s="4"/>
      <c r="H49" s="4"/>
    </row>
    <row r="50" spans="2:10" ht="15" customHeight="1" thickTop="1" thickBot="1" x14ac:dyDescent="0.35">
      <c r="B50" s="692" t="s">
        <v>61</v>
      </c>
      <c r="C50" s="688">
        <v>1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92" t="s">
        <v>62</v>
      </c>
      <c r="C51" s="693">
        <f>C49*C50</f>
        <v>17561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92" t="s">
        <v>63</v>
      </c>
      <c r="C52" s="693">
        <f>C34</f>
        <v>385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92" t="s">
        <v>64</v>
      </c>
      <c r="C53" s="687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92" t="s">
        <v>65</v>
      </c>
      <c r="C54" s="687">
        <v>0</v>
      </c>
      <c r="D54" s="26"/>
      <c r="E54" s="728"/>
      <c r="F54" s="24"/>
      <c r="G54" s="24"/>
      <c r="H54" s="24"/>
      <c r="I54" s="25"/>
      <c r="J54" s="25"/>
    </row>
    <row r="55" spans="2:10" ht="16.8" thickTop="1" thickBot="1" x14ac:dyDescent="0.35">
      <c r="B55" s="692" t="s">
        <v>66</v>
      </c>
      <c r="C55" s="687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92" t="s">
        <v>67</v>
      </c>
      <c r="C56" s="687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92" t="s">
        <v>68</v>
      </c>
      <c r="C57" s="693">
        <f>SUM(D49,E49,C51,C53:C56)</f>
        <v>17561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94" t="s">
        <v>69</v>
      </c>
      <c r="C58" s="695">
        <f>C57-C52</f>
        <v>17176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96" t="s">
        <v>7</v>
      </c>
      <c r="C59" s="697">
        <f>C58/0.85%</f>
        <v>2020705.882352941</v>
      </c>
      <c r="D59" s="24" t="s">
        <v>439</v>
      </c>
      <c r="E59" s="24"/>
      <c r="F59" s="24"/>
      <c r="G59" s="24"/>
      <c r="H59" s="24"/>
      <c r="I59" s="25"/>
      <c r="J59" s="25"/>
    </row>
    <row r="60" spans="2:10" ht="15.6" x14ac:dyDescent="0.3">
      <c r="B60" s="696" t="s">
        <v>5</v>
      </c>
      <c r="C60" s="697">
        <f>C4</f>
        <v>6500000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98" t="s">
        <v>72</v>
      </c>
      <c r="C61" s="699">
        <f>C14*0.6%</f>
        <v>8971.9341176470589</v>
      </c>
      <c r="D61" s="858" t="s">
        <v>213</v>
      </c>
      <c r="E61" s="858"/>
      <c r="F61" s="858"/>
      <c r="G61" s="858"/>
      <c r="H61" s="858"/>
      <c r="I61" s="23"/>
      <c r="J61" s="23"/>
    </row>
    <row r="62" spans="2:10" s="32" customFormat="1" ht="15.6" x14ac:dyDescent="0.3">
      <c r="B62" s="700" t="s">
        <v>74</v>
      </c>
      <c r="C62" s="701">
        <f>(C60-C14)/C60</f>
        <v>0.76995040723981911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702" t="s">
        <v>76</v>
      </c>
      <c r="C63" s="703">
        <f>C60*0.6%+C52</f>
        <v>39385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704" t="s">
        <v>78</v>
      </c>
      <c r="C64" s="705">
        <f>(C60-C59)/C60</f>
        <v>0.68912217194570147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2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1" t="s">
        <v>278</v>
      </c>
      <c r="C66" s="4"/>
      <c r="D66" s="4"/>
      <c r="E66" s="4"/>
      <c r="G66" s="4"/>
      <c r="H66" s="4"/>
    </row>
    <row r="67" spans="2:9" ht="21" x14ac:dyDescent="0.4">
      <c r="B67" s="343"/>
      <c r="C67" s="263" t="s">
        <v>56</v>
      </c>
      <c r="D67" s="264" t="s">
        <v>57</v>
      </c>
      <c r="E67" s="252" t="s">
        <v>58</v>
      </c>
      <c r="G67" s="4"/>
      <c r="H67" s="4"/>
    </row>
    <row r="68" spans="2:9" ht="16.2" thickBot="1" x14ac:dyDescent="0.35">
      <c r="B68" s="344" t="s">
        <v>59</v>
      </c>
      <c r="C68" s="265">
        <f>C49</f>
        <v>17561</v>
      </c>
      <c r="D68" s="266">
        <f>D49</f>
        <v>0</v>
      </c>
      <c r="E68" s="262">
        <f>E49</f>
        <v>0</v>
      </c>
      <c r="G68" s="4"/>
      <c r="H68" s="4"/>
    </row>
    <row r="69" spans="2:9" ht="15.6" x14ac:dyDescent="0.3">
      <c r="B69" s="345" t="s">
        <v>61</v>
      </c>
      <c r="C69" s="253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5" t="s">
        <v>62</v>
      </c>
      <c r="C70" s="254">
        <f>C68*C69</f>
        <v>17561</v>
      </c>
      <c r="D70" s="35"/>
      <c r="E70" s="35"/>
      <c r="F70" s="36"/>
      <c r="G70" s="35"/>
      <c r="H70" s="35"/>
      <c r="I70" s="36"/>
    </row>
    <row r="71" spans="2:9" ht="15.6" x14ac:dyDescent="0.3">
      <c r="B71" s="345" t="s">
        <v>63</v>
      </c>
      <c r="C71" s="254">
        <f>C52</f>
        <v>385</v>
      </c>
      <c r="D71" s="37"/>
      <c r="E71" s="38"/>
      <c r="F71" s="36"/>
      <c r="G71" s="35"/>
      <c r="H71" s="35"/>
      <c r="I71" s="36"/>
    </row>
    <row r="72" spans="2:9" ht="15.6" x14ac:dyDescent="0.3">
      <c r="B72" s="345" t="s">
        <v>64</v>
      </c>
      <c r="C72" s="254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5" t="s">
        <v>65</v>
      </c>
      <c r="C73" s="254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5" t="s">
        <v>66</v>
      </c>
      <c r="C74" s="254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5" t="s">
        <v>67</v>
      </c>
      <c r="C75" s="254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5" t="s">
        <v>68</v>
      </c>
      <c r="C76" s="254">
        <f>SUM(D68,E68,C70,C72:C75)</f>
        <v>17561</v>
      </c>
      <c r="D76" s="37"/>
      <c r="E76" s="38"/>
      <c r="F76" s="36"/>
      <c r="G76" s="36"/>
      <c r="H76" s="36"/>
      <c r="I76" s="36"/>
    </row>
    <row r="77" spans="2:9" ht="15.6" x14ac:dyDescent="0.3">
      <c r="B77" s="346" t="s">
        <v>69</v>
      </c>
      <c r="C77" s="255">
        <f>C76-C71</f>
        <v>17176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7" t="s">
        <v>7</v>
      </c>
      <c r="C78" s="256">
        <f>C77/0.8%</f>
        <v>2147000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8" t="s">
        <v>5</v>
      </c>
      <c r="C79" s="257">
        <f>C4</f>
        <v>6500000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49" t="s">
        <v>72</v>
      </c>
      <c r="C80" s="258">
        <f>C14*0.8%</f>
        <v>11962.578823529411</v>
      </c>
      <c r="D80" s="872" t="s">
        <v>73</v>
      </c>
      <c r="E80" s="872"/>
      <c r="F80" s="872"/>
      <c r="G80" s="872"/>
      <c r="H80" s="872"/>
      <c r="I80" s="872"/>
    </row>
    <row r="81" spans="2:9" ht="15.6" x14ac:dyDescent="0.3">
      <c r="B81" s="350" t="s">
        <v>74</v>
      </c>
      <c r="C81" s="259">
        <f>(C79-C14)/C79</f>
        <v>0.76995040723981911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1" t="s">
        <v>76</v>
      </c>
      <c r="C82" s="260">
        <f>C79*0.8%+C71</f>
        <v>52385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2" t="s">
        <v>78</v>
      </c>
      <c r="C83" s="261">
        <f>(C79-C78)/C79</f>
        <v>0.6696923076923077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3" t="s">
        <v>80</v>
      </c>
      <c r="C84" s="33"/>
      <c r="D84" s="4"/>
      <c r="E84" s="4"/>
    </row>
    <row r="85" spans="2:9" ht="21.6" thickBot="1" x14ac:dyDescent="0.45">
      <c r="B85" s="354" t="s">
        <v>233</v>
      </c>
      <c r="C85" s="33"/>
      <c r="D85" s="4"/>
      <c r="E85" s="4"/>
    </row>
    <row r="86" spans="2:9" ht="18" x14ac:dyDescent="0.35">
      <c r="B86" s="873" t="s">
        <v>81</v>
      </c>
      <c r="C86" s="874"/>
      <c r="D86" s="2" t="s">
        <v>224</v>
      </c>
    </row>
    <row r="87" spans="2:9" ht="16.2" thickBot="1" x14ac:dyDescent="0.35">
      <c r="B87" s="355" t="s">
        <v>82</v>
      </c>
      <c r="C87" s="381">
        <f>'ROI Number insert'!F6</f>
        <v>0.02</v>
      </c>
      <c r="D87" s="2" t="s">
        <v>223</v>
      </c>
    </row>
    <row r="88" spans="2:9" ht="16.8" thickTop="1" thickBot="1" x14ac:dyDescent="0.35">
      <c r="B88" s="355" t="s">
        <v>83</v>
      </c>
      <c r="C88" s="709">
        <v>10</v>
      </c>
      <c r="D88" s="2" t="s">
        <v>84</v>
      </c>
    </row>
    <row r="89" spans="2:9" ht="16.2" thickTop="1" x14ac:dyDescent="0.3">
      <c r="B89" s="355" t="s">
        <v>250</v>
      </c>
      <c r="C89" s="286">
        <f ca="1">TODAY()</f>
        <v>44919</v>
      </c>
      <c r="D89" s="2"/>
    </row>
    <row r="90" spans="2:9" ht="15.6" x14ac:dyDescent="0.3">
      <c r="B90" s="355" t="s">
        <v>251</v>
      </c>
      <c r="C90" s="286">
        <f ca="1">C89+C88*366</f>
        <v>48579</v>
      </c>
      <c r="D90" s="2"/>
    </row>
    <row r="91" spans="2:9" ht="15.6" x14ac:dyDescent="0.3">
      <c r="B91" s="355" t="s">
        <v>85</v>
      </c>
      <c r="C91" s="41">
        <f>'ROI Number insert'!F3</f>
        <v>2200000</v>
      </c>
      <c r="D91" s="285"/>
    </row>
    <row r="92" spans="2:9" ht="15.6" x14ac:dyDescent="0.3">
      <c r="B92" s="356" t="s">
        <v>86</v>
      </c>
      <c r="C92" s="42">
        <f>FV(C87,C88,,-C91,)</f>
        <v>2681787.7239884655</v>
      </c>
      <c r="D92" s="285"/>
    </row>
    <row r="93" spans="2:9" ht="16.2" thickBot="1" x14ac:dyDescent="0.35">
      <c r="B93" s="357" t="s">
        <v>87</v>
      </c>
      <c r="C93" s="43">
        <f>C92-'ROI Number insert'!F3</f>
        <v>481787.7239884655</v>
      </c>
    </row>
    <row r="94" spans="2:9" ht="15.6" x14ac:dyDescent="0.3">
      <c r="B94" s="358" t="s">
        <v>95</v>
      </c>
      <c r="C94" s="44">
        <f>'ROI Number insert'!F3</f>
        <v>2200000</v>
      </c>
    </row>
    <row r="95" spans="2:9" ht="15.6" x14ac:dyDescent="0.3">
      <c r="B95" s="359" t="s">
        <v>89</v>
      </c>
      <c r="C95" s="45">
        <f>FV(C87,C88,,-'ROI Number insert'!F3)</f>
        <v>2681787.7239884655</v>
      </c>
      <c r="D95" s="3" t="s">
        <v>90</v>
      </c>
    </row>
    <row r="96" spans="2:9" ht="16.2" thickBot="1" x14ac:dyDescent="0.35">
      <c r="B96" s="360" t="s">
        <v>91</v>
      </c>
      <c r="C96" s="46">
        <f>C95-C94</f>
        <v>481787.7239884655</v>
      </c>
      <c r="D96" s="3" t="s">
        <v>92</v>
      </c>
    </row>
    <row r="97" spans="2:4" ht="15" thickBot="1" x14ac:dyDescent="0.35"/>
    <row r="98" spans="2:4" ht="18.600000000000001" thickBot="1" x14ac:dyDescent="0.4">
      <c r="B98" s="875" t="s">
        <v>219</v>
      </c>
      <c r="C98" s="876"/>
    </row>
    <row r="99" spans="2:4" ht="16.8" thickTop="1" thickBot="1" x14ac:dyDescent="0.35">
      <c r="B99" s="362" t="s">
        <v>82</v>
      </c>
      <c r="C99" s="710">
        <v>1.4999999999999999E-2</v>
      </c>
      <c r="D99" s="3" t="s">
        <v>221</v>
      </c>
    </row>
    <row r="100" spans="2:4" ht="16.2" thickTop="1" x14ac:dyDescent="0.3">
      <c r="B100" s="362" t="s">
        <v>83</v>
      </c>
      <c r="C100" s="206">
        <v>10</v>
      </c>
    </row>
    <row r="101" spans="2:4" ht="15.6" x14ac:dyDescent="0.3">
      <c r="B101" s="362" t="s">
        <v>252</v>
      </c>
      <c r="C101" s="287">
        <f ca="1">C89+10*366</f>
        <v>48579</v>
      </c>
    </row>
    <row r="102" spans="2:4" ht="15.6" x14ac:dyDescent="0.3">
      <c r="B102" s="362" t="s">
        <v>85</v>
      </c>
      <c r="C102" s="47">
        <f>C91</f>
        <v>2200000</v>
      </c>
    </row>
    <row r="103" spans="2:4" ht="15.6" x14ac:dyDescent="0.3">
      <c r="B103" s="362" t="s">
        <v>86</v>
      </c>
      <c r="C103" s="47">
        <f>FV(C99,C100,,-C102)</f>
        <v>2553189.815055327</v>
      </c>
    </row>
    <row r="104" spans="2:4" ht="16.2" thickBot="1" x14ac:dyDescent="0.35">
      <c r="B104" s="363" t="s">
        <v>87</v>
      </c>
      <c r="C104" s="48">
        <f>C103-'ROI Number insert'!F3</f>
        <v>353189.81505532702</v>
      </c>
    </row>
    <row r="105" spans="2:4" ht="15.6" x14ac:dyDescent="0.3">
      <c r="B105" s="364" t="s">
        <v>95</v>
      </c>
      <c r="C105" s="49">
        <f>C94</f>
        <v>2200000</v>
      </c>
    </row>
    <row r="106" spans="2:4" ht="15.6" x14ac:dyDescent="0.3">
      <c r="B106" s="362" t="s">
        <v>89</v>
      </c>
      <c r="C106" s="47">
        <f>FV(C99,C100,,-'ROI Number insert'!F3)</f>
        <v>2553189.815055327</v>
      </c>
    </row>
    <row r="107" spans="2:4" ht="16.2" thickBot="1" x14ac:dyDescent="0.35">
      <c r="B107" s="363" t="s">
        <v>91</v>
      </c>
      <c r="C107" s="48">
        <f>C106-C105</f>
        <v>353189.81505532702</v>
      </c>
    </row>
    <row r="108" spans="2:4" ht="15" thickBot="1" x14ac:dyDescent="0.35"/>
    <row r="109" spans="2:4" ht="18.600000000000001" thickBot="1" x14ac:dyDescent="0.4">
      <c r="B109" s="856" t="s">
        <v>220</v>
      </c>
      <c r="C109" s="857"/>
    </row>
    <row r="110" spans="2:4" ht="16.8" thickTop="1" thickBot="1" x14ac:dyDescent="0.35">
      <c r="B110" s="365" t="s">
        <v>82</v>
      </c>
      <c r="C110" s="710">
        <v>0.02</v>
      </c>
      <c r="D110" s="3" t="s">
        <v>222</v>
      </c>
    </row>
    <row r="111" spans="2:4" ht="16.2" thickTop="1" x14ac:dyDescent="0.3">
      <c r="B111" s="365" t="s">
        <v>83</v>
      </c>
      <c r="C111" s="207">
        <v>15</v>
      </c>
    </row>
    <row r="112" spans="2:4" ht="15.6" x14ac:dyDescent="0.3">
      <c r="B112" s="365" t="s">
        <v>252</v>
      </c>
      <c r="C112" s="288">
        <f ca="1">C89+C111*366</f>
        <v>50409</v>
      </c>
    </row>
    <row r="113" spans="2:3" ht="15.6" x14ac:dyDescent="0.3">
      <c r="B113" s="365" t="s">
        <v>85</v>
      </c>
      <c r="C113" s="192">
        <f>C102</f>
        <v>2200000</v>
      </c>
    </row>
    <row r="114" spans="2:3" ht="15.6" x14ac:dyDescent="0.3">
      <c r="B114" s="365" t="s">
        <v>86</v>
      </c>
      <c r="C114" s="192">
        <f>FV(C110,C111,,-C113)</f>
        <v>2960910.3443130841</v>
      </c>
    </row>
    <row r="115" spans="2:3" ht="16.2" thickBot="1" x14ac:dyDescent="0.35">
      <c r="B115" s="366" t="s">
        <v>87</v>
      </c>
      <c r="C115" s="193">
        <f>C114-'ROI Number insert'!F3</f>
        <v>760910.34431308415</v>
      </c>
    </row>
    <row r="116" spans="2:3" ht="15.6" x14ac:dyDescent="0.3">
      <c r="B116" s="367" t="s">
        <v>95</v>
      </c>
      <c r="C116" s="194">
        <f>C94</f>
        <v>2200000</v>
      </c>
    </row>
    <row r="117" spans="2:3" ht="15.6" x14ac:dyDescent="0.3">
      <c r="B117" s="365" t="s">
        <v>89</v>
      </c>
      <c r="C117" s="192">
        <f>FV(C110,C111,,-'ROI Number insert'!F3)</f>
        <v>2960910.3443130841</v>
      </c>
    </row>
    <row r="118" spans="2:3" ht="16.2" thickBot="1" x14ac:dyDescent="0.35">
      <c r="B118" s="366" t="s">
        <v>91</v>
      </c>
      <c r="C118" s="193">
        <f>C117-C116</f>
        <v>760910.34431308415</v>
      </c>
    </row>
  </sheetData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  <hyperlink ref="G28" r:id="rId1" display="Property tax rate" xr:uid="{051DC3E3-A3AB-4AD3-926D-B5A41FBE2BFD}"/>
    <hyperlink ref="H28" r:id="rId2" xr:uid="{DD0A591D-94E1-482A-9A6F-050C71B2FD53}"/>
  </hyperlinks>
  <pageMargins left="0.7" right="0.7" top="0.75" bottom="0.75" header="0.3" footer="0.3"/>
  <pageSetup orientation="portrait" horizontalDpi="4294967293" verticalDpi="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6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O249"/>
  <sheetViews>
    <sheetView topLeftCell="A40" workbookViewId="0">
      <selection activeCell="A84" sqref="A84"/>
    </sheetView>
  </sheetViews>
  <sheetFormatPr defaultRowHeight="15.6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31.77734375" customWidth="1"/>
    <col min="6" max="6" width="15.21875" style="160" customWidth="1"/>
    <col min="7" max="7" width="18.44140625" bestFit="1" customWidth="1"/>
    <col min="8" max="8" width="24.88671875" style="161" bestFit="1" customWidth="1"/>
    <col min="9" max="9" width="18.77734375" customWidth="1"/>
    <col min="10" max="10" width="17.8867187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customWidth="1"/>
    <col min="16" max="16" width="13.21875" customWidth="1"/>
  </cols>
  <sheetData>
    <row r="1" spans="1:14" ht="42" customHeight="1" thickBot="1" x14ac:dyDescent="0.35">
      <c r="A1" s="682" t="s">
        <v>392</v>
      </c>
      <c r="C1" s="1"/>
      <c r="E1" s="879" t="s">
        <v>93</v>
      </c>
      <c r="F1" s="879"/>
      <c r="G1" s="879"/>
      <c r="H1" s="879"/>
      <c r="I1" s="879"/>
      <c r="J1" s="1"/>
      <c r="K1" s="1"/>
      <c r="L1" s="1"/>
      <c r="M1" s="1"/>
    </row>
    <row r="2" spans="1:14" ht="17.25" customHeight="1" thickTop="1" thickBot="1" x14ac:dyDescent="0.35">
      <c r="B2" s="306" t="s">
        <v>270</v>
      </c>
      <c r="C2" s="729">
        <v>44890</v>
      </c>
      <c r="E2" s="742" t="s">
        <v>5</v>
      </c>
      <c r="F2" s="743">
        <f>'Calculating offering price'!C4</f>
        <v>6500000</v>
      </c>
      <c r="G2" s="52"/>
      <c r="H2" s="880" t="s">
        <v>94</v>
      </c>
      <c r="I2" s="881"/>
      <c r="J2" s="1"/>
      <c r="K2" s="1"/>
      <c r="L2" s="1"/>
      <c r="M2" s="1"/>
      <c r="N2" s="1"/>
    </row>
    <row r="3" spans="1:14" ht="16.8" thickTop="1" thickBot="1" x14ac:dyDescent="0.35">
      <c r="B3" s="307" t="s">
        <v>271</v>
      </c>
      <c r="C3" s="730" t="s">
        <v>440</v>
      </c>
      <c r="D3" s="309"/>
      <c r="E3" s="741" t="s">
        <v>95</v>
      </c>
      <c r="F3" s="687">
        <v>2200000</v>
      </c>
      <c r="G3" s="284" t="s">
        <v>248</v>
      </c>
      <c r="H3" s="237" t="s">
        <v>96</v>
      </c>
      <c r="I3" s="732">
        <v>0.03</v>
      </c>
      <c r="J3" s="1"/>
      <c r="K3" s="1"/>
      <c r="L3" s="1"/>
      <c r="M3" s="1"/>
      <c r="N3" s="1"/>
    </row>
    <row r="4" spans="1:14" ht="16.8" thickTop="1" thickBot="1" x14ac:dyDescent="0.35">
      <c r="B4" s="307" t="s">
        <v>272</v>
      </c>
      <c r="C4" s="730" t="s">
        <v>441</v>
      </c>
      <c r="D4" s="303"/>
      <c r="E4" s="301" t="s">
        <v>97</v>
      </c>
      <c r="F4" s="685">
        <v>25</v>
      </c>
      <c r="G4" s="284" t="s">
        <v>249</v>
      </c>
      <c r="H4" s="53" t="s">
        <v>98</v>
      </c>
      <c r="I4" s="54">
        <f>F3*I3</f>
        <v>66000</v>
      </c>
      <c r="J4" s="1"/>
      <c r="K4" s="1"/>
      <c r="L4" s="1"/>
      <c r="M4" s="1"/>
      <c r="N4" s="1"/>
    </row>
    <row r="5" spans="1:14" ht="16.8" thickTop="1" thickBot="1" x14ac:dyDescent="0.35">
      <c r="B5" s="308" t="s">
        <v>274</v>
      </c>
      <c r="C5" s="731">
        <v>2066000</v>
      </c>
      <c r="D5" s="303"/>
      <c r="E5" s="302" t="s">
        <v>99</v>
      </c>
      <c r="F5" s="732">
        <v>6.25E-2</v>
      </c>
      <c r="G5" s="1"/>
      <c r="H5" s="53" t="s">
        <v>100</v>
      </c>
      <c r="I5" s="708">
        <v>800</v>
      </c>
      <c r="J5" s="1"/>
      <c r="K5" s="1"/>
      <c r="L5" s="1"/>
      <c r="M5" s="1"/>
      <c r="N5" s="1"/>
    </row>
    <row r="6" spans="1:14" ht="16.8" thickTop="1" thickBot="1" x14ac:dyDescent="0.35">
      <c r="D6" s="305"/>
      <c r="E6" s="302" t="s">
        <v>101</v>
      </c>
      <c r="F6" s="732">
        <v>0.02</v>
      </c>
      <c r="G6" s="1"/>
      <c r="H6" s="53" t="s">
        <v>102</v>
      </c>
      <c r="I6" s="708">
        <v>800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732">
        <v>3.85E-2</v>
      </c>
      <c r="G7" s="1"/>
      <c r="H7" s="57" t="s">
        <v>103</v>
      </c>
      <c r="I7" s="784">
        <v>1800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732">
        <v>0.02</v>
      </c>
      <c r="G8" s="1"/>
      <c r="H8" s="57" t="s">
        <v>105</v>
      </c>
      <c r="I8" s="785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0.35</v>
      </c>
      <c r="G9" s="1"/>
      <c r="H9" s="59" t="s">
        <v>106</v>
      </c>
      <c r="I9" s="60">
        <f>F3*1%</f>
        <v>22000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91400</v>
      </c>
      <c r="G10" s="1"/>
      <c r="H10" s="882" t="s">
        <v>26</v>
      </c>
      <c r="I10" s="883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770000</v>
      </c>
      <c r="G11" s="1"/>
      <c r="H11" s="278" t="s">
        <v>27</v>
      </c>
      <c r="I11" s="279">
        <f>F12</f>
        <v>1430000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1430000</v>
      </c>
      <c r="G12" s="1"/>
      <c r="H12" s="197" t="s">
        <v>110</v>
      </c>
      <c r="I12" s="65">
        <f>'Calculating offering price'!C26</f>
        <v>9433.2721099051178</v>
      </c>
      <c r="J12" s="1"/>
      <c r="K12" s="1"/>
      <c r="L12" s="1"/>
      <c r="M12" s="1"/>
      <c r="N12" s="1"/>
    </row>
    <row r="13" spans="1:14" ht="31.2" x14ac:dyDescent="0.3">
      <c r="C13" s="1"/>
      <c r="E13" s="737" t="s">
        <v>15</v>
      </c>
      <c r="F13" s="777">
        <f>'Calculating offering price'!C9</f>
        <v>0</v>
      </c>
      <c r="G13" s="1"/>
      <c r="H13" s="67" t="s">
        <v>31</v>
      </c>
      <c r="I13" s="68">
        <f>I12*12</f>
        <v>113199.26531886141</v>
      </c>
      <c r="J13" s="1"/>
      <c r="K13" s="1"/>
      <c r="L13" s="1"/>
      <c r="M13" s="1"/>
      <c r="N13" s="1"/>
    </row>
    <row r="14" spans="1:14" ht="31.2" x14ac:dyDescent="0.3">
      <c r="C14" s="1"/>
      <c r="E14" s="776" t="s">
        <v>215</v>
      </c>
      <c r="F14" s="779">
        <f>'Calculating offering price'!C11</f>
        <v>0</v>
      </c>
      <c r="G14" s="1"/>
      <c r="H14" s="70" t="s">
        <v>111</v>
      </c>
      <c r="I14" s="71">
        <f>'Calculating offering price'!C28</f>
        <v>14534.206700000001</v>
      </c>
      <c r="J14" s="1"/>
      <c r="K14" s="1"/>
      <c r="L14" s="1"/>
      <c r="M14" s="1"/>
      <c r="N14" s="1"/>
    </row>
    <row r="15" spans="1:14" ht="31.2" x14ac:dyDescent="0.3">
      <c r="C15" s="1"/>
      <c r="E15" s="738" t="s">
        <v>26</v>
      </c>
      <c r="F15" s="778">
        <f>F16*F14</f>
        <v>0</v>
      </c>
      <c r="G15" s="1"/>
      <c r="H15" s="70" t="s">
        <v>33</v>
      </c>
      <c r="I15" s="73">
        <f>I14/12</f>
        <v>1211.1838916666668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39" t="s">
        <v>216</v>
      </c>
      <c r="F16" s="740">
        <f>I23</f>
        <v>11686.368158434527</v>
      </c>
      <c r="G16" s="1"/>
      <c r="H16" s="274" t="s">
        <v>112</v>
      </c>
      <c r="I16" s="275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735" t="s">
        <v>209</v>
      </c>
      <c r="F17" s="687">
        <v>3500000</v>
      </c>
      <c r="G17" s="76"/>
      <c r="H17" s="280" t="s">
        <v>246</v>
      </c>
      <c r="I17" s="282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736" t="s">
        <v>288</v>
      </c>
      <c r="F18" s="687">
        <v>2400000</v>
      </c>
      <c r="G18" s="76"/>
      <c r="H18" s="276" t="s">
        <v>36</v>
      </c>
      <c r="I18" s="277">
        <f>'Calculating offering price'!C32</f>
        <v>1740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0" t="s">
        <v>114</v>
      </c>
      <c r="F19" s="371">
        <f>F11+F13+F15+F10</f>
        <v>861400</v>
      </c>
      <c r="G19" s="76"/>
      <c r="H19" s="77" t="s">
        <v>37</v>
      </c>
      <c r="I19" s="75">
        <f>'Calculating offering price'!C33</f>
        <v>6142.9458823529403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861400</v>
      </c>
      <c r="G20" s="76"/>
      <c r="H20" s="80" t="s">
        <v>39</v>
      </c>
      <c r="I20" s="81">
        <f>'Calculating offering price'!C34</f>
        <v>385</v>
      </c>
      <c r="J20" s="76"/>
      <c r="K20" s="76"/>
      <c r="L20" s="76"/>
      <c r="M20" s="76"/>
      <c r="N20" s="78"/>
    </row>
    <row r="21" spans="1:14" s="79" customFormat="1" ht="42.6" thickBot="1" x14ac:dyDescent="0.35">
      <c r="A21" s="76"/>
      <c r="B21" s="1"/>
      <c r="C21" s="76"/>
      <c r="D21" s="76"/>
      <c r="E21" s="196" t="s">
        <v>116</v>
      </c>
      <c r="F21" s="196"/>
      <c r="G21" s="76"/>
      <c r="H21" s="82" t="s">
        <v>40</v>
      </c>
      <c r="I21" s="83">
        <f>I20*12</f>
        <v>4620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886" t="s">
        <v>117</v>
      </c>
      <c r="F22" s="887"/>
      <c r="G22" s="76"/>
      <c r="H22" s="84" t="s">
        <v>41</v>
      </c>
      <c r="I22" s="85">
        <f>I13+I14+I16+I18+I19+I21+I17</f>
        <v>140236.41790121433</v>
      </c>
      <c r="J22" s="76"/>
      <c r="K22" s="76"/>
      <c r="L22" s="76"/>
      <c r="M22" s="76"/>
      <c r="N22" s="86"/>
    </row>
    <row r="23" spans="1:14" ht="31.8" thickBot="1" x14ac:dyDescent="0.35">
      <c r="C23" s="1"/>
      <c r="E23" s="93" t="s">
        <v>118</v>
      </c>
      <c r="F23" s="94">
        <f>'Calculating offering price'!C57</f>
        <v>17561</v>
      </c>
      <c r="G23" s="1"/>
      <c r="H23" s="87" t="s">
        <v>42</v>
      </c>
      <c r="I23" s="88">
        <f>I22/12</f>
        <v>11686.368158434527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210732</v>
      </c>
      <c r="G24" s="90"/>
      <c r="H24" s="267" t="s">
        <v>225</v>
      </c>
      <c r="I24" s="733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734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1" t="s">
        <v>240</v>
      </c>
      <c r="F27" s="100">
        <f>F24-F26</f>
        <v>210732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884" t="s">
        <v>187</v>
      </c>
      <c r="F28" s="885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9433.2721099051178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113199.26531886141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877" t="s">
        <v>239</v>
      </c>
      <c r="F31" s="878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781">
        <f>I14</f>
        <v>14534.206700000001</v>
      </c>
      <c r="G32" s="1"/>
      <c r="H32" s="1"/>
      <c r="I32" s="1"/>
      <c r="J32" s="1"/>
      <c r="K32" s="1"/>
      <c r="L32" s="1"/>
      <c r="M32" s="1"/>
      <c r="N32" s="1"/>
    </row>
    <row r="33" spans="3:14" ht="31.2" x14ac:dyDescent="0.3">
      <c r="C33" s="1"/>
      <c r="E33" s="780" t="s">
        <v>125</v>
      </c>
      <c r="F33" s="783">
        <f>F23*8%</f>
        <v>1404.88</v>
      </c>
      <c r="G33" s="1"/>
      <c r="H33" s="1"/>
      <c r="I33" s="1"/>
      <c r="J33" s="1"/>
      <c r="K33" s="1"/>
      <c r="L33" s="1"/>
      <c r="M33" s="1"/>
      <c r="N33" s="1"/>
    </row>
    <row r="34" spans="3:14" ht="31.2" x14ac:dyDescent="0.3">
      <c r="C34" s="1"/>
      <c r="E34" s="107" t="s">
        <v>126</v>
      </c>
      <c r="F34" s="782">
        <f>F33*12</f>
        <v>16858.560000000001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6142.9458823529403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385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4620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1740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687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687">
        <v>0</v>
      </c>
      <c r="G40" s="1"/>
      <c r="H40" s="52"/>
      <c r="I40" s="1"/>
      <c r="J40" s="1"/>
      <c r="K40" s="1"/>
      <c r="L40" s="1"/>
      <c r="M40" s="1"/>
      <c r="N40" s="1"/>
    </row>
    <row r="41" spans="3:14" ht="31.8" thickTop="1" x14ac:dyDescent="0.3">
      <c r="C41" s="1"/>
      <c r="E41" s="107" t="s">
        <v>132</v>
      </c>
      <c r="F41" s="112">
        <f>F27*0.05</f>
        <v>10536.6</v>
      </c>
      <c r="G41" s="1"/>
      <c r="H41" s="52"/>
      <c r="I41" s="1"/>
      <c r="J41" s="1"/>
      <c r="K41" s="1"/>
      <c r="L41" s="1"/>
      <c r="M41" s="1"/>
      <c r="N41" s="1"/>
    </row>
    <row r="42" spans="3:14" ht="16.2" thickBot="1" x14ac:dyDescent="0.35">
      <c r="C42" s="1"/>
      <c r="E42" s="107" t="s">
        <v>133</v>
      </c>
      <c r="F42" s="108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687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2" t="s">
        <v>241</v>
      </c>
      <c r="F44" s="273">
        <f>F32+F34+F35+F37+F38+F39+F40+F41+F42+F43</f>
        <v>54432.312582352941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8" t="s">
        <v>135</v>
      </c>
      <c r="F45" s="229">
        <f>F27-F44</f>
        <v>156299.68741764704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0" t="s">
        <v>138</v>
      </c>
      <c r="F46" s="231">
        <f>F30</f>
        <v>113199.26531886141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2">
        <f>F45-F46</f>
        <v>43100.422098785639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3591.7018415654697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241000.00000000003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6"/>
      <c r="H96" s="127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6"/>
      <c r="H97" s="127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x14ac:dyDescent="0.3">
      <c r="C130" s="1"/>
      <c r="E130" s="1"/>
      <c r="F130" s="1"/>
      <c r="G130" s="1"/>
      <c r="H130" s="52"/>
      <c r="I130" s="1"/>
    </row>
    <row r="131" spans="3:12" ht="14.4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x14ac:dyDescent="0.3">
      <c r="C141" s="1"/>
      <c r="E141" s="1"/>
      <c r="F141" s="1"/>
      <c r="G141" s="1"/>
      <c r="H141" s="52"/>
      <c r="I141" s="1"/>
      <c r="J141" s="1"/>
      <c r="K141" s="1"/>
    </row>
    <row r="142" spans="3:12" x14ac:dyDescent="0.3">
      <c r="C142" s="1"/>
      <c r="E142" s="1"/>
      <c r="F142" s="117"/>
      <c r="G142" s="1"/>
      <c r="H142" s="52"/>
      <c r="I142" s="1"/>
      <c r="J142" s="1"/>
      <c r="K142" s="1"/>
    </row>
    <row r="143" spans="3:12" x14ac:dyDescent="0.3">
      <c r="C143" s="1"/>
      <c r="E143" s="1"/>
      <c r="F143" s="117"/>
      <c r="G143" s="1"/>
      <c r="H143" s="52"/>
      <c r="I143" s="1"/>
      <c r="J143" s="1"/>
      <c r="K143" s="1"/>
    </row>
    <row r="144" spans="3:12" x14ac:dyDescent="0.3">
      <c r="C144" s="1"/>
      <c r="E144" s="1"/>
      <c r="F144" s="117"/>
      <c r="G144" s="1"/>
      <c r="H144" s="52"/>
      <c r="I144" s="1"/>
      <c r="J144" s="1"/>
      <c r="K144" s="1"/>
    </row>
    <row r="145" spans="3:11" x14ac:dyDescent="0.3">
      <c r="C145" s="1"/>
      <c r="E145" s="1"/>
      <c r="F145" s="117"/>
      <c r="G145" s="1"/>
      <c r="H145" s="52"/>
      <c r="I145" s="1"/>
      <c r="J145" s="1"/>
      <c r="K145" s="1"/>
    </row>
    <row r="146" spans="3:11" x14ac:dyDescent="0.3">
      <c r="C146" s="1"/>
      <c r="E146" s="1"/>
      <c r="F146" s="117"/>
      <c r="G146" s="1"/>
      <c r="H146" s="52"/>
      <c r="I146" s="1"/>
      <c r="J146" s="1"/>
      <c r="K146" s="1"/>
    </row>
    <row r="147" spans="3:11" x14ac:dyDescent="0.3">
      <c r="C147" s="1"/>
      <c r="E147" s="1"/>
      <c r="F147" s="117"/>
      <c r="G147" s="1"/>
      <c r="H147" s="52"/>
      <c r="I147" s="1"/>
      <c r="J147" s="1"/>
      <c r="K147" s="1"/>
    </row>
    <row r="148" spans="3:11" x14ac:dyDescent="0.3">
      <c r="C148" s="157"/>
      <c r="E148" s="157"/>
      <c r="F148" s="158"/>
      <c r="G148" s="157"/>
      <c r="H148" s="159"/>
      <c r="I148" s="157"/>
      <c r="J148" s="157"/>
      <c r="K148" s="157"/>
    </row>
    <row r="149" spans="3:11" x14ac:dyDescent="0.3">
      <c r="C149" s="157"/>
      <c r="E149" s="157"/>
      <c r="F149" s="158"/>
      <c r="G149" s="157"/>
      <c r="H149" s="159"/>
      <c r="I149" s="157"/>
      <c r="J149" s="157"/>
      <c r="K149" s="157"/>
    </row>
    <row r="150" spans="3:11" x14ac:dyDescent="0.3">
      <c r="C150" s="157"/>
      <c r="E150" s="157"/>
      <c r="F150" s="158"/>
      <c r="G150" s="157"/>
      <c r="H150" s="159"/>
      <c r="I150" s="157"/>
      <c r="J150" s="157"/>
      <c r="K150" s="157"/>
    </row>
    <row r="151" spans="3:11" x14ac:dyDescent="0.3">
      <c r="C151" s="157"/>
      <c r="E151" s="157"/>
      <c r="F151" s="158"/>
      <c r="G151" s="157"/>
      <c r="H151" s="159"/>
      <c r="I151" s="157"/>
      <c r="J151" s="157"/>
      <c r="K151" s="157"/>
    </row>
    <row r="152" spans="3:11" x14ac:dyDescent="0.3">
      <c r="C152" s="157"/>
      <c r="E152" s="157"/>
      <c r="F152" s="158"/>
      <c r="G152" s="157"/>
      <c r="H152" s="159"/>
      <c r="I152" s="157"/>
      <c r="J152" s="157"/>
      <c r="K152" s="157"/>
    </row>
    <row r="153" spans="3:11" x14ac:dyDescent="0.3">
      <c r="C153" s="157"/>
      <c r="E153" s="157"/>
      <c r="F153" s="158"/>
      <c r="G153" s="157"/>
      <c r="H153" s="159"/>
      <c r="I153" s="157"/>
      <c r="J153" s="157"/>
      <c r="K153" s="157"/>
    </row>
    <row r="154" spans="3:11" x14ac:dyDescent="0.3">
      <c r="C154" s="157"/>
      <c r="E154" s="157"/>
      <c r="F154" s="158"/>
      <c r="G154" s="157"/>
      <c r="H154" s="159"/>
      <c r="I154" s="157"/>
      <c r="J154" s="157"/>
      <c r="K154" s="157"/>
    </row>
    <row r="155" spans="3:11" x14ac:dyDescent="0.3">
      <c r="C155" s="157"/>
      <c r="E155" s="157"/>
      <c r="F155" s="158"/>
      <c r="G155" s="157"/>
      <c r="H155" s="159"/>
      <c r="I155" s="157"/>
      <c r="J155" s="157"/>
      <c r="K155" s="157"/>
    </row>
    <row r="156" spans="3:11" x14ac:dyDescent="0.3">
      <c r="C156" s="157"/>
      <c r="E156" s="157"/>
      <c r="F156" s="158"/>
      <c r="G156" s="157"/>
      <c r="H156" s="159"/>
      <c r="I156" s="157"/>
      <c r="J156" s="157"/>
      <c r="K156" s="157"/>
    </row>
    <row r="157" spans="3:11" x14ac:dyDescent="0.3">
      <c r="C157" s="157"/>
      <c r="E157" s="157"/>
      <c r="F157" s="158"/>
      <c r="G157" s="157"/>
      <c r="H157" s="159"/>
      <c r="I157" s="157"/>
      <c r="J157" s="157"/>
      <c r="K157" s="157"/>
    </row>
    <row r="158" spans="3:11" x14ac:dyDescent="0.3">
      <c r="C158" s="157"/>
      <c r="E158" s="157"/>
      <c r="F158" s="158"/>
      <c r="G158" s="157"/>
      <c r="H158" s="159"/>
      <c r="I158" s="157"/>
      <c r="J158" s="157"/>
      <c r="K158" s="157"/>
    </row>
    <row r="159" spans="3:11" x14ac:dyDescent="0.3">
      <c r="C159" s="157"/>
      <c r="E159" s="157"/>
      <c r="F159" s="158"/>
      <c r="G159" s="157"/>
      <c r="H159" s="159"/>
      <c r="I159" s="157"/>
      <c r="J159" s="157"/>
      <c r="K159" s="157"/>
    </row>
    <row r="160" spans="3:11" x14ac:dyDescent="0.3">
      <c r="C160" s="157"/>
      <c r="E160" s="157"/>
      <c r="F160" s="158"/>
      <c r="G160" s="157"/>
      <c r="H160" s="159"/>
      <c r="I160" s="157"/>
      <c r="J160" s="157"/>
      <c r="K160" s="157"/>
    </row>
    <row r="161" spans="3:11" x14ac:dyDescent="0.3">
      <c r="C161" s="157"/>
      <c r="E161" s="157"/>
      <c r="F161" s="158"/>
      <c r="G161" s="157"/>
      <c r="H161" s="159"/>
      <c r="I161" s="157"/>
      <c r="J161" s="157"/>
      <c r="K161" s="157"/>
    </row>
    <row r="162" spans="3:11" x14ac:dyDescent="0.3">
      <c r="C162" s="157"/>
      <c r="E162" s="157"/>
      <c r="F162" s="158"/>
      <c r="G162" s="157"/>
      <c r="H162" s="159"/>
      <c r="I162" s="157"/>
      <c r="J162" s="157"/>
      <c r="K162" s="157"/>
    </row>
    <row r="163" spans="3:11" x14ac:dyDescent="0.3">
      <c r="C163" s="157"/>
      <c r="E163" s="157"/>
      <c r="F163" s="158"/>
      <c r="G163" s="157"/>
      <c r="H163" s="159"/>
      <c r="I163" s="157"/>
      <c r="J163" s="157"/>
      <c r="K163" s="157"/>
    </row>
    <row r="164" spans="3:11" x14ac:dyDescent="0.3">
      <c r="C164" s="157"/>
      <c r="E164" s="157"/>
      <c r="F164" s="158"/>
      <c r="G164" s="157"/>
      <c r="H164" s="159"/>
      <c r="I164" s="157"/>
      <c r="J164" s="157"/>
      <c r="K164" s="157"/>
    </row>
    <row r="165" spans="3:11" x14ac:dyDescent="0.3">
      <c r="C165" s="157"/>
      <c r="E165" s="157"/>
      <c r="F165" s="158"/>
      <c r="G165" s="157"/>
      <c r="H165" s="159"/>
      <c r="I165" s="157"/>
      <c r="J165" s="157"/>
      <c r="K165" s="157"/>
    </row>
    <row r="166" spans="3:11" x14ac:dyDescent="0.3">
      <c r="C166" s="157"/>
      <c r="E166" s="157"/>
      <c r="F166" s="158"/>
      <c r="G166" s="157"/>
      <c r="H166" s="159"/>
      <c r="I166" s="157"/>
      <c r="J166" s="157"/>
      <c r="K166" s="157"/>
    </row>
    <row r="167" spans="3:11" x14ac:dyDescent="0.3">
      <c r="C167" s="157"/>
      <c r="E167" s="157"/>
      <c r="F167" s="158"/>
      <c r="G167" s="157"/>
      <c r="H167" s="159"/>
      <c r="I167" s="157"/>
      <c r="J167" s="157"/>
      <c r="K167" s="157"/>
    </row>
    <row r="168" spans="3:11" x14ac:dyDescent="0.3">
      <c r="C168" s="157"/>
      <c r="E168" s="157"/>
      <c r="F168" s="158"/>
      <c r="G168" s="157"/>
      <c r="H168" s="159"/>
      <c r="I168" s="157"/>
      <c r="J168" s="157"/>
      <c r="K168" s="157"/>
    </row>
    <row r="169" spans="3:11" x14ac:dyDescent="0.3">
      <c r="C169" s="157"/>
      <c r="E169" s="157"/>
      <c r="F169" s="158"/>
      <c r="G169" s="157"/>
      <c r="H169" s="159"/>
      <c r="I169" s="157"/>
      <c r="J169" s="157"/>
      <c r="K169" s="157"/>
    </row>
    <row r="170" spans="3:11" x14ac:dyDescent="0.3">
      <c r="C170" s="157"/>
      <c r="E170" s="157"/>
      <c r="F170" s="158"/>
      <c r="G170" s="157"/>
      <c r="H170" s="159"/>
      <c r="I170" s="157"/>
      <c r="J170" s="157"/>
      <c r="K170" s="157"/>
    </row>
    <row r="171" spans="3:11" x14ac:dyDescent="0.3">
      <c r="C171" s="157"/>
      <c r="E171" s="157"/>
      <c r="F171" s="158"/>
      <c r="G171" s="157"/>
      <c r="H171" s="159"/>
      <c r="I171" s="157"/>
      <c r="J171" s="157"/>
      <c r="K171" s="157"/>
    </row>
    <row r="172" spans="3:11" x14ac:dyDescent="0.3">
      <c r="C172" s="157"/>
      <c r="E172" s="157"/>
      <c r="F172" s="158"/>
      <c r="G172" s="157"/>
      <c r="H172" s="159"/>
      <c r="I172" s="157"/>
      <c r="J172" s="157"/>
      <c r="K172" s="157"/>
    </row>
    <row r="173" spans="3:11" x14ac:dyDescent="0.3">
      <c r="C173" s="157"/>
      <c r="E173" s="157"/>
      <c r="F173" s="158"/>
      <c r="G173" s="157"/>
      <c r="H173" s="159"/>
      <c r="I173" s="157"/>
      <c r="J173" s="157"/>
      <c r="K173" s="157"/>
    </row>
    <row r="174" spans="3:11" x14ac:dyDescent="0.3">
      <c r="C174" s="157"/>
      <c r="E174" s="157"/>
      <c r="F174" s="158"/>
      <c r="G174" s="157"/>
      <c r="H174" s="159"/>
      <c r="I174" s="157"/>
      <c r="J174" s="157"/>
      <c r="K174" s="157"/>
    </row>
    <row r="175" spans="3:11" x14ac:dyDescent="0.3">
      <c r="C175" s="157"/>
      <c r="E175" s="157"/>
      <c r="F175" s="158"/>
      <c r="G175" s="157"/>
      <c r="H175" s="159"/>
      <c r="I175" s="157"/>
      <c r="J175" s="157"/>
      <c r="K175" s="157"/>
    </row>
    <row r="176" spans="3:11" x14ac:dyDescent="0.3">
      <c r="C176" s="157"/>
      <c r="E176" s="157"/>
      <c r="F176" s="158"/>
      <c r="G176" s="157"/>
      <c r="H176" s="159"/>
      <c r="I176" s="157"/>
      <c r="J176" s="157"/>
      <c r="K176" s="157"/>
    </row>
    <row r="177" spans="3:11" x14ac:dyDescent="0.3">
      <c r="C177" s="157"/>
      <c r="E177" s="157"/>
      <c r="F177" s="158"/>
      <c r="G177" s="157"/>
      <c r="H177" s="159"/>
      <c r="I177" s="157"/>
      <c r="J177" s="157"/>
      <c r="K177" s="157"/>
    </row>
    <row r="178" spans="3:11" x14ac:dyDescent="0.3">
      <c r="C178" s="157"/>
      <c r="E178" s="157"/>
      <c r="F178" s="158"/>
      <c r="G178" s="157"/>
      <c r="H178" s="159"/>
      <c r="I178" s="157"/>
      <c r="J178" s="157"/>
      <c r="K178" s="157"/>
    </row>
    <row r="179" spans="3:11" x14ac:dyDescent="0.3">
      <c r="C179" s="157"/>
      <c r="E179" s="157"/>
      <c r="F179" s="158"/>
      <c r="G179" s="157"/>
      <c r="H179" s="159"/>
      <c r="I179" s="157"/>
      <c r="J179" s="157"/>
      <c r="K179" s="157"/>
    </row>
    <row r="180" spans="3:11" x14ac:dyDescent="0.3">
      <c r="C180" s="157"/>
      <c r="E180" s="157"/>
      <c r="F180" s="158"/>
      <c r="G180" s="157"/>
      <c r="H180" s="159"/>
      <c r="I180" s="157"/>
      <c r="J180" s="157"/>
      <c r="K180" s="157"/>
    </row>
    <row r="181" spans="3:11" x14ac:dyDescent="0.3">
      <c r="C181" s="157"/>
      <c r="E181" s="157"/>
      <c r="F181" s="158"/>
      <c r="G181" s="157"/>
      <c r="H181" s="159"/>
      <c r="I181" s="157"/>
      <c r="J181" s="157"/>
      <c r="K181" s="157"/>
    </row>
    <row r="182" spans="3:11" x14ac:dyDescent="0.3">
      <c r="C182" s="157"/>
      <c r="E182" s="157"/>
      <c r="F182" s="158"/>
      <c r="G182" s="157"/>
      <c r="H182" s="159"/>
      <c r="I182" s="157"/>
      <c r="J182" s="157"/>
      <c r="K182" s="157"/>
    </row>
    <row r="183" spans="3:11" x14ac:dyDescent="0.3">
      <c r="C183" s="157"/>
      <c r="E183" s="157"/>
      <c r="F183" s="158"/>
      <c r="G183" s="157"/>
      <c r="H183" s="159"/>
      <c r="I183" s="157"/>
      <c r="J183" s="157"/>
      <c r="K183" s="157"/>
    </row>
    <row r="184" spans="3:11" x14ac:dyDescent="0.3">
      <c r="C184" s="157"/>
      <c r="E184" s="157"/>
      <c r="F184" s="158"/>
      <c r="G184" s="157"/>
      <c r="H184" s="159"/>
      <c r="I184" s="157"/>
      <c r="J184" s="157"/>
      <c r="K184" s="157"/>
    </row>
    <row r="185" spans="3:11" x14ac:dyDescent="0.3">
      <c r="C185" s="157"/>
      <c r="E185" s="157"/>
      <c r="F185" s="158"/>
      <c r="G185" s="157"/>
      <c r="H185" s="159"/>
      <c r="I185" s="157"/>
      <c r="J185" s="157"/>
      <c r="K185" s="157"/>
    </row>
    <row r="186" spans="3:11" x14ac:dyDescent="0.3">
      <c r="C186" s="157"/>
      <c r="E186" s="157"/>
      <c r="F186" s="158"/>
      <c r="G186" s="157"/>
      <c r="H186" s="159"/>
      <c r="I186" s="157"/>
      <c r="J186" s="157"/>
      <c r="K186" s="157"/>
    </row>
    <row r="187" spans="3:11" x14ac:dyDescent="0.3">
      <c r="C187" s="157"/>
      <c r="E187" s="157"/>
      <c r="F187" s="158"/>
      <c r="G187" s="157"/>
      <c r="H187" s="159"/>
      <c r="I187" s="157"/>
      <c r="J187" s="157"/>
      <c r="K187" s="157"/>
    </row>
    <row r="188" spans="3:11" x14ac:dyDescent="0.3">
      <c r="C188" s="157"/>
      <c r="E188" s="157"/>
      <c r="F188" s="158"/>
      <c r="G188" s="157"/>
      <c r="H188" s="159"/>
      <c r="I188" s="157"/>
      <c r="J188" s="157"/>
      <c r="K188" s="157"/>
    </row>
    <row r="189" spans="3:11" x14ac:dyDescent="0.3">
      <c r="C189" s="157"/>
      <c r="E189" s="157"/>
      <c r="F189" s="158"/>
      <c r="G189" s="157"/>
      <c r="H189" s="159"/>
      <c r="I189" s="157"/>
      <c r="J189" s="157"/>
      <c r="K189" s="157"/>
    </row>
    <row r="190" spans="3:11" x14ac:dyDescent="0.3">
      <c r="C190" s="157"/>
      <c r="E190" s="157"/>
      <c r="F190" s="158"/>
      <c r="G190" s="157"/>
      <c r="H190" s="159"/>
      <c r="I190" s="157"/>
      <c r="J190" s="157"/>
      <c r="K190" s="157"/>
    </row>
    <row r="191" spans="3:11" x14ac:dyDescent="0.3">
      <c r="C191" s="157"/>
      <c r="E191" s="157"/>
      <c r="F191" s="158"/>
      <c r="G191" s="157"/>
      <c r="H191" s="159"/>
      <c r="I191" s="157"/>
      <c r="J191" s="157"/>
      <c r="K191" s="157"/>
    </row>
    <row r="192" spans="3:11" x14ac:dyDescent="0.3">
      <c r="C192" s="157"/>
      <c r="E192" s="157"/>
      <c r="F192" s="158"/>
      <c r="G192" s="157"/>
      <c r="H192" s="159"/>
      <c r="I192" s="157"/>
      <c r="J192" s="157"/>
      <c r="K192" s="157"/>
    </row>
    <row r="193" spans="3:11" x14ac:dyDescent="0.3">
      <c r="C193" s="157"/>
      <c r="E193" s="157"/>
      <c r="F193" s="158"/>
      <c r="G193" s="157"/>
      <c r="H193" s="159"/>
      <c r="I193" s="157"/>
      <c r="J193" s="157"/>
      <c r="K193" s="157"/>
    </row>
    <row r="194" spans="3:11" x14ac:dyDescent="0.3">
      <c r="C194" s="157"/>
      <c r="E194" s="157"/>
      <c r="F194" s="158"/>
      <c r="G194" s="157"/>
      <c r="H194" s="159"/>
      <c r="I194" s="157"/>
      <c r="J194" s="157"/>
      <c r="K194" s="157"/>
    </row>
    <row r="195" spans="3:11" x14ac:dyDescent="0.3">
      <c r="C195" s="157"/>
      <c r="E195" s="157"/>
      <c r="F195" s="158"/>
      <c r="G195" s="157"/>
      <c r="H195" s="159"/>
      <c r="I195" s="157"/>
      <c r="J195" s="157"/>
      <c r="K195" s="157"/>
    </row>
    <row r="196" spans="3:11" x14ac:dyDescent="0.3">
      <c r="C196" s="157"/>
      <c r="E196" s="157"/>
      <c r="F196" s="158"/>
      <c r="G196" s="157"/>
      <c r="H196" s="159"/>
      <c r="I196" s="157"/>
      <c r="J196" s="157"/>
      <c r="K196" s="157"/>
    </row>
    <row r="197" spans="3:11" x14ac:dyDescent="0.3">
      <c r="C197" s="157"/>
      <c r="E197" s="157"/>
      <c r="F197" s="158"/>
      <c r="G197" s="157"/>
      <c r="H197" s="159"/>
      <c r="I197" s="157"/>
      <c r="J197" s="157"/>
      <c r="K197" s="157"/>
    </row>
    <row r="198" spans="3:11" x14ac:dyDescent="0.3">
      <c r="C198" s="157"/>
      <c r="E198" s="157"/>
      <c r="F198" s="158"/>
      <c r="G198" s="157"/>
      <c r="H198" s="159"/>
      <c r="I198" s="157"/>
      <c r="J198" s="157"/>
      <c r="K198" s="157"/>
    </row>
    <row r="199" spans="3:11" x14ac:dyDescent="0.3">
      <c r="C199" s="157"/>
      <c r="E199" s="157"/>
      <c r="F199" s="158"/>
      <c r="G199" s="157"/>
      <c r="H199" s="159"/>
      <c r="I199" s="157"/>
      <c r="J199" s="157"/>
      <c r="K199" s="157"/>
    </row>
    <row r="200" spans="3:11" x14ac:dyDescent="0.3">
      <c r="C200" s="157"/>
      <c r="E200" s="157"/>
      <c r="F200" s="158"/>
      <c r="G200" s="157"/>
      <c r="H200" s="159"/>
      <c r="I200" s="157"/>
      <c r="J200" s="157"/>
      <c r="K200" s="157"/>
    </row>
    <row r="201" spans="3:11" x14ac:dyDescent="0.3">
      <c r="C201" s="157"/>
      <c r="E201" s="157"/>
      <c r="F201" s="158"/>
      <c r="G201" s="157"/>
      <c r="H201" s="159"/>
      <c r="I201" s="157"/>
      <c r="J201" s="157"/>
      <c r="K201" s="157"/>
    </row>
    <row r="202" spans="3:11" x14ac:dyDescent="0.3">
      <c r="C202" s="157"/>
      <c r="E202" s="157"/>
      <c r="F202" s="158"/>
      <c r="G202" s="157"/>
      <c r="H202" s="159"/>
      <c r="I202" s="157"/>
      <c r="J202" s="157"/>
      <c r="K202" s="157"/>
    </row>
    <row r="203" spans="3:11" x14ac:dyDescent="0.3">
      <c r="C203" s="157"/>
      <c r="E203" s="157"/>
      <c r="F203" s="158"/>
      <c r="G203" s="157"/>
      <c r="H203" s="159"/>
      <c r="I203" s="157"/>
      <c r="J203" s="157"/>
      <c r="K203" s="157"/>
    </row>
    <row r="204" spans="3:11" x14ac:dyDescent="0.3">
      <c r="C204" s="157"/>
      <c r="E204" s="157"/>
      <c r="F204" s="158"/>
      <c r="G204" s="157"/>
      <c r="H204" s="159"/>
      <c r="I204" s="157"/>
      <c r="J204" s="157"/>
      <c r="K204" s="157"/>
    </row>
    <row r="205" spans="3:11" x14ac:dyDescent="0.3">
      <c r="C205" s="157"/>
      <c r="E205" s="157"/>
      <c r="F205" s="158"/>
      <c r="G205" s="157"/>
      <c r="H205" s="159"/>
      <c r="I205" s="157"/>
      <c r="J205" s="157"/>
      <c r="K205" s="157"/>
    </row>
    <row r="206" spans="3:11" x14ac:dyDescent="0.3">
      <c r="C206" s="157"/>
      <c r="E206" s="157"/>
      <c r="F206" s="158"/>
      <c r="G206" s="157"/>
      <c r="H206" s="159"/>
      <c r="I206" s="157"/>
      <c r="J206" s="157"/>
      <c r="K206" s="157"/>
    </row>
    <row r="207" spans="3:11" x14ac:dyDescent="0.3">
      <c r="C207" s="157"/>
      <c r="E207" s="157"/>
      <c r="F207" s="158"/>
      <c r="G207" s="157"/>
      <c r="H207" s="159"/>
      <c r="I207" s="157"/>
      <c r="J207" s="157"/>
      <c r="K207" s="157"/>
    </row>
    <row r="208" spans="3:11" x14ac:dyDescent="0.3">
      <c r="C208" s="157"/>
      <c r="E208" s="157"/>
      <c r="F208" s="158"/>
      <c r="G208" s="157"/>
      <c r="H208" s="159"/>
      <c r="I208" s="157"/>
      <c r="J208" s="157"/>
      <c r="K208" s="157"/>
    </row>
    <row r="209" spans="3:11" x14ac:dyDescent="0.3">
      <c r="C209" s="157"/>
      <c r="E209" s="157"/>
      <c r="F209" s="158"/>
      <c r="G209" s="157"/>
      <c r="H209" s="159"/>
      <c r="I209" s="157"/>
      <c r="J209" s="157"/>
      <c r="K209" s="157"/>
    </row>
    <row r="210" spans="3:11" x14ac:dyDescent="0.3">
      <c r="C210" s="157"/>
      <c r="E210" s="157"/>
      <c r="F210" s="158"/>
      <c r="G210" s="157"/>
      <c r="H210" s="159"/>
      <c r="I210" s="157"/>
      <c r="J210" s="157"/>
      <c r="K210" s="157"/>
    </row>
    <row r="211" spans="3:11" x14ac:dyDescent="0.3">
      <c r="C211" s="157"/>
      <c r="E211" s="157"/>
      <c r="F211" s="158"/>
      <c r="G211" s="157"/>
      <c r="H211" s="159"/>
      <c r="I211" s="157"/>
      <c r="J211" s="157"/>
      <c r="K211" s="157"/>
    </row>
    <row r="212" spans="3:11" x14ac:dyDescent="0.3">
      <c r="C212" s="157"/>
      <c r="E212" s="157"/>
      <c r="F212" s="158"/>
      <c r="G212" s="157"/>
      <c r="H212" s="159"/>
      <c r="I212" s="157"/>
      <c r="J212" s="157"/>
      <c r="K212" s="157"/>
    </row>
    <row r="213" spans="3:11" x14ac:dyDescent="0.3">
      <c r="C213" s="157"/>
      <c r="E213" s="157"/>
      <c r="F213" s="158"/>
      <c r="G213" s="157"/>
      <c r="H213" s="159"/>
      <c r="I213" s="157"/>
      <c r="J213" s="157"/>
      <c r="K213" s="157"/>
    </row>
    <row r="214" spans="3:11" x14ac:dyDescent="0.3">
      <c r="C214" s="157"/>
      <c r="E214" s="157"/>
      <c r="F214" s="158"/>
      <c r="G214" s="157"/>
      <c r="H214" s="159"/>
      <c r="I214" s="157"/>
      <c r="J214" s="157"/>
      <c r="K214" s="157"/>
    </row>
    <row r="215" spans="3:11" x14ac:dyDescent="0.3">
      <c r="C215" s="157"/>
      <c r="E215" s="157"/>
      <c r="F215" s="158"/>
      <c r="G215" s="157"/>
      <c r="H215" s="159"/>
      <c r="I215" s="157"/>
      <c r="J215" s="157"/>
      <c r="K215" s="157"/>
    </row>
    <row r="216" spans="3:11" x14ac:dyDescent="0.3">
      <c r="C216" s="157"/>
      <c r="E216" s="157"/>
      <c r="F216" s="158"/>
      <c r="G216" s="157"/>
      <c r="H216" s="159"/>
      <c r="I216" s="157"/>
      <c r="J216" s="157"/>
      <c r="K216" s="157"/>
    </row>
    <row r="217" spans="3:11" x14ac:dyDescent="0.3">
      <c r="C217" s="157"/>
      <c r="E217" s="157"/>
      <c r="F217" s="158"/>
      <c r="G217" s="157"/>
      <c r="H217" s="159"/>
      <c r="I217" s="157"/>
      <c r="J217" s="157"/>
      <c r="K217" s="157"/>
    </row>
    <row r="218" spans="3:11" x14ac:dyDescent="0.3">
      <c r="C218" s="157"/>
      <c r="E218" s="157"/>
      <c r="F218" s="158"/>
      <c r="G218" s="157"/>
      <c r="H218" s="159"/>
      <c r="I218" s="157"/>
      <c r="J218" s="157"/>
      <c r="K218" s="157"/>
    </row>
    <row r="219" spans="3:11" x14ac:dyDescent="0.3">
      <c r="C219" s="157"/>
      <c r="E219" s="157"/>
      <c r="F219" s="158"/>
      <c r="G219" s="157"/>
      <c r="H219" s="159"/>
      <c r="I219" s="157"/>
      <c r="J219" s="157"/>
      <c r="K219" s="157"/>
    </row>
    <row r="220" spans="3:11" x14ac:dyDescent="0.3">
      <c r="C220" s="157"/>
      <c r="E220" s="157"/>
      <c r="F220" s="158"/>
      <c r="G220" s="157"/>
      <c r="H220" s="159"/>
      <c r="I220" s="157"/>
      <c r="J220" s="157"/>
      <c r="K220" s="157"/>
    </row>
    <row r="221" spans="3:11" x14ac:dyDescent="0.3">
      <c r="C221" s="157"/>
      <c r="E221" s="157"/>
      <c r="F221" s="158"/>
      <c r="G221" s="157"/>
      <c r="H221" s="159"/>
      <c r="I221" s="157"/>
      <c r="J221" s="157"/>
      <c r="K221" s="157"/>
    </row>
    <row r="222" spans="3:11" x14ac:dyDescent="0.3">
      <c r="C222" s="157"/>
      <c r="E222" s="157"/>
      <c r="F222" s="158"/>
      <c r="G222" s="157"/>
      <c r="H222" s="159"/>
      <c r="I222" s="157"/>
      <c r="J222" s="157"/>
      <c r="K222" s="157"/>
    </row>
    <row r="223" spans="3:11" x14ac:dyDescent="0.3">
      <c r="C223" s="157"/>
      <c r="E223" s="157"/>
      <c r="F223" s="158"/>
      <c r="G223" s="157"/>
      <c r="H223" s="159"/>
      <c r="I223" s="157"/>
      <c r="J223" s="157"/>
      <c r="K223" s="157"/>
    </row>
    <row r="224" spans="3:11" x14ac:dyDescent="0.3">
      <c r="C224" s="157"/>
      <c r="E224" s="157"/>
      <c r="F224" s="158"/>
      <c r="G224" s="157"/>
      <c r="H224" s="159"/>
      <c r="I224" s="157"/>
      <c r="J224" s="157"/>
      <c r="K224" s="157"/>
    </row>
    <row r="225" spans="3:11" x14ac:dyDescent="0.3">
      <c r="C225" s="157"/>
      <c r="E225" s="157"/>
      <c r="F225" s="158"/>
      <c r="G225" s="157"/>
      <c r="H225" s="159"/>
      <c r="I225" s="157"/>
      <c r="J225" s="157"/>
      <c r="K225" s="157"/>
    </row>
    <row r="226" spans="3:11" x14ac:dyDescent="0.3">
      <c r="C226" s="157"/>
      <c r="E226" s="157"/>
      <c r="F226" s="158"/>
      <c r="G226" s="157"/>
      <c r="H226" s="159"/>
      <c r="I226" s="157"/>
      <c r="J226" s="157"/>
      <c r="K226" s="157"/>
    </row>
    <row r="227" spans="3:11" x14ac:dyDescent="0.3">
      <c r="C227" s="157"/>
      <c r="E227" s="157"/>
      <c r="F227" s="158"/>
      <c r="G227" s="157"/>
      <c r="H227" s="159"/>
      <c r="I227" s="157"/>
      <c r="J227" s="157"/>
      <c r="K227" s="157"/>
    </row>
    <row r="228" spans="3:11" x14ac:dyDescent="0.3">
      <c r="C228" s="157"/>
      <c r="E228" s="157"/>
      <c r="F228" s="158"/>
      <c r="G228" s="157"/>
      <c r="H228" s="159"/>
      <c r="I228" s="157"/>
      <c r="J228" s="157"/>
      <c r="K228" s="157"/>
    </row>
    <row r="229" spans="3:11" x14ac:dyDescent="0.3">
      <c r="C229" s="157"/>
      <c r="E229" s="157"/>
      <c r="F229" s="158"/>
      <c r="G229" s="157"/>
      <c r="H229" s="159"/>
      <c r="I229" s="157"/>
      <c r="J229" s="157"/>
      <c r="K229" s="157"/>
    </row>
    <row r="230" spans="3:11" x14ac:dyDescent="0.3">
      <c r="C230" s="157"/>
      <c r="E230" s="157"/>
      <c r="F230" s="158"/>
      <c r="G230" s="157"/>
      <c r="H230" s="159"/>
      <c r="I230" s="157"/>
      <c r="J230" s="157"/>
      <c r="K230" s="157"/>
    </row>
    <row r="231" spans="3:11" x14ac:dyDescent="0.3">
      <c r="C231" s="157"/>
      <c r="E231" s="157"/>
      <c r="F231" s="158"/>
      <c r="G231" s="157"/>
      <c r="H231" s="159"/>
      <c r="I231" s="157"/>
      <c r="J231" s="157"/>
      <c r="K231" s="157"/>
    </row>
    <row r="232" spans="3:11" x14ac:dyDescent="0.3">
      <c r="C232" s="157"/>
      <c r="E232" s="157"/>
      <c r="F232" s="158"/>
      <c r="G232" s="157"/>
      <c r="H232" s="159"/>
      <c r="I232" s="157"/>
      <c r="J232" s="157"/>
      <c r="K232" s="157"/>
    </row>
    <row r="233" spans="3:11" x14ac:dyDescent="0.3">
      <c r="C233" s="157"/>
      <c r="E233" s="157"/>
      <c r="F233" s="158"/>
      <c r="G233" s="157"/>
      <c r="H233" s="159"/>
      <c r="I233" s="157"/>
      <c r="J233" s="157"/>
      <c r="K233" s="157"/>
    </row>
    <row r="234" spans="3:11" x14ac:dyDescent="0.3">
      <c r="C234" s="157"/>
      <c r="E234" s="157"/>
      <c r="F234" s="158"/>
      <c r="G234" s="157"/>
      <c r="H234" s="159"/>
      <c r="I234" s="157"/>
      <c r="J234" s="157"/>
      <c r="K234" s="157"/>
    </row>
    <row r="235" spans="3:11" x14ac:dyDescent="0.3">
      <c r="C235" s="157"/>
      <c r="E235" s="157"/>
      <c r="F235" s="158"/>
      <c r="G235" s="157"/>
      <c r="H235" s="159"/>
      <c r="I235" s="157"/>
      <c r="J235" s="157"/>
      <c r="K235" s="157"/>
    </row>
    <row r="236" spans="3:11" x14ac:dyDescent="0.3">
      <c r="C236" s="157"/>
      <c r="E236" s="157"/>
      <c r="F236" s="158"/>
      <c r="G236" s="157"/>
      <c r="H236" s="159"/>
      <c r="I236" s="157"/>
      <c r="J236" s="157"/>
      <c r="K236" s="157"/>
    </row>
    <row r="237" spans="3:11" x14ac:dyDescent="0.3">
      <c r="C237" s="157"/>
      <c r="E237" s="157"/>
      <c r="F237" s="158"/>
      <c r="G237" s="157"/>
      <c r="H237" s="159"/>
      <c r="I237" s="157"/>
      <c r="J237" s="157"/>
      <c r="K237" s="157"/>
    </row>
    <row r="238" spans="3:11" x14ac:dyDescent="0.3">
      <c r="C238" s="157"/>
      <c r="E238" s="157"/>
      <c r="F238" s="158"/>
      <c r="G238" s="157"/>
      <c r="H238" s="159"/>
      <c r="I238" s="157"/>
      <c r="J238" s="157"/>
      <c r="K238" s="157"/>
    </row>
    <row r="239" spans="3:11" x14ac:dyDescent="0.3">
      <c r="C239" s="157"/>
      <c r="E239" s="157"/>
      <c r="F239" s="158"/>
      <c r="G239" s="157"/>
      <c r="H239" s="159"/>
      <c r="I239" s="157"/>
      <c r="J239" s="157"/>
      <c r="K239" s="157"/>
    </row>
    <row r="240" spans="3:11" x14ac:dyDescent="0.3">
      <c r="C240" s="157"/>
      <c r="E240" s="157"/>
      <c r="F240" s="158"/>
      <c r="G240" s="157"/>
      <c r="H240" s="159"/>
      <c r="I240" s="157"/>
      <c r="J240" s="157"/>
      <c r="K240" s="157"/>
    </row>
    <row r="241" spans="3:11" x14ac:dyDescent="0.3">
      <c r="C241" s="157"/>
      <c r="E241" s="157"/>
      <c r="F241" s="158"/>
      <c r="G241" s="157"/>
      <c r="H241" s="159"/>
      <c r="I241" s="157"/>
      <c r="J241" s="157"/>
      <c r="K241" s="157"/>
    </row>
    <row r="242" spans="3:11" x14ac:dyDescent="0.3">
      <c r="C242" s="157"/>
      <c r="E242" s="157"/>
      <c r="F242" s="158"/>
      <c r="G242" s="157"/>
      <c r="H242" s="159"/>
      <c r="I242" s="157"/>
      <c r="J242" s="157"/>
      <c r="K242" s="157"/>
    </row>
    <row r="243" spans="3:11" x14ac:dyDescent="0.3">
      <c r="C243" s="157"/>
      <c r="E243" s="157"/>
      <c r="F243" s="158"/>
      <c r="G243" s="157"/>
      <c r="H243" s="159"/>
      <c r="I243" s="157"/>
      <c r="J243" s="157"/>
      <c r="K243" s="157"/>
    </row>
    <row r="244" spans="3:11" x14ac:dyDescent="0.3">
      <c r="C244" s="157"/>
      <c r="E244" s="157"/>
      <c r="F244" s="158"/>
      <c r="G244" s="157"/>
      <c r="H244" s="159"/>
      <c r="I244" s="157"/>
      <c r="J244" s="157"/>
      <c r="K244" s="157"/>
    </row>
    <row r="245" spans="3:11" x14ac:dyDescent="0.3">
      <c r="C245" s="157"/>
      <c r="E245" s="157"/>
      <c r="F245" s="158"/>
      <c r="G245" s="157"/>
      <c r="H245" s="159"/>
      <c r="I245" s="157"/>
      <c r="J245" s="157"/>
      <c r="K245" s="157"/>
    </row>
    <row r="246" spans="3:11" x14ac:dyDescent="0.3">
      <c r="C246" s="157"/>
      <c r="E246" s="157"/>
      <c r="F246" s="158"/>
      <c r="G246" s="157"/>
      <c r="H246" s="159"/>
      <c r="I246" s="157"/>
      <c r="J246" s="157"/>
      <c r="K246" s="157"/>
    </row>
    <row r="247" spans="3:11" x14ac:dyDescent="0.3">
      <c r="C247" s="157"/>
      <c r="E247" s="157"/>
      <c r="F247" s="158"/>
      <c r="G247" s="157"/>
      <c r="H247" s="159"/>
      <c r="I247" s="157"/>
      <c r="J247" s="157"/>
      <c r="K247" s="157"/>
    </row>
    <row r="248" spans="3:11" x14ac:dyDescent="0.3">
      <c r="C248" s="157"/>
      <c r="E248" s="157"/>
      <c r="F248" s="158"/>
      <c r="G248" s="157"/>
      <c r="H248" s="159"/>
      <c r="I248" s="157"/>
      <c r="J248" s="157"/>
      <c r="K248" s="157"/>
    </row>
    <row r="249" spans="3:11" x14ac:dyDescent="0.3">
      <c r="C249" s="157"/>
      <c r="E249" s="157"/>
      <c r="F249" s="158"/>
      <c r="G249" s="157"/>
      <c r="H249" s="159"/>
      <c r="I249" s="157"/>
      <c r="J249" s="157"/>
      <c r="K249" s="157"/>
    </row>
  </sheetData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9"/>
  </sheetPr>
  <dimension ref="A1:L50"/>
  <sheetViews>
    <sheetView topLeftCell="A13" workbookViewId="0">
      <selection activeCell="I30" sqref="I30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8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62" t="s">
        <v>392</v>
      </c>
    </row>
    <row r="2" spans="1:11" ht="21.6" thickBot="1" x14ac:dyDescent="0.45">
      <c r="B2" s="423" t="s">
        <v>141</v>
      </c>
      <c r="G2" s="401" t="s">
        <v>142</v>
      </c>
      <c r="I2" s="117"/>
    </row>
    <row r="3" spans="1:11" ht="15.6" x14ac:dyDescent="0.3">
      <c r="B3" s="1" t="s">
        <v>199</v>
      </c>
      <c r="D3" s="828"/>
      <c r="G3" s="177" t="s">
        <v>205</v>
      </c>
      <c r="H3" s="178" t="s">
        <v>21</v>
      </c>
      <c r="I3" s="179">
        <f>'ROI Number insert'!F19</f>
        <v>861400</v>
      </c>
    </row>
    <row r="4" spans="1:11" ht="15.6" x14ac:dyDescent="0.3">
      <c r="B4" s="167" t="s">
        <v>140</v>
      </c>
      <c r="C4" s="167" t="s">
        <v>149</v>
      </c>
      <c r="D4" s="167" t="s">
        <v>150</v>
      </c>
      <c r="E4" s="167" t="s">
        <v>151</v>
      </c>
      <c r="G4" s="162"/>
      <c r="H4" s="180" t="s">
        <v>145</v>
      </c>
      <c r="I4" s="181">
        <f>SUM('Principal Recapture'!E9:E69)</f>
        <v>142123.39890579201</v>
      </c>
    </row>
    <row r="5" spans="1:11" ht="15.6" x14ac:dyDescent="0.3">
      <c r="B5" s="168">
        <v>1</v>
      </c>
      <c r="C5" s="829">
        <f>'ROI Number insert'!F47</f>
        <v>43100.422098785639</v>
      </c>
      <c r="D5" s="170">
        <f>C5/$C$11</f>
        <v>5.0035317040614861E-2</v>
      </c>
      <c r="E5" s="171">
        <f>C5/12</f>
        <v>3591.7018415654697</v>
      </c>
      <c r="G5" s="162"/>
      <c r="H5" s="180" t="s">
        <v>146</v>
      </c>
      <c r="I5" s="182">
        <f>I4/I3</f>
        <v>0.16499117588320411</v>
      </c>
    </row>
    <row r="6" spans="1:11" ht="16.2" thickBot="1" x14ac:dyDescent="0.35">
      <c r="B6" s="168">
        <v>2</v>
      </c>
      <c r="C6" s="16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45219.418064365083</v>
      </c>
      <c r="D6" s="170">
        <f t="shared" ref="D6:D9" si="0">C6/$C$11</f>
        <v>5.2495261277414773E-2</v>
      </c>
      <c r="E6" s="171">
        <f>C6/12</f>
        <v>3768.2848386970904</v>
      </c>
      <c r="G6" s="162"/>
      <c r="H6" s="180" t="s">
        <v>147</v>
      </c>
      <c r="I6" s="182">
        <f>I5/10</f>
        <v>1.649911758832041E-2</v>
      </c>
    </row>
    <row r="7" spans="1:11" s="76" customFormat="1" ht="15.6" x14ac:dyDescent="0.3">
      <c r="B7" s="173">
        <v>3</v>
      </c>
      <c r="C7" s="169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47342.024534619282</v>
      </c>
      <c r="D7" s="170">
        <f t="shared" si="0"/>
        <v>5.4959396952193269E-2</v>
      </c>
      <c r="E7" s="174">
        <f>C7/12</f>
        <v>3945.1687112182735</v>
      </c>
      <c r="G7" s="120" t="s">
        <v>144</v>
      </c>
      <c r="H7" s="121" t="s">
        <v>21</v>
      </c>
      <c r="I7" s="122">
        <f>I3</f>
        <v>861400</v>
      </c>
      <c r="K7" s="1"/>
    </row>
    <row r="8" spans="1:11" ht="15.6" x14ac:dyDescent="0.3">
      <c r="B8" s="168">
        <v>4</v>
      </c>
      <c r="C8" s="16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51592.301465459808</v>
      </c>
      <c r="D8" s="170">
        <f t="shared" si="0"/>
        <v>5.9893547092477142E-2</v>
      </c>
      <c r="E8" s="171">
        <f>C8/12</f>
        <v>4299.3584554549843</v>
      </c>
      <c r="G8" s="123"/>
      <c r="H8" s="124" t="s">
        <v>145</v>
      </c>
      <c r="I8" s="125">
        <f>SUM('Principal Recapture'!E9:E129)</f>
        <v>333514.1153019162</v>
      </c>
    </row>
    <row r="9" spans="1:11" ht="15.6" x14ac:dyDescent="0.3">
      <c r="B9" s="168">
        <v>5</v>
      </c>
      <c r="C9" s="16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53716.869548745453</v>
      </c>
      <c r="D9" s="170">
        <f t="shared" si="0"/>
        <v>6.2359960005509002E-2</v>
      </c>
      <c r="E9" s="171">
        <f>C9/12</f>
        <v>4476.4057957287878</v>
      </c>
      <c r="G9" s="123"/>
      <c r="H9" s="124" t="s">
        <v>146</v>
      </c>
      <c r="I9" s="128">
        <f>I8/I7</f>
        <v>0.38717682296484351</v>
      </c>
    </row>
    <row r="10" spans="1:11" ht="16.2" thickBot="1" x14ac:dyDescent="0.35">
      <c r="B10" s="168" t="s">
        <v>152</v>
      </c>
      <c r="C10" s="169">
        <f>SUM(C5:C9)</f>
        <v>240971.03571197524</v>
      </c>
      <c r="G10" s="223"/>
      <c r="H10" s="129" t="s">
        <v>147</v>
      </c>
      <c r="I10" s="224">
        <f>I9/10</f>
        <v>3.8717682296484354E-2</v>
      </c>
    </row>
    <row r="11" spans="1:11" ht="15.6" x14ac:dyDescent="0.3">
      <c r="B11" s="168" t="s">
        <v>21</v>
      </c>
      <c r="C11" s="169">
        <f>'ROI Number insert'!F19</f>
        <v>861400</v>
      </c>
      <c r="G11" s="225" t="s">
        <v>148</v>
      </c>
      <c r="H11" s="226" t="s">
        <v>21</v>
      </c>
      <c r="I11" s="227">
        <f>I3</f>
        <v>861400</v>
      </c>
    </row>
    <row r="12" spans="1:11" s="76" customFormat="1" ht="15.6" x14ac:dyDescent="0.3">
      <c r="B12" s="173" t="s">
        <v>153</v>
      </c>
      <c r="C12" s="175">
        <f>C10/C11/5</f>
        <v>5.5948696473641799E-2</v>
      </c>
      <c r="G12" s="130"/>
      <c r="H12" s="131" t="s">
        <v>145</v>
      </c>
      <c r="I12" s="132">
        <f>SUM('Principal Recapture'!E9:E189)</f>
        <v>594902.13969237881</v>
      </c>
      <c r="K12" s="1"/>
    </row>
    <row r="13" spans="1:11" ht="31.2" x14ac:dyDescent="0.3">
      <c r="B13" s="172" t="s">
        <v>154</v>
      </c>
      <c r="C13" s="233">
        <f>_xlfn.RRI(5,D5,D9)</f>
        <v>4.5022964933624454E-2</v>
      </c>
      <c r="G13" s="130"/>
      <c r="H13" s="131" t="s">
        <v>146</v>
      </c>
      <c r="I13" s="133">
        <f>I12/I11</f>
        <v>0.69062240502946226</v>
      </c>
    </row>
    <row r="14" spans="1:11" ht="16.2" thickBot="1" x14ac:dyDescent="0.35">
      <c r="B14" s="1" t="s">
        <v>198</v>
      </c>
      <c r="D14" s="117"/>
      <c r="G14" s="134"/>
      <c r="H14" s="135" t="s">
        <v>147</v>
      </c>
      <c r="I14" s="136">
        <f>I13/15</f>
        <v>4.604149366863082E-2</v>
      </c>
    </row>
    <row r="15" spans="1:11" ht="18.600000000000001" thickBot="1" x14ac:dyDescent="0.4">
      <c r="B15" s="137" t="s">
        <v>140</v>
      </c>
      <c r="C15" s="137" t="s">
        <v>149</v>
      </c>
      <c r="D15" s="137" t="s">
        <v>150</v>
      </c>
      <c r="E15" s="137" t="s">
        <v>151</v>
      </c>
      <c r="G15" s="401" t="s">
        <v>143</v>
      </c>
    </row>
    <row r="16" spans="1:11" ht="15.6" x14ac:dyDescent="0.3">
      <c r="B16" s="138">
        <v>1</v>
      </c>
      <c r="C16" s="139">
        <f>C5</f>
        <v>43100.422098785639</v>
      </c>
      <c r="D16" s="140">
        <f>C16/$C$27</f>
        <v>5.0035317040614861E-2</v>
      </c>
      <c r="E16" s="141">
        <f>C16/12</f>
        <v>3591.7018415654697</v>
      </c>
      <c r="G16" s="183" t="s">
        <v>95</v>
      </c>
      <c r="H16" s="214">
        <f>'ROI Number insert'!F3</f>
        <v>2200000</v>
      </c>
    </row>
    <row r="17" spans="2:12" ht="16.2" thickBot="1" x14ac:dyDescent="0.35">
      <c r="B17" s="138">
        <v>2</v>
      </c>
      <c r="C17" s="13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45219.418064365083</v>
      </c>
      <c r="D17" s="140">
        <f t="shared" ref="D17:D25" si="1">C17/$C$27</f>
        <v>5.2495261277414773E-2</v>
      </c>
      <c r="E17" s="141">
        <f t="shared" ref="E17:E25" si="2">C17/12</f>
        <v>3768.2848386970904</v>
      </c>
      <c r="G17" s="184" t="s">
        <v>200</v>
      </c>
      <c r="H17" s="215">
        <f>'Calculating offering price'!C5</f>
        <v>2020705.882352941</v>
      </c>
    </row>
    <row r="18" spans="2:12" s="164" customFormat="1" ht="15.6" x14ac:dyDescent="0.3">
      <c r="B18" s="138">
        <v>3</v>
      </c>
      <c r="C18" s="139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47342.024534619282</v>
      </c>
      <c r="D18" s="140">
        <f t="shared" si="1"/>
        <v>5.4959396952193269E-2</v>
      </c>
      <c r="E18" s="141">
        <f t="shared" si="2"/>
        <v>3945.1687112182735</v>
      </c>
      <c r="G18" s="185"/>
      <c r="H18" s="186" t="s">
        <v>113</v>
      </c>
      <c r="I18" s="188" t="s">
        <v>87</v>
      </c>
      <c r="J18" s="189" t="s">
        <v>193</v>
      </c>
      <c r="K18" s="190" t="s">
        <v>204</v>
      </c>
    </row>
    <row r="19" spans="2:12" ht="15.6" x14ac:dyDescent="0.3">
      <c r="B19" s="138">
        <v>4</v>
      </c>
      <c r="C19" s="13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49466.82109717829</v>
      </c>
      <c r="D19" s="140">
        <f t="shared" si="1"/>
        <v>5.7426075107009859E-2</v>
      </c>
      <c r="E19" s="141">
        <f t="shared" si="2"/>
        <v>4122.2350914315239</v>
      </c>
      <c r="G19" s="185" t="s">
        <v>201</v>
      </c>
      <c r="H19" s="216">
        <f>'Calculating offering price'!C95</f>
        <v>2681787.7239884655</v>
      </c>
      <c r="I19" s="217">
        <f>H19-H16</f>
        <v>481787.7239884655</v>
      </c>
      <c r="J19" s="220">
        <f>I19/'ROI Number insert'!$F$19</f>
        <v>0.55930778266596881</v>
      </c>
      <c r="K19" s="221">
        <f>_xlfn.RRI(5,H16,H19)</f>
        <v>4.0399999999999991E-2</v>
      </c>
    </row>
    <row r="20" spans="2:12" ht="15.6" x14ac:dyDescent="0.3">
      <c r="B20" s="138">
        <v>5</v>
      </c>
      <c r="C20" s="13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51592.301465459808</v>
      </c>
      <c r="D20" s="140">
        <f t="shared" si="1"/>
        <v>5.9893547092477142E-2</v>
      </c>
      <c r="E20" s="141">
        <f t="shared" si="2"/>
        <v>4299.3584554549843</v>
      </c>
      <c r="G20" s="185" t="s">
        <v>202</v>
      </c>
      <c r="H20" s="216">
        <f>'Calculating offering price'!C106</f>
        <v>2553189.815055327</v>
      </c>
      <c r="I20" s="217">
        <f>H20-H16</f>
        <v>353189.81505532702</v>
      </c>
      <c r="J20" s="220">
        <f>I20/'ROI Number insert'!$F$19</f>
        <v>0.41001835971131534</v>
      </c>
      <c r="K20" s="221">
        <f>_xlfn.RRI(10,H16,H20)</f>
        <v>1.4999999999999902E-2</v>
      </c>
    </row>
    <row r="21" spans="2:12" ht="16.2" thickBot="1" x14ac:dyDescent="0.35">
      <c r="B21" s="138">
        <v>6</v>
      </c>
      <c r="C21" s="13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53716.869548745453</v>
      </c>
      <c r="D21" s="140">
        <f t="shared" si="1"/>
        <v>6.2359960005509002E-2</v>
      </c>
      <c r="E21" s="141">
        <f t="shared" si="2"/>
        <v>4476.4057957287878</v>
      </c>
      <c r="G21" s="187" t="s">
        <v>203</v>
      </c>
      <c r="H21" s="218">
        <f>'Calculating offering price'!C117</f>
        <v>2960910.3443130841</v>
      </c>
      <c r="I21" s="219">
        <f>H21-H16</f>
        <v>760910.34431308415</v>
      </c>
      <c r="J21" s="220">
        <f>I21/'ROI Number insert'!$F$19</f>
        <v>0.883341472385749</v>
      </c>
      <c r="K21" s="222">
        <f>_xlfn.RRI(15,H16,H21)</f>
        <v>2.0000000000000018E-2</v>
      </c>
    </row>
    <row r="22" spans="2:12" ht="15.6" x14ac:dyDescent="0.3">
      <c r="B22" s="138">
        <v>7</v>
      </c>
      <c r="C22" s="13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55838.835358479395</v>
      </c>
      <c r="D22" s="140">
        <f t="shared" si="1"/>
        <v>6.4823351936939166E-2</v>
      </c>
      <c r="E22" s="141">
        <f t="shared" si="2"/>
        <v>4653.2362798732829</v>
      </c>
    </row>
    <row r="23" spans="2:12" ht="18.600000000000001" thickBot="1" x14ac:dyDescent="0.4">
      <c r="B23" s="138">
        <v>8</v>
      </c>
      <c r="C23" s="13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57956.410744234658</v>
      </c>
      <c r="D23" s="140">
        <f t="shared" si="1"/>
        <v>6.7281647021400812E-2</v>
      </c>
      <c r="E23" s="141">
        <f t="shared" si="2"/>
        <v>4829.7008953528884</v>
      </c>
      <c r="G23" s="908" t="s">
        <v>206</v>
      </c>
    </row>
    <row r="24" spans="2:12" ht="15.6" x14ac:dyDescent="0.3">
      <c r="B24" s="138">
        <v>9</v>
      </c>
      <c r="C24" s="13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60067.704952535132</v>
      </c>
      <c r="D24" s="140">
        <f t="shared" si="1"/>
        <v>6.9732650281559241E-2</v>
      </c>
      <c r="E24" s="141">
        <f t="shared" si="2"/>
        <v>5005.642079377928</v>
      </c>
      <c r="G24" s="208" t="s">
        <v>95</v>
      </c>
      <c r="H24" s="209">
        <f>'ROI Number insert'!F3</f>
        <v>2200000</v>
      </c>
    </row>
    <row r="25" spans="2:12" ht="15.6" x14ac:dyDescent="0.3">
      <c r="B25" s="138">
        <v>10</v>
      </c>
      <c r="C25" s="13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62170.720001452573</v>
      </c>
      <c r="D25" s="140">
        <f t="shared" si="1"/>
        <v>7.2174042258477566E-2</v>
      </c>
      <c r="E25" s="141">
        <f t="shared" si="2"/>
        <v>5180.8933334543808</v>
      </c>
      <c r="G25" s="210" t="s">
        <v>94</v>
      </c>
      <c r="H25" s="211">
        <f>'ROI Number insert'!F10</f>
        <v>91400</v>
      </c>
      <c r="I25" s="117"/>
    </row>
    <row r="26" spans="2:12" ht="15.6" x14ac:dyDescent="0.3">
      <c r="B26" s="138" t="s">
        <v>152</v>
      </c>
      <c r="C26" s="139">
        <f>SUM(C16:C25)</f>
        <v>526471.52786585537</v>
      </c>
      <c r="D26" s="117"/>
      <c r="G26" s="210" t="s">
        <v>17</v>
      </c>
      <c r="H26" s="211">
        <f>'ROI Number insert'!F15</f>
        <v>0</v>
      </c>
      <c r="I26" s="117"/>
    </row>
    <row r="27" spans="2:12" ht="15.6" x14ac:dyDescent="0.3">
      <c r="B27" s="138" t="s">
        <v>21</v>
      </c>
      <c r="C27" s="139">
        <f>C11</f>
        <v>861400</v>
      </c>
      <c r="D27" s="117"/>
      <c r="G27" s="210" t="s">
        <v>207</v>
      </c>
      <c r="H27" s="211">
        <f>'ROI Number insert'!F13</f>
        <v>0</v>
      </c>
      <c r="I27" s="117"/>
    </row>
    <row r="28" spans="2:12" ht="15.6" x14ac:dyDescent="0.3">
      <c r="B28" s="138" t="s">
        <v>153</v>
      </c>
      <c r="C28" s="142">
        <f>C26/C27/10</f>
        <v>6.1118124897359571E-2</v>
      </c>
      <c r="D28" s="117"/>
      <c r="G28" s="210" t="s">
        <v>208</v>
      </c>
      <c r="H28" s="211">
        <f>'ROI Number insert'!F50</f>
        <v>241000.00000000003</v>
      </c>
      <c r="I28" s="163"/>
      <c r="J28" s="164"/>
    </row>
    <row r="29" spans="2:12" ht="31.2" x14ac:dyDescent="0.3">
      <c r="B29" s="143" t="s">
        <v>154</v>
      </c>
      <c r="C29" s="234">
        <f>_xlfn.RRI(10,D16,D25)</f>
        <v>3.7314472955828126E-2</v>
      </c>
      <c r="D29" s="163"/>
      <c r="E29" s="164"/>
      <c r="G29" s="268" t="s">
        <v>209</v>
      </c>
      <c r="H29" s="269">
        <f>'Calculating offering price'!C95</f>
        <v>2681787.7239884655</v>
      </c>
      <c r="I29" s="904" t="s">
        <v>454</v>
      </c>
      <c r="J29" s="906">
        <f>'Calculating offering price'!C88</f>
        <v>10</v>
      </c>
      <c r="K29" s="905" t="s">
        <v>452</v>
      </c>
      <c r="L29" s="907">
        <f>'Calculating offering price'!C87</f>
        <v>0.02</v>
      </c>
    </row>
    <row r="30" spans="2:12" ht="15.6" x14ac:dyDescent="0.3">
      <c r="B30" s="1" t="s">
        <v>197</v>
      </c>
      <c r="D30" s="117"/>
      <c r="G30" s="210" t="s">
        <v>210</v>
      </c>
      <c r="H30" s="805">
        <f>H29-SUM(H24:H28)</f>
        <v>149387.7239884655</v>
      </c>
    </row>
    <row r="31" spans="2:12" ht="15.6" x14ac:dyDescent="0.3">
      <c r="B31" s="144" t="s">
        <v>140</v>
      </c>
      <c r="C31" s="144" t="s">
        <v>149</v>
      </c>
      <c r="D31" s="144" t="s">
        <v>150</v>
      </c>
      <c r="E31" s="144" t="s">
        <v>151</v>
      </c>
      <c r="G31" s="210" t="s">
        <v>21</v>
      </c>
      <c r="H31" s="211">
        <f>'ROI Number insert'!F19</f>
        <v>861400</v>
      </c>
    </row>
    <row r="32" spans="2:12" ht="16.2" thickBot="1" x14ac:dyDescent="0.35">
      <c r="B32" s="145">
        <v>1</v>
      </c>
      <c r="C32" s="146">
        <f>C16</f>
        <v>43100.422098785639</v>
      </c>
      <c r="D32" s="147">
        <f>C32/$C$48</f>
        <v>5.0035317040614861E-2</v>
      </c>
      <c r="E32" s="146">
        <f>C32/12</f>
        <v>3591.7018415654697</v>
      </c>
      <c r="G32" s="212" t="s">
        <v>146</v>
      </c>
      <c r="H32" s="213">
        <f>IF(H30&lt;0,"",H30/H31)</f>
        <v>0.17342433711221905</v>
      </c>
    </row>
    <row r="33" spans="2:11" ht="21.6" thickBot="1" x14ac:dyDescent="0.45">
      <c r="B33" s="145">
        <v>2</v>
      </c>
      <c r="C33" s="148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45219.418064365083</v>
      </c>
      <c r="D33" s="147">
        <f t="shared" ref="D33:D46" si="3">C33/$C$48</f>
        <v>5.2495261277414773E-2</v>
      </c>
      <c r="E33" s="146">
        <f t="shared" ref="E33:E46" si="4">C33/12</f>
        <v>3768.2848386970904</v>
      </c>
      <c r="G33" s="191" t="s">
        <v>217</v>
      </c>
    </row>
    <row r="34" spans="2:11" s="76" customFormat="1" ht="31.2" x14ac:dyDescent="0.3">
      <c r="B34" s="198">
        <v>3</v>
      </c>
      <c r="C34" s="199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47342.024534619282</v>
      </c>
      <c r="D34" s="200">
        <f t="shared" si="3"/>
        <v>5.4959396952193269E-2</v>
      </c>
      <c r="E34" s="201">
        <f t="shared" si="4"/>
        <v>3945.1687112182735</v>
      </c>
      <c r="G34" s="416" t="s">
        <v>218</v>
      </c>
      <c r="H34" s="417">
        <f>'ROI Number insert'!F45</f>
        <v>156299.68741764704</v>
      </c>
      <c r="I34" s="202"/>
      <c r="J34" s="202"/>
      <c r="K34" s="202"/>
    </row>
    <row r="35" spans="2:11" ht="15.6" x14ac:dyDescent="0.3">
      <c r="B35" s="145">
        <v>4</v>
      </c>
      <c r="C35" s="148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49466.82109717829</v>
      </c>
      <c r="D35" s="147">
        <f t="shared" si="3"/>
        <v>5.7426075107009859E-2</v>
      </c>
      <c r="E35" s="146">
        <f t="shared" si="4"/>
        <v>4122.2350914315239</v>
      </c>
      <c r="G35" s="418" t="s">
        <v>217</v>
      </c>
      <c r="H35" s="419">
        <f>H34/'ROI Number insert'!F3</f>
        <v>7.1045312462566845E-2</v>
      </c>
    </row>
    <row r="36" spans="2:11" ht="15.6" x14ac:dyDescent="0.3">
      <c r="B36" s="145">
        <v>5</v>
      </c>
      <c r="C36" s="148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51592.301465459808</v>
      </c>
      <c r="D36" s="147">
        <f t="shared" si="3"/>
        <v>5.9893547092477142E-2</v>
      </c>
      <c r="E36" s="146">
        <f t="shared" si="4"/>
        <v>4299.3584554549843</v>
      </c>
      <c r="G36" s="418" t="s">
        <v>320</v>
      </c>
      <c r="H36" s="421">
        <v>7.0000000000000007E-2</v>
      </c>
    </row>
    <row r="37" spans="2:11" ht="16.2" thickBot="1" x14ac:dyDescent="0.35">
      <c r="B37" s="145">
        <v>6</v>
      </c>
      <c r="C37" s="148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53716.869548745453</v>
      </c>
      <c r="D37" s="147">
        <f t="shared" si="3"/>
        <v>6.2359960005509002E-2</v>
      </c>
      <c r="E37" s="146">
        <f t="shared" si="4"/>
        <v>4476.4057957287878</v>
      </c>
      <c r="G37" s="420" t="s">
        <v>95</v>
      </c>
      <c r="H37" s="422">
        <f>H34/H36</f>
        <v>2232852.6773949577</v>
      </c>
    </row>
    <row r="38" spans="2:11" ht="15.6" x14ac:dyDescent="0.3">
      <c r="B38" s="145">
        <v>7</v>
      </c>
      <c r="C38" s="148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55838.835358479395</v>
      </c>
      <c r="D38" s="147">
        <f t="shared" si="3"/>
        <v>6.4823351936939166E-2</v>
      </c>
      <c r="E38" s="146">
        <f t="shared" si="4"/>
        <v>4653.2362798732829</v>
      </c>
    </row>
    <row r="39" spans="2:11" s="202" customFormat="1" ht="15.6" x14ac:dyDescent="0.3">
      <c r="B39" s="198">
        <v>8</v>
      </c>
      <c r="C39" s="148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57956.410744234658</v>
      </c>
      <c r="D39" s="147">
        <f t="shared" si="3"/>
        <v>6.7281647021400812E-2</v>
      </c>
      <c r="E39" s="201">
        <f t="shared" si="4"/>
        <v>4829.7008953528884</v>
      </c>
    </row>
    <row r="40" spans="2:11" ht="15.6" x14ac:dyDescent="0.3">
      <c r="B40" s="145">
        <v>9</v>
      </c>
      <c r="C40" s="148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60067.704952535132</v>
      </c>
      <c r="D40" s="147">
        <f t="shared" si="3"/>
        <v>6.9732650281559241E-2</v>
      </c>
      <c r="E40" s="146">
        <f t="shared" si="4"/>
        <v>5005.642079377928</v>
      </c>
    </row>
    <row r="41" spans="2:11" ht="15.6" x14ac:dyDescent="0.3">
      <c r="B41" s="145">
        <v>10</v>
      </c>
      <c r="C41" s="148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62170.720001452573</v>
      </c>
      <c r="D41" s="147">
        <f t="shared" si="3"/>
        <v>7.2174042258477566E-2</v>
      </c>
      <c r="E41" s="146">
        <f t="shared" si="4"/>
        <v>5180.8933334543808</v>
      </c>
    </row>
    <row r="42" spans="2:11" ht="15.6" x14ac:dyDescent="0.3">
      <c r="B42" s="145">
        <v>11</v>
      </c>
      <c r="C42" s="148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64263.345863622701</v>
      </c>
      <c r="D42" s="147">
        <f t="shared" si="3"/>
        <v>7.460337341957593E-2</v>
      </c>
      <c r="E42" s="146">
        <f t="shared" si="4"/>
        <v>5355.2788219685581</v>
      </c>
    </row>
    <row r="43" spans="2:11" ht="15.6" x14ac:dyDescent="0.3">
      <c r="B43" s="145">
        <v>12</v>
      </c>
      <c r="C43" s="148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66343.355450033079</v>
      </c>
      <c r="D43" s="147">
        <f t="shared" si="3"/>
        <v>7.7018058335306575E-2</v>
      </c>
      <c r="E43" s="146">
        <f t="shared" si="4"/>
        <v>5528.6129541694236</v>
      </c>
    </row>
    <row r="44" spans="2:11" ht="15.6" x14ac:dyDescent="0.3">
      <c r="B44" s="145">
        <v>13</v>
      </c>
      <c r="C44" s="148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68408.399386638048</v>
      </c>
      <c r="D44" s="147">
        <f t="shared" si="3"/>
        <v>7.9415369615321627E-2</v>
      </c>
      <c r="E44" s="146">
        <f t="shared" si="4"/>
        <v>5700.699948886504</v>
      </c>
    </row>
    <row r="45" spans="2:11" ht="15.6" x14ac:dyDescent="0.3">
      <c r="B45" s="145">
        <v>14</v>
      </c>
      <c r="C45" s="148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70456.000575542319</v>
      </c>
      <c r="D45" s="147">
        <f t="shared" si="3"/>
        <v>8.1792431594546453E-2</v>
      </c>
      <c r="E45" s="146">
        <f t="shared" si="4"/>
        <v>5871.3333812951932</v>
      </c>
    </row>
    <row r="46" spans="2:11" ht="15.6" x14ac:dyDescent="0.3">
      <c r="B46" s="145">
        <v>15</v>
      </c>
      <c r="C46" s="148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72483.548532174304</v>
      </c>
      <c r="D46" s="147">
        <f t="shared" si="3"/>
        <v>8.4146213759199326E-2</v>
      </c>
      <c r="E46" s="146">
        <f t="shared" si="4"/>
        <v>6040.2957110145253</v>
      </c>
    </row>
    <row r="47" spans="2:11" ht="15.6" x14ac:dyDescent="0.3">
      <c r="B47" s="149" t="s">
        <v>152</v>
      </c>
      <c r="C47" s="150">
        <f>SUM(C32:C46)</f>
        <v>868426.17767386592</v>
      </c>
      <c r="D47" s="151"/>
      <c r="E47" s="152"/>
    </row>
    <row r="48" spans="2:11" ht="15.6" x14ac:dyDescent="0.3">
      <c r="B48" s="153" t="s">
        <v>21</v>
      </c>
      <c r="C48" s="154">
        <f>C11</f>
        <v>861400</v>
      </c>
      <c r="D48" s="151"/>
      <c r="E48" s="152"/>
    </row>
    <row r="49" spans="2:5" ht="15.6" x14ac:dyDescent="0.3">
      <c r="B49" s="153" t="s">
        <v>153</v>
      </c>
      <c r="C49" s="155">
        <f>C47/C48/15</f>
        <v>6.7210446379836392E-2</v>
      </c>
      <c r="D49" s="151"/>
      <c r="E49" s="152"/>
    </row>
    <row r="50" spans="2:5" ht="31.2" x14ac:dyDescent="0.3">
      <c r="B50" s="156" t="s">
        <v>154</v>
      </c>
      <c r="C50" s="235">
        <f>_xlfn.RRI(15,D32,D46)</f>
        <v>3.5262607842903693E-2</v>
      </c>
      <c r="D50" s="165"/>
      <c r="E50" s="166"/>
    </row>
  </sheetData>
  <hyperlinks>
    <hyperlink ref="G23" location="'Calculating offering price'!A84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</hyperlink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9"/>
  </sheetPr>
  <dimension ref="A1:H75"/>
  <sheetViews>
    <sheetView topLeftCell="A30" workbookViewId="0">
      <selection activeCell="B40" sqref="B40"/>
    </sheetView>
  </sheetViews>
  <sheetFormatPr defaultColWidth="8.77734375" defaultRowHeight="13.8" x14ac:dyDescent="0.25"/>
  <cols>
    <col min="1" max="1" width="39.6640625" style="425" customWidth="1"/>
    <col min="2" max="2" width="33" style="426" customWidth="1"/>
    <col min="3" max="3" width="17.6640625" style="425" customWidth="1"/>
    <col min="4" max="4" width="15.6640625" style="425" customWidth="1"/>
    <col min="5" max="5" width="17.6640625" style="425" customWidth="1"/>
    <col min="6" max="6" width="12.77734375" style="425" customWidth="1"/>
    <col min="7" max="7" width="26.109375" style="425" customWidth="1"/>
    <col min="8" max="8" width="12.77734375" style="425" customWidth="1"/>
    <col min="9" max="9" width="28.21875" style="425" customWidth="1"/>
    <col min="10" max="10" width="18.33203125" style="425" customWidth="1"/>
    <col min="11" max="16384" width="8.77734375" style="425"/>
  </cols>
  <sheetData>
    <row r="1" spans="1:7" ht="15" thickBot="1" x14ac:dyDescent="0.35">
      <c r="A1" s="662" t="s">
        <v>392</v>
      </c>
      <c r="B1" s="426" t="s">
        <v>269</v>
      </c>
      <c r="C1" s="427">
        <f ca="1">TODAY()</f>
        <v>44919</v>
      </c>
      <c r="G1" s="1"/>
    </row>
    <row r="2" spans="1:7" ht="14.4" x14ac:dyDescent="0.3">
      <c r="B2" s="428" t="s">
        <v>271</v>
      </c>
      <c r="C2" s="429" t="str">
        <f>'ROI Number insert'!C3</f>
        <v>C8048059</v>
      </c>
      <c r="G2" s="1"/>
    </row>
    <row r="3" spans="1:7" ht="14.4" x14ac:dyDescent="0.3">
      <c r="B3" s="430" t="s">
        <v>272</v>
      </c>
      <c r="C3" s="431" t="str">
        <f>'ROI Number insert'!C4</f>
        <v>45540 Yale Road</v>
      </c>
      <c r="G3" s="1"/>
    </row>
    <row r="4" spans="1:7" ht="15" thickBot="1" x14ac:dyDescent="0.35">
      <c r="B4" s="432" t="s">
        <v>273</v>
      </c>
      <c r="C4" s="433">
        <f>'ROI Number insert'!C5</f>
        <v>2066000</v>
      </c>
      <c r="G4" s="1"/>
    </row>
    <row r="5" spans="1:7" ht="16.2" thickBot="1" x14ac:dyDescent="0.35">
      <c r="C5" s="434" t="s">
        <v>284</v>
      </c>
      <c r="D5" s="435" t="s">
        <v>285</v>
      </c>
      <c r="E5" s="435" t="s">
        <v>286</v>
      </c>
      <c r="G5" s="1"/>
    </row>
    <row r="6" spans="1:7" ht="16.2" thickBot="1" x14ac:dyDescent="0.35">
      <c r="B6" s="436" t="s">
        <v>21</v>
      </c>
      <c r="C6" s="437">
        <f>IF('Calculating offering price'!C19&gt;'Total Result'!C21,'Calculating offering price'!C19,IF('Calculating offering price'!C19&lt;='Total Result'!C21,'Total Result'!C21))</f>
        <v>861400</v>
      </c>
      <c r="D6" s="437">
        <f>IF(E57&gt;0,0,-E57)</f>
        <v>731400</v>
      </c>
      <c r="E6" s="437"/>
      <c r="G6" s="1"/>
    </row>
    <row r="7" spans="1:7" ht="16.2" thickBot="1" x14ac:dyDescent="0.35">
      <c r="B7" s="438" t="s">
        <v>217</v>
      </c>
      <c r="C7" s="439">
        <f>'ROI details'!H35</f>
        <v>7.1045312462566845E-2</v>
      </c>
      <c r="D7" s="439">
        <f>'ROI Detail ARV'!H35</f>
        <v>1.2514769757352939E-2</v>
      </c>
      <c r="E7" s="440">
        <f t="shared" ref="E7:E13" si="0">D7-C7</f>
        <v>-5.8530542705213906E-2</v>
      </c>
      <c r="F7" s="441"/>
      <c r="G7" s="1"/>
    </row>
    <row r="8" spans="1:7" ht="16.2" thickBot="1" x14ac:dyDescent="0.35">
      <c r="A8" s="442" t="s">
        <v>280</v>
      </c>
      <c r="B8" s="438" t="s">
        <v>279</v>
      </c>
      <c r="C8" s="443">
        <f>10*'ROI details'!H34</f>
        <v>1562996.8741764706</v>
      </c>
      <c r="D8" s="443">
        <f>10*'ROI Detail ARV'!H34</f>
        <v>300354.47417647054</v>
      </c>
      <c r="E8" s="437">
        <f t="shared" si="0"/>
        <v>-1262642.3999999999</v>
      </c>
      <c r="F8" s="441"/>
      <c r="G8" s="1"/>
    </row>
    <row r="9" spans="1:7" ht="16.2" thickBot="1" x14ac:dyDescent="0.35">
      <c r="A9" s="442"/>
      <c r="B9" s="438" t="s">
        <v>305</v>
      </c>
      <c r="C9" s="443">
        <f>IF((C26-C8)&lt;0,0,(C26-C8))</f>
        <v>637003.12582352944</v>
      </c>
      <c r="D9" s="443"/>
      <c r="E9" s="437"/>
      <c r="F9" s="441"/>
      <c r="G9" s="1"/>
    </row>
    <row r="10" spans="1:7" ht="16.2" thickBot="1" x14ac:dyDescent="0.35">
      <c r="A10" s="442" t="s">
        <v>304</v>
      </c>
      <c r="B10" s="438" t="s">
        <v>303</v>
      </c>
      <c r="C10" s="444">
        <f>C9/C26</f>
        <v>0.28954687537433155</v>
      </c>
      <c r="D10" s="443"/>
      <c r="E10" s="437"/>
      <c r="F10" s="441"/>
      <c r="G10" s="1"/>
    </row>
    <row r="11" spans="1:7" ht="16.2" thickBot="1" x14ac:dyDescent="0.35">
      <c r="A11" s="442"/>
      <c r="B11" s="438" t="s">
        <v>268</v>
      </c>
      <c r="C11" s="445">
        <f ca="1">C1-'ROI Number insert'!C2</f>
        <v>29</v>
      </c>
      <c r="D11" s="445">
        <f ca="1">C11</f>
        <v>29</v>
      </c>
      <c r="E11" s="437"/>
      <c r="F11" s="441"/>
      <c r="G11" s="1"/>
    </row>
    <row r="12" spans="1:7" ht="16.2" thickBot="1" x14ac:dyDescent="0.35">
      <c r="A12" s="442" t="s">
        <v>282</v>
      </c>
      <c r="B12" s="446" t="s">
        <v>281</v>
      </c>
      <c r="C12" s="447">
        <f>('Financial Statement'!C7+'Financial Statement'!C20+'Financial Statement'!C21)/'Financial Statement'!C3</f>
        <v>0.7954728180874967</v>
      </c>
      <c r="D12" s="447">
        <f>('Financial Statement ARV'!C7+'Financial Statement ARV'!C20+'Financial Statement ARV'!C21)/'Financial Statement ARV'!C3</f>
        <v>1.7600338026444404</v>
      </c>
      <c r="E12" s="440">
        <f t="shared" si="0"/>
        <v>0.96456098455694372</v>
      </c>
      <c r="F12" s="441"/>
      <c r="G12" s="1"/>
    </row>
    <row r="13" spans="1:7" ht="16.2" thickBot="1" x14ac:dyDescent="0.35">
      <c r="A13" s="442" t="s">
        <v>283</v>
      </c>
      <c r="B13" s="446" t="s">
        <v>289</v>
      </c>
      <c r="C13" s="448">
        <f>C21/'Financial Statement'!C22</f>
        <v>19.985883155057781</v>
      </c>
      <c r="D13" s="448">
        <f>D6/'Financial Statement ARV'!C22</f>
        <v>-14.795904359447768</v>
      </c>
      <c r="E13" s="449">
        <f t="shared" si="0"/>
        <v>-34.781787514505552</v>
      </c>
      <c r="F13" s="441"/>
      <c r="G13" s="1"/>
    </row>
    <row r="14" spans="1:7" ht="16.2" thickBot="1" x14ac:dyDescent="0.35">
      <c r="A14" s="442" t="s">
        <v>292</v>
      </c>
      <c r="B14" s="450" t="s">
        <v>275</v>
      </c>
      <c r="C14" s="451">
        <f>('ROI Number insert'!F2-'ROI Number insert'!F3)/'ROI Number insert'!F2</f>
        <v>0.66153846153846152</v>
      </c>
      <c r="D14" s="452"/>
      <c r="E14" s="453"/>
      <c r="G14" s="1"/>
    </row>
    <row r="15" spans="1:7" ht="15" thickBot="1" x14ac:dyDescent="0.35">
      <c r="G15" s="1"/>
    </row>
    <row r="16" spans="1:7" ht="15" thickBot="1" x14ac:dyDescent="0.35">
      <c r="B16" s="831" t="s">
        <v>178</v>
      </c>
      <c r="C16" s="832"/>
      <c r="D16" s="833"/>
      <c r="G16" s="1"/>
    </row>
    <row r="17" spans="2:7" ht="15.6" x14ac:dyDescent="0.3">
      <c r="B17" s="454" t="s">
        <v>160</v>
      </c>
      <c r="C17" s="455">
        <f>'ROI Number insert'!F11</f>
        <v>770000</v>
      </c>
      <c r="D17" s="456">
        <f>C17</f>
        <v>770000</v>
      </c>
      <c r="G17" s="1"/>
    </row>
    <row r="18" spans="2:7" ht="15.6" x14ac:dyDescent="0.3">
      <c r="B18" s="457" t="s">
        <v>94</v>
      </c>
      <c r="C18" s="458">
        <f>'ROI Number insert'!F10</f>
        <v>91400</v>
      </c>
      <c r="D18" s="459">
        <f>C18</f>
        <v>91400</v>
      </c>
    </row>
    <row r="19" spans="2:7" ht="15.6" x14ac:dyDescent="0.3">
      <c r="B19" s="457" t="s">
        <v>179</v>
      </c>
      <c r="C19" s="458">
        <f>'ROI Number insert'!F13</f>
        <v>0</v>
      </c>
      <c r="D19" s="459">
        <f>'ROI Number insert ARV'!E13</f>
        <v>45000</v>
      </c>
    </row>
    <row r="20" spans="2:7" ht="15.6" x14ac:dyDescent="0.3">
      <c r="B20" s="457" t="s">
        <v>290</v>
      </c>
      <c r="C20" s="458">
        <f>'ROI Number insert'!F15</f>
        <v>0</v>
      </c>
      <c r="D20" s="459">
        <f>'ROI Number insert ARV'!E15</f>
        <v>43689.666051664324</v>
      </c>
    </row>
    <row r="21" spans="2:7" ht="16.2" thickBot="1" x14ac:dyDescent="0.35">
      <c r="B21" s="460" t="s">
        <v>180</v>
      </c>
      <c r="C21" s="461">
        <f>SUM(C17:C20)</f>
        <v>861400</v>
      </c>
      <c r="D21" s="462">
        <f>SUM(D17:D20)</f>
        <v>950089.66605166427</v>
      </c>
    </row>
    <row r="22" spans="2:7" ht="14.4" thickBot="1" x14ac:dyDescent="0.3"/>
    <row r="23" spans="2:7" ht="15.6" x14ac:dyDescent="0.3">
      <c r="B23" s="463" t="s">
        <v>181</v>
      </c>
      <c r="C23" s="464" t="str">
        <f>'ROI Number insert'!I24</f>
        <v>More than 15 Years</v>
      </c>
    </row>
    <row r="24" spans="2:7" ht="15.6" x14ac:dyDescent="0.3">
      <c r="B24" s="465" t="s">
        <v>182</v>
      </c>
      <c r="C24" s="466">
        <f>'Calculating offering price'!C5</f>
        <v>2020705.882352941</v>
      </c>
      <c r="E24" s="425" t="s">
        <v>450</v>
      </c>
    </row>
    <row r="25" spans="2:7" ht="15.6" x14ac:dyDescent="0.3">
      <c r="B25" s="465" t="s">
        <v>183</v>
      </c>
      <c r="C25" s="467">
        <f>'Calculating offering price'!C4</f>
        <v>6500000</v>
      </c>
    </row>
    <row r="26" spans="2:7" ht="15.6" x14ac:dyDescent="0.3">
      <c r="B26" s="468" t="s">
        <v>276</v>
      </c>
      <c r="C26" s="469">
        <f>'ROI Number insert'!F3</f>
        <v>2200000</v>
      </c>
    </row>
    <row r="27" spans="2:7" ht="15.6" x14ac:dyDescent="0.3">
      <c r="B27" s="468" t="s">
        <v>291</v>
      </c>
      <c r="C27" s="469">
        <f>'ROI Number insert'!F18</f>
        <v>2400000</v>
      </c>
    </row>
    <row r="28" spans="2:7" ht="16.2" thickBot="1" x14ac:dyDescent="0.35">
      <c r="B28" s="470" t="s">
        <v>184</v>
      </c>
      <c r="C28" s="471">
        <f>'Calculating offering price'!C14</f>
        <v>1495322.3529411764</v>
      </c>
      <c r="E28" s="425" t="s">
        <v>321</v>
      </c>
    </row>
    <row r="29" spans="2:7" ht="14.4" thickBot="1" x14ac:dyDescent="0.3"/>
    <row r="30" spans="2:7" ht="16.2" thickBot="1" x14ac:dyDescent="0.35">
      <c r="B30" s="472" t="s">
        <v>185</v>
      </c>
      <c r="C30" s="473">
        <f>'ROI Number insert'!F27</f>
        <v>210732</v>
      </c>
      <c r="D30" s="473">
        <f>'Financial Statement ARV'!C3</f>
        <v>65040</v>
      </c>
      <c r="E30" s="474">
        <f>D30-C30</f>
        <v>-145692</v>
      </c>
    </row>
    <row r="31" spans="2:7" ht="15.6" x14ac:dyDescent="0.3">
      <c r="B31" s="475" t="s">
        <v>186</v>
      </c>
      <c r="C31" s="476">
        <f>'Calculating offering price'!C28</f>
        <v>14534.206700000001</v>
      </c>
      <c r="D31" s="476">
        <f>'Financial Statement ARV'!C18</f>
        <v>14534.206700000001</v>
      </c>
      <c r="E31" s="477">
        <f t="shared" ref="E31:E39" si="1">D31-C31</f>
        <v>0</v>
      </c>
    </row>
    <row r="32" spans="2:7" ht="15.6" x14ac:dyDescent="0.3">
      <c r="B32" s="478" t="s">
        <v>188</v>
      </c>
      <c r="C32" s="479">
        <f>SUM('Financial Statement'!C8:C18)-'Financial Statement'!C18-'Financial Statement'!C15-'Financial Statement'!C8</f>
        <v>29361.505882352947</v>
      </c>
      <c r="D32" s="479">
        <f>SUM('Financial Statement ARV'!C8:C18)-'Financial Statement ARV'!C18-'Financial Statement'!C15-'Financial Statement ARV'!C8</f>
        <v>18785.845882352944</v>
      </c>
      <c r="E32" s="480">
        <f t="shared" si="1"/>
        <v>-10575.660000000003</v>
      </c>
    </row>
    <row r="33" spans="2:5" ht="15.6" x14ac:dyDescent="0.3">
      <c r="B33" s="478" t="s">
        <v>189</v>
      </c>
      <c r="C33" s="479">
        <f>'ROI Number insert'!F41</f>
        <v>10536.6</v>
      </c>
      <c r="D33" s="479">
        <f>'ROI Number insert ARV'!E41</f>
        <v>3334.5</v>
      </c>
      <c r="E33" s="480">
        <f t="shared" si="1"/>
        <v>-7202.1</v>
      </c>
    </row>
    <row r="34" spans="2:5" ht="16.2" thickBot="1" x14ac:dyDescent="0.35">
      <c r="B34" s="481" t="s">
        <v>190</v>
      </c>
      <c r="C34" s="482">
        <f>'ROI Number insert'!F42</f>
        <v>0</v>
      </c>
      <c r="D34" s="482">
        <f>'ROI Number insert ARV'!E42</f>
        <v>666.9</v>
      </c>
      <c r="E34" s="483">
        <f t="shared" si="1"/>
        <v>666.9</v>
      </c>
    </row>
    <row r="35" spans="2:5" ht="16.2" thickBot="1" x14ac:dyDescent="0.35">
      <c r="B35" s="472" t="s">
        <v>191</v>
      </c>
      <c r="C35" s="473">
        <f>C30-SUM(C31:C34)</f>
        <v>156299.68741764704</v>
      </c>
      <c r="D35" s="473">
        <f t="shared" ref="D35" si="2">D30-SUM(D31:D34)</f>
        <v>27718.547417647052</v>
      </c>
      <c r="E35" s="474">
        <f t="shared" si="1"/>
        <v>-128581.13999999998</v>
      </c>
    </row>
    <row r="36" spans="2:5" ht="15.6" x14ac:dyDescent="0.3">
      <c r="B36" s="484" t="s">
        <v>187</v>
      </c>
      <c r="C36" s="485">
        <f>'Calculating offering price'!C27</f>
        <v>113199.26531886141</v>
      </c>
      <c r="D36" s="485">
        <f>'Calculating offering price ARV'!C27</f>
        <v>77818.045941641452</v>
      </c>
      <c r="E36" s="486">
        <f t="shared" si="1"/>
        <v>-35381.219377219953</v>
      </c>
    </row>
    <row r="37" spans="2:5" ht="16.2" thickBot="1" x14ac:dyDescent="0.35">
      <c r="B37" s="487" t="s">
        <v>247</v>
      </c>
      <c r="C37" s="488">
        <f>'ROI Number insert'!I17</f>
        <v>0</v>
      </c>
      <c r="D37" s="488">
        <f>'Calculating offering price ARV'!C31</f>
        <v>0</v>
      </c>
      <c r="E37" s="489">
        <f t="shared" si="1"/>
        <v>0</v>
      </c>
    </row>
    <row r="38" spans="2:5" ht="15.6" x14ac:dyDescent="0.3">
      <c r="B38" s="490" t="s">
        <v>243</v>
      </c>
      <c r="C38" s="491">
        <f>C35-C36-C37</f>
        <v>43100.422098785639</v>
      </c>
      <c r="D38" s="491">
        <f>D35-D36-D37</f>
        <v>-50099.4985239944</v>
      </c>
      <c r="E38" s="492">
        <f t="shared" si="1"/>
        <v>-93199.920622780046</v>
      </c>
    </row>
    <row r="39" spans="2:5" ht="16.2" thickBot="1" x14ac:dyDescent="0.35">
      <c r="B39" s="493" t="s">
        <v>137</v>
      </c>
      <c r="C39" s="494">
        <f>C38/12</f>
        <v>3591.7018415654697</v>
      </c>
      <c r="D39" s="494">
        <f>D38/12</f>
        <v>-4174.9582103328667</v>
      </c>
      <c r="E39" s="495">
        <f t="shared" si="1"/>
        <v>-7766.660051898336</v>
      </c>
    </row>
    <row r="40" spans="2:5" ht="16.2" thickBot="1" x14ac:dyDescent="0.3">
      <c r="B40" s="496" t="s">
        <v>206</v>
      </c>
    </row>
    <row r="41" spans="2:5" ht="15.6" x14ac:dyDescent="0.3">
      <c r="B41" s="497" t="s">
        <v>300</v>
      </c>
      <c r="C41" s="498">
        <f>'ROI Number insert ARV'!E3-'ROI Number insert'!F3</f>
        <v>200000</v>
      </c>
    </row>
    <row r="42" spans="2:5" ht="15.6" x14ac:dyDescent="0.3">
      <c r="B42" s="499" t="s">
        <v>301</v>
      </c>
      <c r="C42" s="500">
        <f>D19+D20</f>
        <v>88689.666051664331</v>
      </c>
    </row>
    <row r="43" spans="2:5" ht="15.6" x14ac:dyDescent="0.3">
      <c r="B43" s="499" t="s">
        <v>302</v>
      </c>
      <c r="C43" s="501">
        <f>C41-C42</f>
        <v>111310.33394833567</v>
      </c>
    </row>
    <row r="44" spans="2:5" ht="16.2" thickBot="1" x14ac:dyDescent="0.35">
      <c r="B44" s="502" t="s">
        <v>146</v>
      </c>
      <c r="C44" s="503">
        <f>C43/C42</f>
        <v>1.2550541557287422</v>
      </c>
    </row>
    <row r="45" spans="2:5" ht="16.2" thickBot="1" x14ac:dyDescent="0.35">
      <c r="B45" s="504"/>
      <c r="C45" s="505"/>
    </row>
    <row r="46" spans="2:5" ht="16.2" thickBot="1" x14ac:dyDescent="0.35">
      <c r="B46" s="852" t="s">
        <v>386</v>
      </c>
      <c r="C46" s="853"/>
    </row>
    <row r="47" spans="2:5" ht="15.6" x14ac:dyDescent="0.3">
      <c r="B47" s="454" t="s">
        <v>141</v>
      </c>
      <c r="C47" s="506">
        <f>'Financial Statement'!C24</f>
        <v>5.0035317040614861E-2</v>
      </c>
    </row>
    <row r="48" spans="2:5" ht="15.6" x14ac:dyDescent="0.3">
      <c r="B48" s="457" t="s">
        <v>142</v>
      </c>
      <c r="C48" s="507">
        <f>'Financial Statement'!C34</f>
        <v>2.8463802683488103E-2</v>
      </c>
    </row>
    <row r="49" spans="2:8" ht="15.6" x14ac:dyDescent="0.3">
      <c r="B49" s="457" t="s">
        <v>143</v>
      </c>
      <c r="C49" s="507">
        <f>'Financial Statement'!C41</f>
        <v>5.1079637798931973E-2</v>
      </c>
    </row>
    <row r="50" spans="2:8" ht="16.2" thickBot="1" x14ac:dyDescent="0.35">
      <c r="B50" s="508" t="s">
        <v>206</v>
      </c>
      <c r="C50" s="509">
        <f>'ROI details'!H32</f>
        <v>0.17342433711221905</v>
      </c>
    </row>
    <row r="51" spans="2:8" ht="16.2" thickBot="1" x14ac:dyDescent="0.35">
      <c r="B51" s="510" t="s">
        <v>387</v>
      </c>
      <c r="C51" s="511">
        <f>SUM(C47:C50)</f>
        <v>0.30300309463525399</v>
      </c>
    </row>
    <row r="52" spans="2:8" ht="16.2" thickBot="1" x14ac:dyDescent="0.35">
      <c r="C52" s="840" t="s">
        <v>287</v>
      </c>
      <c r="D52" s="840"/>
      <c r="E52" s="840" t="s">
        <v>285</v>
      </c>
      <c r="F52" s="840"/>
      <c r="G52" s="840" t="s">
        <v>286</v>
      </c>
      <c r="H52" s="840"/>
    </row>
    <row r="53" spans="2:8" ht="15.6" x14ac:dyDescent="0.25">
      <c r="B53" s="841" t="s">
        <v>196</v>
      </c>
      <c r="C53" s="842"/>
      <c r="D53" s="842"/>
      <c r="E53" s="842"/>
      <c r="F53" s="842"/>
      <c r="G53" s="842"/>
      <c r="H53" s="843"/>
    </row>
    <row r="54" spans="2:8" ht="15.6" x14ac:dyDescent="0.3">
      <c r="B54" s="512" t="s">
        <v>141</v>
      </c>
      <c r="C54" s="513">
        <f>'ROI details'!C10</f>
        <v>240971.03571197524</v>
      </c>
      <c r="D54" s="514">
        <f>'ROI details'!C12*5</f>
        <v>0.27974348236820901</v>
      </c>
      <c r="E54" s="513">
        <f>'ROI Detail ARV'!C10</f>
        <v>-243040.77917067255</v>
      </c>
      <c r="F54" s="514">
        <f>'ROI Detail ARV'!C12*5</f>
        <v>-0.33229529555738657</v>
      </c>
      <c r="G54" s="513">
        <f>E54-C54</f>
        <v>-484011.81488264783</v>
      </c>
      <c r="H54" s="515">
        <f>F54-D54</f>
        <v>-0.61203877792559558</v>
      </c>
    </row>
    <row r="55" spans="2:8" ht="15.6" x14ac:dyDescent="0.3">
      <c r="B55" s="512" t="s">
        <v>142</v>
      </c>
      <c r="C55" s="516">
        <f>'ROI details'!I4</f>
        <v>142123.39890579201</v>
      </c>
      <c r="D55" s="514">
        <f>'ROI details'!I5</f>
        <v>0.16499117588320411</v>
      </c>
      <c r="E55" s="516">
        <f>'ROI Detail ARV'!I4</f>
        <v>179010.19130045222</v>
      </c>
      <c r="F55" s="514">
        <f>'ROI Detail ARV'!I5</f>
        <v>0.24475005646766779</v>
      </c>
      <c r="G55" s="513">
        <f t="shared" ref="G55:G56" si="3">E55-C55</f>
        <v>36886.79239466021</v>
      </c>
      <c r="H55" s="515">
        <f>F55-D55</f>
        <v>7.9758880584463676E-2</v>
      </c>
    </row>
    <row r="56" spans="2:8" ht="15.6" x14ac:dyDescent="0.3">
      <c r="B56" s="512" t="s">
        <v>143</v>
      </c>
      <c r="C56" s="516">
        <f>'ROI details'!I19</f>
        <v>481787.7239884655</v>
      </c>
      <c r="D56" s="514">
        <f>'ROI details'!J19</f>
        <v>0.55930778266596881</v>
      </c>
      <c r="E56" s="516">
        <f>'ROI Detail ARV'!I19</f>
        <v>481787.7239884655</v>
      </c>
      <c r="F56" s="514">
        <f>'ROI Detail ARV'!J19</f>
        <v>0.65871988513599333</v>
      </c>
      <c r="G56" s="513">
        <f t="shared" si="3"/>
        <v>0</v>
      </c>
      <c r="H56" s="515">
        <f>'ROI Detail ARV'!L19</f>
        <v>0</v>
      </c>
    </row>
    <row r="57" spans="2:8" ht="15.6" x14ac:dyDescent="0.3">
      <c r="B57" s="850" t="s">
        <v>295</v>
      </c>
      <c r="C57" s="851"/>
      <c r="D57" s="851"/>
      <c r="E57" s="516">
        <f>'ROI Number insert ARV'!H11-'ROI Number insert'!I11-C21</f>
        <v>-731400</v>
      </c>
      <c r="F57" s="514"/>
      <c r="G57" s="513"/>
      <c r="H57" s="515"/>
    </row>
    <row r="58" spans="2:8" ht="16.2" thickBot="1" x14ac:dyDescent="0.35">
      <c r="B58" s="517" t="s">
        <v>193</v>
      </c>
      <c r="C58" s="518">
        <f t="shared" ref="C58:H58" si="4">SUM(C54:C56)</f>
        <v>864882.15860623273</v>
      </c>
      <c r="D58" s="519">
        <f t="shared" si="4"/>
        <v>1.0040424409173818</v>
      </c>
      <c r="E58" s="518">
        <f t="shared" si="4"/>
        <v>417757.13611824519</v>
      </c>
      <c r="F58" s="520">
        <f t="shared" si="4"/>
        <v>0.57117464604627455</v>
      </c>
      <c r="G58" s="518">
        <f t="shared" si="4"/>
        <v>-447125.02248798765</v>
      </c>
      <c r="H58" s="519">
        <f t="shared" si="4"/>
        <v>-0.5322798973411319</v>
      </c>
    </row>
    <row r="59" spans="2:8" ht="16.2" thickBot="1" x14ac:dyDescent="0.35">
      <c r="B59" s="838" t="s">
        <v>194</v>
      </c>
      <c r="C59" s="839"/>
      <c r="D59" s="521">
        <f>_xlfn.RRI(4,C51,D58)</f>
        <v>0.34919974891120198</v>
      </c>
      <c r="E59" s="522"/>
      <c r="F59" s="523">
        <f>_xlfn.RRI(5,D6,E58)</f>
        <v>-0.10596651676158164</v>
      </c>
      <c r="G59" s="522"/>
      <c r="H59" s="521">
        <f>F59-D59</f>
        <v>-0.45516626567278362</v>
      </c>
    </row>
    <row r="60" spans="2:8" ht="15.6" x14ac:dyDescent="0.25">
      <c r="B60" s="844" t="s">
        <v>192</v>
      </c>
      <c r="C60" s="845"/>
      <c r="D60" s="845"/>
      <c r="E60" s="845"/>
      <c r="F60" s="845"/>
      <c r="G60" s="845"/>
      <c r="H60" s="846"/>
    </row>
    <row r="61" spans="2:8" ht="15.6" x14ac:dyDescent="0.3">
      <c r="B61" s="524" t="s">
        <v>141</v>
      </c>
      <c r="C61" s="525">
        <f>'ROI details'!C26</f>
        <v>526471.52786585537</v>
      </c>
      <c r="D61" s="526">
        <f>'ROI details'!C28*10</f>
        <v>0.61118124897359571</v>
      </c>
      <c r="E61" s="525">
        <f>'ROI Detail ARV'!C26</f>
        <v>-497430.50240333489</v>
      </c>
      <c r="F61" s="526">
        <f>'ROI Detail ARV'!C28*10</f>
        <v>-0.68010733169720383</v>
      </c>
      <c r="G61" s="525">
        <f>E61-C61</f>
        <v>-1023902.0302691902</v>
      </c>
      <c r="H61" s="527">
        <f>F61-D61</f>
        <v>-1.2912885806707997</v>
      </c>
    </row>
    <row r="62" spans="2:8" ht="15.6" x14ac:dyDescent="0.3">
      <c r="B62" s="524" t="s">
        <v>142</v>
      </c>
      <c r="C62" s="528">
        <f>'ROI details'!I8</f>
        <v>333514.1153019162</v>
      </c>
      <c r="D62" s="526">
        <f>'ROI details'!I9</f>
        <v>0.38717682296484351</v>
      </c>
      <c r="E62" s="528">
        <f>'ROI Detail ARV'!I8</f>
        <v>382662.31683004339</v>
      </c>
      <c r="F62" s="526">
        <f>'ROI Detail ARV'!I9</f>
        <v>0.52319157346191325</v>
      </c>
      <c r="G62" s="525">
        <f t="shared" ref="G62:G63" si="5">E62-C62</f>
        <v>49148.201528127189</v>
      </c>
      <c r="H62" s="527">
        <f t="shared" ref="H62:H63" si="6">F62-D62</f>
        <v>0.13601475049706974</v>
      </c>
    </row>
    <row r="63" spans="2:8" ht="15.6" x14ac:dyDescent="0.3">
      <c r="B63" s="524" t="s">
        <v>143</v>
      </c>
      <c r="C63" s="528">
        <f>'ROI details'!I20</f>
        <v>353189.81505532702</v>
      </c>
      <c r="D63" s="526">
        <f>'ROI details'!J20</f>
        <v>0.41001835971131534</v>
      </c>
      <c r="E63" s="528">
        <f>'ROI Detail ARV'!I20</f>
        <v>353189.81505532702</v>
      </c>
      <c r="F63" s="526">
        <f>'ROI Detail ARV'!J20</f>
        <v>0.48289556337889938</v>
      </c>
      <c r="G63" s="525">
        <f t="shared" si="5"/>
        <v>0</v>
      </c>
      <c r="H63" s="527">
        <f t="shared" si="6"/>
        <v>7.2877203667584045E-2</v>
      </c>
    </row>
    <row r="64" spans="2:8" ht="16.2" thickBot="1" x14ac:dyDescent="0.35">
      <c r="B64" s="529" t="s">
        <v>193</v>
      </c>
      <c r="C64" s="530">
        <f t="shared" ref="C64:H64" si="7">SUM(C61:C63)</f>
        <v>1213175.4582230987</v>
      </c>
      <c r="D64" s="531">
        <f t="shared" si="7"/>
        <v>1.4083764316497547</v>
      </c>
      <c r="E64" s="530">
        <f t="shared" si="7"/>
        <v>238421.62948203553</v>
      </c>
      <c r="F64" s="532">
        <f t="shared" si="7"/>
        <v>0.3259798051436088</v>
      </c>
      <c r="G64" s="530">
        <f t="shared" si="7"/>
        <v>-974753.82874106301</v>
      </c>
      <c r="H64" s="531">
        <f t="shared" si="7"/>
        <v>-1.082396626506146</v>
      </c>
    </row>
    <row r="65" spans="1:8" ht="16.2" thickBot="1" x14ac:dyDescent="0.35">
      <c r="B65" s="836" t="s">
        <v>194</v>
      </c>
      <c r="C65" s="837"/>
      <c r="D65" s="533">
        <f>RATE(9,,-('ROI details'!C5+'PR Result'!C5+'Total Result'!C26*'Calculating offering price'!C87),C64)</f>
        <v>0.30356190338200301</v>
      </c>
      <c r="E65" s="534"/>
      <c r="F65" s="535">
        <f>_xlfn.RRI(10,D6,E64)</f>
        <v>-0.10603797710545126</v>
      </c>
      <c r="G65" s="534"/>
      <c r="H65" s="533">
        <f>F65-D65</f>
        <v>-0.40959988048745427</v>
      </c>
    </row>
    <row r="66" spans="1:8" ht="15.6" x14ac:dyDescent="0.3">
      <c r="B66" s="847" t="s">
        <v>195</v>
      </c>
      <c r="C66" s="848"/>
      <c r="D66" s="848"/>
      <c r="E66" s="848"/>
      <c r="F66" s="848"/>
      <c r="G66" s="848"/>
      <c r="H66" s="849"/>
    </row>
    <row r="67" spans="1:8" ht="15.6" x14ac:dyDescent="0.3">
      <c r="B67" s="536" t="s">
        <v>141</v>
      </c>
      <c r="C67" s="537">
        <f>'ROI details'!C47</f>
        <v>868426.17767386592</v>
      </c>
      <c r="D67" s="538">
        <f>'ROI details'!C49*15</f>
        <v>1.0081566956975458</v>
      </c>
      <c r="E67" s="537">
        <f>'ROI Detail ARV'!C47</f>
        <v>-765020.79485840909</v>
      </c>
      <c r="F67" s="538">
        <f>'ROI Detail ARV'!C49*15</f>
        <v>-1.0459677260847813</v>
      </c>
      <c r="G67" s="537">
        <f>E67-C67</f>
        <v>-1633446.9725322751</v>
      </c>
      <c r="H67" s="539">
        <f>F67-D67</f>
        <v>-2.0541244217823271</v>
      </c>
    </row>
    <row r="68" spans="1:8" ht="15.6" x14ac:dyDescent="0.3">
      <c r="B68" s="536" t="s">
        <v>142</v>
      </c>
      <c r="C68" s="540">
        <f>'ROI details'!I12</f>
        <v>594902.13969237881</v>
      </c>
      <c r="D68" s="538">
        <f>'ROI details'!I13</f>
        <v>0.69062240502946226</v>
      </c>
      <c r="E68" s="540">
        <f>'ROI Detail ARV'!I12</f>
        <v>617933.67133045115</v>
      </c>
      <c r="F68" s="538">
        <f>'ROI Detail ARV'!I13</f>
        <v>0.8448641937796707</v>
      </c>
      <c r="G68" s="537">
        <f t="shared" ref="G68:G69" si="8">E68-C68</f>
        <v>23031.531638072338</v>
      </c>
      <c r="H68" s="539">
        <f t="shared" ref="H68:H69" si="9">F68-D68</f>
        <v>0.15424178875020844</v>
      </c>
    </row>
    <row r="69" spans="1:8" ht="15.6" x14ac:dyDescent="0.3">
      <c r="B69" s="536" t="s">
        <v>143</v>
      </c>
      <c r="C69" s="540">
        <f>'ROI details'!I21</f>
        <v>760910.34431308415</v>
      </c>
      <c r="D69" s="538">
        <f>'ROI details'!J21</f>
        <v>0.883341472385749</v>
      </c>
      <c r="E69" s="540">
        <f>'ROI Detail ARV'!I21</f>
        <v>760910.34431308415</v>
      </c>
      <c r="F69" s="538">
        <f>'ROI Detail ARV'!J21</f>
        <v>1.0403477499495271</v>
      </c>
      <c r="G69" s="537">
        <f t="shared" si="8"/>
        <v>0</v>
      </c>
      <c r="H69" s="539">
        <f t="shared" si="9"/>
        <v>0.15700627756377805</v>
      </c>
    </row>
    <row r="70" spans="1:8" ht="16.2" thickBot="1" x14ac:dyDescent="0.35">
      <c r="B70" s="541" t="s">
        <v>193</v>
      </c>
      <c r="C70" s="542">
        <f t="shared" ref="C70:H70" si="10">SUM(C67:C69)</f>
        <v>2224238.6616793289</v>
      </c>
      <c r="D70" s="543">
        <f t="shared" si="10"/>
        <v>2.582120573112757</v>
      </c>
      <c r="E70" s="542">
        <f t="shared" si="10"/>
        <v>613823.22078512621</v>
      </c>
      <c r="F70" s="543">
        <f t="shared" si="10"/>
        <v>0.83924421764441648</v>
      </c>
      <c r="G70" s="542">
        <f t="shared" si="10"/>
        <v>-1610415.4408942028</v>
      </c>
      <c r="H70" s="544">
        <f t="shared" si="10"/>
        <v>-1.7428763554683404</v>
      </c>
    </row>
    <row r="71" spans="1:8" ht="16.2" thickBot="1" x14ac:dyDescent="0.35">
      <c r="B71" s="834" t="s">
        <v>194</v>
      </c>
      <c r="C71" s="835"/>
      <c r="D71" s="545">
        <f>RATE(14,,-('ROI details'!C5+'PR Result'!C5+'Total Result'!C26*'Calculating offering price'!C87),C70)</f>
        <v>0.2382756595115956</v>
      </c>
      <c r="E71" s="546"/>
      <c r="F71" s="545">
        <f>_xlfn.RRI(15,D6,E70)</f>
        <v>-1.1615581017349941E-2</v>
      </c>
      <c r="G71" s="546"/>
      <c r="H71" s="547">
        <f>F71-D71</f>
        <v>-0.24989124052894554</v>
      </c>
    </row>
    <row r="73" spans="1:8" x14ac:dyDescent="0.25">
      <c r="A73" s="548"/>
    </row>
    <row r="75" spans="1:8" x14ac:dyDescent="0.25">
      <c r="A75" s="549"/>
    </row>
  </sheetData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9"/>
  </sheetPr>
  <dimension ref="A1:J41"/>
  <sheetViews>
    <sheetView workbookViewId="0"/>
  </sheetViews>
  <sheetFormatPr defaultColWidth="8.77734375" defaultRowHeight="14.4" x14ac:dyDescent="0.3"/>
  <cols>
    <col min="1" max="1" width="4.21875" style="617" customWidth="1"/>
    <col min="2" max="2" width="23.6640625" style="617" customWidth="1"/>
    <col min="3" max="3" width="14.77734375" style="617" customWidth="1"/>
    <col min="4" max="4" width="10.33203125" style="617" customWidth="1"/>
    <col min="5" max="5" width="14" style="617" customWidth="1"/>
    <col min="6" max="6" width="17.109375" style="617" customWidth="1"/>
    <col min="7" max="7" width="26" style="617" customWidth="1"/>
    <col min="8" max="9" width="13.6640625" style="617" customWidth="1"/>
    <col min="10" max="10" width="13.77734375" style="617" customWidth="1"/>
    <col min="11" max="16384" width="8.77734375" style="617"/>
  </cols>
  <sheetData>
    <row r="1" spans="1:10" ht="15" thickBot="1" x14ac:dyDescent="0.35">
      <c r="A1" s="662" t="s">
        <v>392</v>
      </c>
    </row>
    <row r="2" spans="1:10" ht="31.8" thickBot="1" x14ac:dyDescent="0.35">
      <c r="B2" s="618" t="s">
        <v>140</v>
      </c>
      <c r="C2" s="619" t="s">
        <v>149</v>
      </c>
      <c r="D2" s="619" t="s">
        <v>150</v>
      </c>
      <c r="E2" s="620" t="s">
        <v>151</v>
      </c>
      <c r="G2" s="621" t="s">
        <v>140</v>
      </c>
      <c r="H2" s="621" t="s">
        <v>149</v>
      </c>
      <c r="I2" s="621" t="s">
        <v>150</v>
      </c>
      <c r="J2" s="622" t="s">
        <v>151</v>
      </c>
    </row>
    <row r="3" spans="1:10" ht="15.6" x14ac:dyDescent="0.3">
      <c r="B3" s="623">
        <v>1</v>
      </c>
      <c r="C3" s="624">
        <f>'ROI details'!C5</f>
        <v>43100.422098785639</v>
      </c>
      <c r="D3" s="625">
        <f>C3/$C$39</f>
        <v>5.0035317040614861E-2</v>
      </c>
      <c r="E3" s="626">
        <f>C3/12</f>
        <v>3591.7018415654697</v>
      </c>
      <c r="G3" s="627">
        <v>1</v>
      </c>
      <c r="H3" s="628">
        <f>'ROI Detail ARV'!C5</f>
        <v>-47782.598523994398</v>
      </c>
      <c r="I3" s="629">
        <f>H3/$H$39</f>
        <v>-6.5330323385280831E-2</v>
      </c>
      <c r="J3" s="628">
        <f>H3/12</f>
        <v>-3981.8832103328664</v>
      </c>
    </row>
    <row r="4" spans="1:10" ht="15.6" x14ac:dyDescent="0.3">
      <c r="B4" s="630">
        <v>2</v>
      </c>
      <c r="C4" s="631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45219.418064365083</v>
      </c>
      <c r="D4" s="629">
        <f t="shared" ref="D4:D36" si="0">C4/$C$39</f>
        <v>5.2495261277414773E-2</v>
      </c>
      <c r="E4" s="632">
        <f t="shared" ref="E4:E37" si="1">C4/12</f>
        <v>3768.2848386970904</v>
      </c>
      <c r="F4" s="1"/>
      <c r="G4" s="627">
        <v>2</v>
      </c>
      <c r="H4" s="631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-48182.239575641463</v>
      </c>
      <c r="I4" s="629">
        <f t="shared" ref="I4:I37" si="2">H4/$H$39</f>
        <v>-6.5876728979548077E-2</v>
      </c>
      <c r="J4" s="628">
        <f t="shared" ref="J4:J37" si="3">H4/12</f>
        <v>-4015.1866313034552</v>
      </c>
    </row>
    <row r="5" spans="1:10" ht="15.6" x14ac:dyDescent="0.3">
      <c r="B5" s="633">
        <v>3</v>
      </c>
      <c r="C5" s="634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47342.024534619282</v>
      </c>
      <c r="D5" s="629">
        <f t="shared" si="0"/>
        <v>5.4959396952193269E-2</v>
      </c>
      <c r="E5" s="635">
        <f t="shared" si="1"/>
        <v>3945.1687112182735</v>
      </c>
      <c r="F5" s="1"/>
      <c r="G5" s="636">
        <v>3</v>
      </c>
      <c r="H5" s="631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-48594.875198321482</v>
      </c>
      <c r="I5" s="629">
        <f t="shared" si="2"/>
        <v>-6.644090128291151E-2</v>
      </c>
      <c r="J5" s="637">
        <f t="shared" si="3"/>
        <v>-4049.5729331934567</v>
      </c>
    </row>
    <row r="6" spans="1:10" ht="15.6" x14ac:dyDescent="0.3">
      <c r="B6" s="630">
        <v>4</v>
      </c>
      <c r="C6" s="631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49466.82109717829</v>
      </c>
      <c r="D6" s="629">
        <f t="shared" si="0"/>
        <v>5.7426075107009859E-2</v>
      </c>
      <c r="E6" s="632">
        <f t="shared" si="1"/>
        <v>4122.2350914315239</v>
      </c>
      <c r="F6" s="1"/>
      <c r="G6" s="627">
        <v>4</v>
      </c>
      <c r="H6" s="631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-49020.790292205078</v>
      </c>
      <c r="I6" s="629">
        <f t="shared" si="2"/>
        <v>-6.7023229822539068E-2</v>
      </c>
      <c r="J6" s="628">
        <f t="shared" si="3"/>
        <v>-4085.0658576837563</v>
      </c>
    </row>
    <row r="7" spans="1:10" ht="15.6" x14ac:dyDescent="0.3">
      <c r="B7" s="630">
        <v>5</v>
      </c>
      <c r="C7" s="631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51592.301465459808</v>
      </c>
      <c r="D7" s="629">
        <f t="shared" si="0"/>
        <v>5.9893547092477142E-2</v>
      </c>
      <c r="E7" s="632">
        <f t="shared" si="1"/>
        <v>4299.3584554549843</v>
      </c>
      <c r="F7" s="1"/>
      <c r="G7" s="627">
        <v>5</v>
      </c>
      <c r="H7" s="631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-49460.275580510119</v>
      </c>
      <c r="I7" s="629">
        <f t="shared" si="2"/>
        <v>-6.7624112087107086E-2</v>
      </c>
      <c r="J7" s="628">
        <f t="shared" si="3"/>
        <v>-4121.6896317091769</v>
      </c>
    </row>
    <row r="8" spans="1:10" ht="15.6" x14ac:dyDescent="0.3">
      <c r="B8" s="630">
        <v>6</v>
      </c>
      <c r="C8" s="631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53716.869548745453</v>
      </c>
      <c r="D8" s="629">
        <f t="shared" si="0"/>
        <v>6.2359960005509002E-2</v>
      </c>
      <c r="E8" s="632">
        <f t="shared" si="1"/>
        <v>4476.4057957287878</v>
      </c>
      <c r="F8" s="1"/>
      <c r="G8" s="627">
        <v>6</v>
      </c>
      <c r="H8" s="631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-49913.627726587736</v>
      </c>
      <c r="I8" s="629">
        <f t="shared" si="2"/>
        <v>-6.8243953686885059E-2</v>
      </c>
      <c r="J8" s="628">
        <f t="shared" si="3"/>
        <v>-4159.4689772156444</v>
      </c>
    </row>
    <row r="9" spans="1:10" ht="15.6" x14ac:dyDescent="0.3">
      <c r="B9" s="630">
        <v>7</v>
      </c>
      <c r="C9" s="631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55838.835358479395</v>
      </c>
      <c r="D9" s="629">
        <f t="shared" si="0"/>
        <v>6.4823351936939166E-2</v>
      </c>
      <c r="E9" s="632">
        <f t="shared" si="1"/>
        <v>4653.2362798732829</v>
      </c>
      <c r="F9" s="1"/>
      <c r="G9" s="627">
        <v>7</v>
      </c>
      <c r="H9" s="631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-50381.149453353384</v>
      </c>
      <c r="I9" s="629">
        <f t="shared" si="2"/>
        <v>-6.8883168517026777E-2</v>
      </c>
      <c r="J9" s="628">
        <f t="shared" si="3"/>
        <v>-4198.429121112782</v>
      </c>
    </row>
    <row r="10" spans="1:10" ht="15.6" x14ac:dyDescent="0.3">
      <c r="B10" s="633">
        <v>8</v>
      </c>
      <c r="C10" s="631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57956.410744234658</v>
      </c>
      <c r="D10" s="629">
        <f t="shared" si="0"/>
        <v>6.7281647021400812E-2</v>
      </c>
      <c r="E10" s="635">
        <f t="shared" si="1"/>
        <v>4829.7008953528884</v>
      </c>
      <c r="F10" s="1"/>
      <c r="G10" s="636">
        <v>8</v>
      </c>
      <c r="H10" s="631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-50863.149665109675</v>
      </c>
      <c r="I10" s="629">
        <f t="shared" si="2"/>
        <v>-6.9542178924131351E-2</v>
      </c>
      <c r="J10" s="637">
        <f t="shared" si="3"/>
        <v>-4238.5958054258062</v>
      </c>
    </row>
    <row r="11" spans="1:10" ht="15.6" x14ac:dyDescent="0.3">
      <c r="B11" s="630">
        <v>9</v>
      </c>
      <c r="C11" s="631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60067.704952535132</v>
      </c>
      <c r="D11" s="629">
        <f t="shared" si="0"/>
        <v>6.9732650281559241E-2</v>
      </c>
      <c r="E11" s="632">
        <f t="shared" si="1"/>
        <v>5005.642079377928</v>
      </c>
      <c r="F11" s="1"/>
      <c r="G11" s="627">
        <v>9</v>
      </c>
      <c r="H11" s="631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-51359.943571808719</v>
      </c>
      <c r="I11" s="629">
        <f t="shared" si="2"/>
        <v>-7.0221415876139892E-2</v>
      </c>
      <c r="J11" s="628">
        <f t="shared" si="3"/>
        <v>-4279.9952976507266</v>
      </c>
    </row>
    <row r="12" spans="1:10" ht="15.6" x14ac:dyDescent="0.3">
      <c r="B12" s="630">
        <v>10</v>
      </c>
      <c r="C12" s="631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62170.720001452573</v>
      </c>
      <c r="D12" s="629">
        <f t="shared" si="0"/>
        <v>7.2174042258477566E-2</v>
      </c>
      <c r="E12" s="632">
        <f t="shared" si="1"/>
        <v>5180.8933334543808</v>
      </c>
      <c r="F12" s="1"/>
      <c r="G12" s="627">
        <v>10</v>
      </c>
      <c r="H12" s="631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-51871.852815802871</v>
      </c>
      <c r="I12" s="629">
        <f t="shared" si="2"/>
        <v>-7.0921319135634223E-2</v>
      </c>
      <c r="J12" s="628">
        <f t="shared" si="3"/>
        <v>-4322.6544013169059</v>
      </c>
    </row>
    <row r="13" spans="1:10" ht="15.6" x14ac:dyDescent="0.3">
      <c r="B13" s="630">
        <v>11</v>
      </c>
      <c r="C13" s="631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64263.345863622701</v>
      </c>
      <c r="D13" s="629">
        <f t="shared" si="0"/>
        <v>7.460337341957593E-2</v>
      </c>
      <c r="E13" s="632">
        <f t="shared" si="1"/>
        <v>5355.2788219685581</v>
      </c>
      <c r="F13" s="1"/>
      <c r="G13" s="627">
        <v>11</v>
      </c>
      <c r="H13" s="631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-52399.205601133879</v>
      </c>
      <c r="I13" s="629">
        <f t="shared" si="2"/>
        <v>-7.1642337436606349E-2</v>
      </c>
      <c r="J13" s="628">
        <f t="shared" si="3"/>
        <v>-4366.6004667611569</v>
      </c>
    </row>
    <row r="14" spans="1:10" ht="15.6" x14ac:dyDescent="0.3">
      <c r="B14" s="630">
        <v>12</v>
      </c>
      <c r="C14" s="631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66343.355450033079</v>
      </c>
      <c r="D14" s="629">
        <f t="shared" si="0"/>
        <v>7.7018058335306575E-2</v>
      </c>
      <c r="E14" s="632">
        <f t="shared" si="1"/>
        <v>5528.6129541694236</v>
      </c>
      <c r="F14" s="1"/>
      <c r="G14" s="627">
        <v>12</v>
      </c>
      <c r="H14" s="631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-52942.336825410726</v>
      </c>
      <c r="I14" s="629">
        <f t="shared" si="2"/>
        <v>-7.2384928664767201E-2</v>
      </c>
      <c r="J14" s="628">
        <f t="shared" si="3"/>
        <v>-4411.8614021175608</v>
      </c>
    </row>
    <row r="15" spans="1:10" ht="15.6" x14ac:dyDescent="0.3">
      <c r="B15" s="630">
        <v>13</v>
      </c>
      <c r="C15" s="631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68408.399386638048</v>
      </c>
      <c r="D15" s="629">
        <f t="shared" si="0"/>
        <v>7.9415369615321627E-2</v>
      </c>
      <c r="E15" s="632">
        <f t="shared" si="1"/>
        <v>5700.699948886504</v>
      </c>
      <c r="F15" s="1"/>
      <c r="G15" s="627">
        <v>13</v>
      </c>
      <c r="H15" s="631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-53501.588214328593</v>
      </c>
      <c r="I15" s="629">
        <f t="shared" si="2"/>
        <v>-7.3149560041466499E-2</v>
      </c>
      <c r="J15" s="628">
        <f t="shared" si="3"/>
        <v>-4458.465684527383</v>
      </c>
    </row>
    <row r="16" spans="1:10" ht="15.6" x14ac:dyDescent="0.3">
      <c r="B16" s="630">
        <v>14</v>
      </c>
      <c r="C16" s="631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70456.000575542319</v>
      </c>
      <c r="D16" s="629">
        <f t="shared" si="0"/>
        <v>8.1792431594546453E-2</v>
      </c>
      <c r="E16" s="632">
        <f t="shared" si="1"/>
        <v>5871.3333812951932</v>
      </c>
      <c r="F16" s="1"/>
      <c r="G16" s="627">
        <v>14</v>
      </c>
      <c r="H16" s="631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-54077.30845888098</v>
      </c>
      <c r="I16" s="629">
        <f t="shared" si="2"/>
        <v>-7.3936708311294744E-2</v>
      </c>
      <c r="J16" s="628">
        <f t="shared" si="3"/>
        <v>-4506.4423715734147</v>
      </c>
    </row>
    <row r="17" spans="2:10" ht="15.6" x14ac:dyDescent="0.3">
      <c r="B17" s="630">
        <v>15</v>
      </c>
      <c r="C17" s="631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72483.548532174304</v>
      </c>
      <c r="D17" s="629">
        <f t="shared" si="0"/>
        <v>8.4146213759199326E-2</v>
      </c>
      <c r="E17" s="632">
        <f t="shared" si="1"/>
        <v>6040.2957110145253</v>
      </c>
      <c r="F17" s="1"/>
      <c r="G17" s="627">
        <v>15</v>
      </c>
      <c r="H17" s="631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-54669.853355319938</v>
      </c>
      <c r="I17" s="629">
        <f t="shared" si="2"/>
        <v>-7.4746859933442628E-2</v>
      </c>
      <c r="J17" s="628">
        <f t="shared" si="3"/>
        <v>-4555.8211129433284</v>
      </c>
    </row>
    <row r="18" spans="2:10" ht="15.6" x14ac:dyDescent="0.3">
      <c r="B18" s="630">
        <v>16</v>
      </c>
      <c r="C18" s="631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74488.293489530406</v>
      </c>
      <c r="D18" s="629">
        <f t="shared" si="0"/>
        <v>8.6473523902403537E-2</v>
      </c>
      <c r="E18" s="632">
        <f t="shared" si="1"/>
        <v>6207.3577907942008</v>
      </c>
      <c r="F18" s="1"/>
      <c r="G18" s="627">
        <v>16</v>
      </c>
      <c r="H18" s="631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-55279.585947918116</v>
      </c>
      <c r="I18" s="629">
        <f t="shared" si="2"/>
        <v>-7.5580511276891055E-2</v>
      </c>
      <c r="J18" s="628">
        <f t="shared" si="3"/>
        <v>-4606.6321623265094</v>
      </c>
    </row>
    <row r="19" spans="2:10" ht="15.6" x14ac:dyDescent="0.3">
      <c r="B19" s="630">
        <v>17</v>
      </c>
      <c r="C19" s="631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76467.340260226716</v>
      </c>
      <c r="D19" s="629">
        <f t="shared" si="0"/>
        <v>8.8771000998637939E-2</v>
      </c>
      <c r="E19" s="632">
        <f t="shared" si="1"/>
        <v>6372.2783550188933</v>
      </c>
      <c r="F19" s="1"/>
      <c r="G19" s="627">
        <v>17</v>
      </c>
      <c r="H19" s="631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-55906.876674589905</v>
      </c>
      <c r="I19" s="629">
        <f t="shared" si="2"/>
        <v>-7.6438168819510391E-2</v>
      </c>
      <c r="J19" s="628">
        <f t="shared" si="3"/>
        <v>-4658.906389549159</v>
      </c>
    </row>
    <row r="20" spans="2:10" ht="15.6" x14ac:dyDescent="0.3">
      <c r="B20" s="630">
        <v>18</v>
      </c>
      <c r="C20" s="631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78417.641846726256</v>
      </c>
      <c r="D20" s="629">
        <f t="shared" si="0"/>
        <v>9.1035107785844269E-2</v>
      </c>
      <c r="E20" s="632">
        <f t="shared" si="1"/>
        <v>6534.8034872271883</v>
      </c>
      <c r="G20" s="627">
        <v>18</v>
      </c>
      <c r="H20" s="631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-56552.103515427851</v>
      </c>
      <c r="I20" s="629">
        <f t="shared" si="2"/>
        <v>-7.732034935114554E-2</v>
      </c>
      <c r="J20" s="628">
        <f t="shared" si="3"/>
        <v>-4712.6752929523209</v>
      </c>
    </row>
    <row r="21" spans="2:10" s="642" customFormat="1" ht="15.6" x14ac:dyDescent="0.3">
      <c r="B21" s="638">
        <v>19</v>
      </c>
      <c r="C21" s="639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80335.992789740078</v>
      </c>
      <c r="D21" s="640">
        <f t="shared" si="0"/>
        <v>9.3262123043580308E-2</v>
      </c>
      <c r="E21" s="641">
        <f t="shared" si="1"/>
        <v>6694.6660658116734</v>
      </c>
      <c r="G21" s="627">
        <v>19</v>
      </c>
      <c r="H21" s="631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-57215.652144213454</v>
      </c>
      <c r="I21" s="629">
        <f t="shared" si="2"/>
        <v>-7.8227580180767642E-2</v>
      </c>
      <c r="J21" s="628">
        <f t="shared" si="3"/>
        <v>-4767.9710120177879</v>
      </c>
    </row>
    <row r="22" spans="2:10" ht="15.6" x14ac:dyDescent="0.3">
      <c r="B22" s="630">
        <v>20</v>
      </c>
      <c r="C22" s="631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82219.022244402746</v>
      </c>
      <c r="D22" s="629">
        <f t="shared" si="0"/>
        <v>9.5448133555145975E-2</v>
      </c>
      <c r="E22" s="632">
        <f t="shared" si="1"/>
        <v>6851.5851870335619</v>
      </c>
      <c r="G22" s="627">
        <v>20</v>
      </c>
      <c r="H22" s="631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-57897.916082961317</v>
      </c>
      <c r="I22" s="629">
        <f t="shared" si="2"/>
        <v>-7.9160399347773205E-2</v>
      </c>
      <c r="J22" s="628">
        <f t="shared" si="3"/>
        <v>-4824.8263402467765</v>
      </c>
    </row>
    <row r="23" spans="2:10" ht="15.6" x14ac:dyDescent="0.3">
      <c r="B23" s="630">
        <v>21</v>
      </c>
      <c r="C23" s="631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84063.186773419584</v>
      </c>
      <c r="D23" s="629">
        <f t="shared" si="0"/>
        <v>9.7589025741141838E-2</v>
      </c>
      <c r="E23" s="632">
        <f t="shared" si="1"/>
        <v>7005.2655644516317</v>
      </c>
      <c r="G23" s="627">
        <v>21</v>
      </c>
      <c r="H23" s="631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-58599.296859557617</v>
      </c>
      <c r="I23" s="629">
        <f t="shared" si="2"/>
        <v>-8.0119355837513825E-2</v>
      </c>
      <c r="J23" s="628">
        <f t="shared" si="3"/>
        <v>-4883.2747382964681</v>
      </c>
    </row>
    <row r="24" spans="2:10" ht="15.6" x14ac:dyDescent="0.3">
      <c r="B24" s="630">
        <v>22</v>
      </c>
      <c r="C24" s="631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85864.76284596014</v>
      </c>
      <c r="D24" s="629">
        <f t="shared" si="0"/>
        <v>9.9680476951428065E-2</v>
      </c>
      <c r="E24" s="632">
        <f t="shared" si="1"/>
        <v>7155.396903830012</v>
      </c>
      <c r="G24" s="627">
        <v>22</v>
      </c>
      <c r="H24" s="631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-59320.204168554694</v>
      </c>
      <c r="I24" s="629">
        <f t="shared" si="2"/>
        <v>-8.1105009801141228E-2</v>
      </c>
      <c r="J24" s="628">
        <f t="shared" si="3"/>
        <v>-4943.3503473795581</v>
      </c>
    </row>
    <row r="25" spans="2:10" ht="15.6" x14ac:dyDescent="0.3">
      <c r="B25" s="630">
        <v>23</v>
      </c>
      <c r="C25" s="631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87619.839030633259</v>
      </c>
      <c r="D25" s="629">
        <f t="shared" si="0"/>
        <v>0.10171794640194248</v>
      </c>
      <c r="E25" s="632">
        <f t="shared" si="1"/>
        <v>7301.6532525527718</v>
      </c>
      <c r="G25" s="627">
        <v>23</v>
      </c>
      <c r="H25" s="631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-60061.056035184905</v>
      </c>
      <c r="I25" s="629">
        <f t="shared" si="2"/>
        <v>-8.2117932779853575E-2</v>
      </c>
      <c r="J25" s="628">
        <f t="shared" si="3"/>
        <v>-5005.0880029320751</v>
      </c>
    </row>
    <row r="26" spans="2:10" ht="15.6" x14ac:dyDescent="0.3">
      <c r="B26" s="630">
        <v>24</v>
      </c>
      <c r="C26" s="631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89324.307870422854</v>
      </c>
      <c r="D26" s="629">
        <f t="shared" si="0"/>
        <v>0.10369666574230654</v>
      </c>
      <c r="E26" s="632">
        <f t="shared" si="1"/>
        <v>7443.6923225352375</v>
      </c>
      <c r="G26" s="627">
        <v>24</v>
      </c>
      <c r="H26" s="631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-60822.278982658179</v>
      </c>
      <c r="I26" s="629">
        <f t="shared" si="2"/>
        <v>-8.3158707933631643E-2</v>
      </c>
      <c r="J26" s="628">
        <f t="shared" si="3"/>
        <v>-5068.5232485548486</v>
      </c>
    </row>
    <row r="27" spans="2:10" ht="15.6" x14ac:dyDescent="0.3">
      <c r="B27" s="630">
        <v>25</v>
      </c>
      <c r="C27" s="631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90973.857426990988</v>
      </c>
      <c r="D27" s="629">
        <f t="shared" si="0"/>
        <v>0.10561162923959948</v>
      </c>
      <c r="E27" s="632">
        <f t="shared" si="1"/>
        <v>7581.154785582582</v>
      </c>
      <c r="G27" s="627">
        <v>25</v>
      </c>
      <c r="H27" s="631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-61604.308202808927</v>
      </c>
      <c r="I27" s="629">
        <f t="shared" si="2"/>
        <v>-8.4227930274554177E-2</v>
      </c>
      <c r="J27" s="628">
        <f t="shared" si="3"/>
        <v>-5133.6923502340769</v>
      </c>
    </row>
    <row r="28" spans="2:10" ht="15.6" x14ac:dyDescent="0.3">
      <c r="B28" s="630">
        <v>26</v>
      </c>
      <c r="C28" s="631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92563.962481262686</v>
      </c>
      <c r="D28" s="629">
        <f t="shared" si="0"/>
        <v>0.10745758356310969</v>
      </c>
      <c r="E28" s="632">
        <f t="shared" si="1"/>
        <v>7713.6635401052235</v>
      </c>
      <c r="G28" s="627">
        <v>26</v>
      </c>
      <c r="H28" s="631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-62407.587730159343</v>
      </c>
      <c r="I28" s="629">
        <f t="shared" si="2"/>
        <v>-8.5326206904784443E-2</v>
      </c>
      <c r="J28" s="628">
        <f t="shared" si="3"/>
        <v>-5200.6323108466122</v>
      </c>
    </row>
    <row r="29" spans="2:10" ht="15.6" x14ac:dyDescent="0.3">
      <c r="B29" s="630">
        <v>27</v>
      </c>
      <c r="C29" s="631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94089.875376694952</v>
      </c>
      <c r="D29" s="629">
        <f t="shared" si="0"/>
        <v>0.10922901715427787</v>
      </c>
      <c r="E29" s="632">
        <f t="shared" si="1"/>
        <v>7840.822948057913</v>
      </c>
      <c r="G29" s="627">
        <v>27</v>
      </c>
      <c r="H29" s="631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-63232.570619467413</v>
      </c>
      <c r="I29" s="629">
        <f t="shared" si="2"/>
        <v>-8.6454157259321041E-2</v>
      </c>
      <c r="J29" s="628">
        <f t="shared" si="3"/>
        <v>-5269.3808849556181</v>
      </c>
    </row>
    <row r="30" spans="2:10" ht="15.6" x14ac:dyDescent="0.3">
      <c r="B30" s="630">
        <v>28</v>
      </c>
      <c r="C30" s="631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95546.616491103865</v>
      </c>
      <c r="D30" s="629">
        <f t="shared" si="0"/>
        <v>0.11092014916543286</v>
      </c>
      <c r="E30" s="632">
        <f t="shared" si="1"/>
        <v>7962.2180409253224</v>
      </c>
      <c r="G30" s="627">
        <v>28</v>
      </c>
      <c r="H30" s="631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-64079.719126829317</v>
      </c>
      <c r="I30" s="629">
        <f t="shared" si="2"/>
        <v>-8.7612413353608587E-2</v>
      </c>
      <c r="J30" s="628">
        <f t="shared" si="3"/>
        <v>-5339.9765939024428</v>
      </c>
    </row>
    <row r="31" spans="2:10" ht="15.6" x14ac:dyDescent="0.3">
      <c r="B31" s="630">
        <v>29</v>
      </c>
      <c r="C31" s="631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96928.964322370244</v>
      </c>
      <c r="D31" s="629">
        <f t="shared" si="0"/>
        <v>0.1125249179502789</v>
      </c>
      <c r="E31" s="632">
        <f t="shared" si="1"/>
        <v>8077.4136935308534</v>
      </c>
      <c r="G31" s="627">
        <v>29</v>
      </c>
      <c r="H31" s="631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-64949.504894407517</v>
      </c>
      <c r="I31" s="629">
        <f t="shared" si="2"/>
        <v>-8.8801620036105436E-2</v>
      </c>
      <c r="J31" s="628">
        <f t="shared" si="3"/>
        <v>-5412.4587412006267</v>
      </c>
    </row>
    <row r="32" spans="2:10" ht="15.6" x14ac:dyDescent="0.3">
      <c r="B32" s="630">
        <v>30</v>
      </c>
      <c r="C32" s="631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98231.445172771899</v>
      </c>
      <c r="D32" s="629">
        <f t="shared" si="0"/>
        <v>0.11403696908842802</v>
      </c>
      <c r="E32" s="632">
        <f t="shared" si="1"/>
        <v>8185.9537643976582</v>
      </c>
      <c r="G32" s="627">
        <v>30</v>
      </c>
      <c r="H32" s="631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-65842.40913885663</v>
      </c>
      <c r="I32" s="629">
        <f t="shared" si="2"/>
        <v>-9.0022435245907348E-2</v>
      </c>
      <c r="J32" s="628">
        <f t="shared" si="3"/>
        <v>-5486.8674282380525</v>
      </c>
    </row>
    <row r="33" spans="2:10" ht="15.6" x14ac:dyDescent="0.3">
      <c r="B33" s="630">
        <v>31</v>
      </c>
      <c r="C33" s="631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212647.58773495979</v>
      </c>
      <c r="D33" s="629">
        <f t="shared" si="0"/>
        <v>0.24686276727996259</v>
      </c>
      <c r="E33" s="632">
        <f t="shared" si="1"/>
        <v>17720.632311246649</v>
      </c>
      <c r="G33" s="627">
        <v>31</v>
      </c>
      <c r="H33" s="631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11059.123098119773</v>
      </c>
      <c r="I33" s="629">
        <f t="shared" si="2"/>
        <v>1.5120485504675653E-2</v>
      </c>
      <c r="J33" s="628">
        <f t="shared" si="3"/>
        <v>921.59359150998114</v>
      </c>
    </row>
    <row r="34" spans="2:10" ht="15.6" x14ac:dyDescent="0.3">
      <c r="B34" s="630">
        <v>32</v>
      </c>
      <c r="C34" s="631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213772.85064994218</v>
      </c>
      <c r="D34" s="629">
        <f t="shared" si="0"/>
        <v>0.24816908596464149</v>
      </c>
      <c r="E34" s="632">
        <f t="shared" si="1"/>
        <v>17814.404220828514</v>
      </c>
      <c r="G34" s="627">
        <v>32</v>
      </c>
      <c r="H34" s="631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10118.4989871578</v>
      </c>
      <c r="I34" s="629">
        <f t="shared" si="2"/>
        <v>1.3834425741260323E-2</v>
      </c>
      <c r="J34" s="628">
        <f t="shared" si="3"/>
        <v>843.2082489298167</v>
      </c>
    </row>
    <row r="35" spans="2:10" ht="15.6" x14ac:dyDescent="0.3">
      <c r="B35" s="630">
        <v>33</v>
      </c>
      <c r="C35" s="631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214800.20280289528</v>
      </c>
      <c r="D35" s="629">
        <f t="shared" si="0"/>
        <v>0.24936173996156871</v>
      </c>
      <c r="E35" s="632">
        <f t="shared" si="1"/>
        <v>17900.016900241273</v>
      </c>
      <c r="G35" s="627">
        <v>33</v>
      </c>
      <c r="H35" s="631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9153.2533611119579</v>
      </c>
      <c r="I35" s="629">
        <f t="shared" si="2"/>
        <v>1.251470243520913E-2</v>
      </c>
      <c r="J35" s="628">
        <f t="shared" si="3"/>
        <v>762.77111342599653</v>
      </c>
    </row>
    <row r="36" spans="2:10" ht="15.6" x14ac:dyDescent="0.3">
      <c r="B36" s="630">
        <v>34</v>
      </c>
      <c r="C36" s="631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215723.04996179565</v>
      </c>
      <c r="D36" s="629">
        <f t="shared" si="0"/>
        <v>0.25043307402112336</v>
      </c>
      <c r="E36" s="632">
        <f t="shared" si="1"/>
        <v>17976.920830149636</v>
      </c>
      <c r="G36" s="627">
        <v>34</v>
      </c>
      <c r="H36" s="631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8162.8647445162496</v>
      </c>
      <c r="I36" s="629">
        <f t="shared" si="2"/>
        <v>1.1160602603932526E-2</v>
      </c>
      <c r="J36" s="628">
        <f t="shared" si="3"/>
        <v>680.23872870968751</v>
      </c>
    </row>
    <row r="37" spans="2:10" ht="16.2" thickBot="1" x14ac:dyDescent="0.35">
      <c r="B37" s="643">
        <v>35</v>
      </c>
      <c r="C37" s="644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216534.48752333337</v>
      </c>
      <c r="D37" s="645">
        <f>C37/$C$39</f>
        <v>0.25137507258339142</v>
      </c>
      <c r="E37" s="632">
        <f t="shared" si="1"/>
        <v>18044.540626944447</v>
      </c>
      <c r="G37" s="627">
        <v>35</v>
      </c>
      <c r="H37" s="631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7146.8010871695733</v>
      </c>
      <c r="I37" s="629">
        <f t="shared" si="2"/>
        <v>9.7713988066305355E-3</v>
      </c>
      <c r="J37" s="628">
        <f t="shared" si="3"/>
        <v>595.56675726413107</v>
      </c>
    </row>
    <row r="38" spans="2:10" ht="15.6" x14ac:dyDescent="0.3">
      <c r="B38" s="646" t="s">
        <v>152</v>
      </c>
      <c r="C38" s="647">
        <f>SUM(C3:C37)</f>
        <v>3249039.4647690482</v>
      </c>
      <c r="G38" s="648" t="s">
        <v>152</v>
      </c>
      <c r="H38" s="649">
        <f>SUM(H3:H37)</f>
        <v>-1623151.3237039289</v>
      </c>
    </row>
    <row r="39" spans="2:10" ht="15.6" x14ac:dyDescent="0.3">
      <c r="B39" s="650" t="s">
        <v>21</v>
      </c>
      <c r="C39" s="651">
        <f>'ROI details'!C11</f>
        <v>861400</v>
      </c>
      <c r="G39" s="652" t="s">
        <v>21</v>
      </c>
      <c r="H39" s="653">
        <f>'ROI Detail ARV'!C11</f>
        <v>731400</v>
      </c>
    </row>
    <row r="40" spans="2:10" ht="15.6" x14ac:dyDescent="0.3">
      <c r="B40" s="650" t="s">
        <v>153</v>
      </c>
      <c r="C40" s="654">
        <f>C38/C39/35</f>
        <v>0.10776607730833686</v>
      </c>
      <c r="G40" s="652" t="s">
        <v>153</v>
      </c>
      <c r="H40" s="655">
        <f>H38/H39/35</f>
        <v>-6.3406825411302353E-2</v>
      </c>
    </row>
    <row r="41" spans="2:10" s="658" customFormat="1" ht="31.8" thickBot="1" x14ac:dyDescent="0.35">
      <c r="B41" s="656" t="s">
        <v>154</v>
      </c>
      <c r="C41" s="657">
        <f>RATE(34,,-C3,C37)</f>
        <v>4.8622052925992205E-2</v>
      </c>
      <c r="E41" s="659"/>
      <c r="G41" s="660" t="s">
        <v>154</v>
      </c>
      <c r="H41" s="661" t="e">
        <f>RATE(34,,-H3,H37)</f>
        <v>#NUM!</v>
      </c>
    </row>
  </sheetData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9"/>
  </sheetPr>
  <dimension ref="A1:A70"/>
  <sheetViews>
    <sheetView workbookViewId="0"/>
  </sheetViews>
  <sheetFormatPr defaultColWidth="8.77734375" defaultRowHeight="13.8" x14ac:dyDescent="0.25"/>
  <cols>
    <col min="1" max="1" width="5.6640625" style="550" customWidth="1"/>
    <col min="2" max="13" width="8.77734375" style="550"/>
    <col min="14" max="14" width="25.44140625" style="550" customWidth="1"/>
    <col min="15" max="16384" width="8.77734375" style="550"/>
  </cols>
  <sheetData>
    <row r="1" spans="1:1" ht="14.4" x14ac:dyDescent="0.3">
      <c r="A1" s="775" t="s">
        <v>392</v>
      </c>
    </row>
    <row r="70" spans="1:1" x14ac:dyDescent="0.25">
      <c r="A70" s="551"/>
    </row>
  </sheetData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9"/>
  </sheetPr>
  <dimension ref="A1:C44"/>
  <sheetViews>
    <sheetView topLeftCell="A21" workbookViewId="0">
      <selection activeCell="F38" sqref="F38"/>
    </sheetView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62" t="s">
        <v>392</v>
      </c>
    </row>
    <row r="2" spans="1:3" ht="21" x14ac:dyDescent="0.4">
      <c r="A2" s="662" t="s">
        <v>444</v>
      </c>
      <c r="B2" s="854" t="s">
        <v>253</v>
      </c>
      <c r="C2" s="854"/>
    </row>
    <row r="3" spans="1:3" x14ac:dyDescent="0.3">
      <c r="B3" s="289" t="s">
        <v>240</v>
      </c>
      <c r="C3" s="297">
        <f>SUM(C4:C6)</f>
        <v>210732</v>
      </c>
    </row>
    <row r="4" spans="1:3" x14ac:dyDescent="0.3">
      <c r="B4" s="294" t="s">
        <v>254</v>
      </c>
      <c r="C4" s="291">
        <f>('Calculating offering price'!C51+'Calculating offering price'!D49+'Calculating offering price'!E49)*12</f>
        <v>210732</v>
      </c>
    </row>
    <row r="5" spans="1:3" x14ac:dyDescent="0.3">
      <c r="B5" s="294" t="s">
        <v>255</v>
      </c>
      <c r="C5" s="292">
        <f>SUM('Calculating offering price'!C53:C56)*12</f>
        <v>0</v>
      </c>
    </row>
    <row r="6" spans="1:3" x14ac:dyDescent="0.3">
      <c r="B6" s="295" t="s">
        <v>256</v>
      </c>
      <c r="C6" s="293">
        <f>-'ROI Number insert'!F26</f>
        <v>0</v>
      </c>
    </row>
    <row r="7" spans="1:3" x14ac:dyDescent="0.3">
      <c r="B7" s="289" t="s">
        <v>241</v>
      </c>
      <c r="C7" s="297">
        <f>SUM(C8:C18)</f>
        <v>54432.312582352948</v>
      </c>
    </row>
    <row r="8" spans="1:3" x14ac:dyDescent="0.3">
      <c r="B8" s="294" t="s">
        <v>257</v>
      </c>
      <c r="C8" s="291">
        <f>'ROI Number insert'!F41</f>
        <v>10536.6</v>
      </c>
    </row>
    <row r="9" spans="1:3" x14ac:dyDescent="0.3">
      <c r="B9" s="294" t="s">
        <v>258</v>
      </c>
      <c r="C9" s="291">
        <f>'ROI Number insert'!F38</f>
        <v>1740</v>
      </c>
    </row>
    <row r="10" spans="1:3" x14ac:dyDescent="0.3">
      <c r="B10" s="294" t="s">
        <v>259</v>
      </c>
      <c r="C10" s="291">
        <f>'ROI Number insert'!F35</f>
        <v>6142.9458823529403</v>
      </c>
    </row>
    <row r="11" spans="1:3" x14ac:dyDescent="0.3">
      <c r="B11" s="294" t="s">
        <v>260</v>
      </c>
      <c r="C11" s="291">
        <f>'ROI Number insert'!F39</f>
        <v>0</v>
      </c>
    </row>
    <row r="12" spans="1:3" x14ac:dyDescent="0.3">
      <c r="B12" s="294" t="s">
        <v>261</v>
      </c>
      <c r="C12" s="291">
        <f>'ROI Number insert'!F40</f>
        <v>0</v>
      </c>
    </row>
    <row r="13" spans="1:3" x14ac:dyDescent="0.3">
      <c r="B13" s="294" t="s">
        <v>262</v>
      </c>
      <c r="C13" s="291">
        <f>'ROI Number insert'!F34</f>
        <v>16858.560000000001</v>
      </c>
    </row>
    <row r="14" spans="1:3" x14ac:dyDescent="0.3">
      <c r="B14" s="294" t="s">
        <v>39</v>
      </c>
      <c r="C14" s="291">
        <f>'ROI Number insert'!F37</f>
        <v>4620</v>
      </c>
    </row>
    <row r="15" spans="1:3" x14ac:dyDescent="0.3">
      <c r="B15" s="294" t="s">
        <v>190</v>
      </c>
      <c r="C15" s="291">
        <f>'ROI Number insert'!F42</f>
        <v>0</v>
      </c>
    </row>
    <row r="16" spans="1:3" x14ac:dyDescent="0.3">
      <c r="B16" s="294" t="s">
        <v>263</v>
      </c>
      <c r="C16" s="291">
        <f>'ROI Number insert'!F43</f>
        <v>0</v>
      </c>
    </row>
    <row r="17" spans="2:3" x14ac:dyDescent="0.3">
      <c r="B17" s="294" t="s">
        <v>267</v>
      </c>
      <c r="C17" s="291">
        <f>'ROI Number insert'!I16</f>
        <v>0</v>
      </c>
    </row>
    <row r="18" spans="2:3" x14ac:dyDescent="0.3">
      <c r="B18" s="295" t="s">
        <v>264</v>
      </c>
      <c r="C18" s="296">
        <f>'ROI Number insert'!F32</f>
        <v>14534.206700000001</v>
      </c>
    </row>
    <row r="19" spans="2:3" x14ac:dyDescent="0.3">
      <c r="B19" s="298" t="s">
        <v>218</v>
      </c>
      <c r="C19" s="299">
        <f>C3-C7</f>
        <v>156299.68741764704</v>
      </c>
    </row>
    <row r="20" spans="2:3" x14ac:dyDescent="0.3">
      <c r="B20" s="1" t="s">
        <v>265</v>
      </c>
      <c r="C20" s="291">
        <f>'ROI Number insert'!I13</f>
        <v>113199.26531886141</v>
      </c>
    </row>
    <row r="21" spans="2:3" ht="15" thickBot="1" x14ac:dyDescent="0.35">
      <c r="B21" s="402" t="s">
        <v>266</v>
      </c>
      <c r="C21" s="403">
        <f>'ROI Number insert'!I17</f>
        <v>0</v>
      </c>
    </row>
    <row r="22" spans="2:3" ht="16.8" thickTop="1" thickBot="1" x14ac:dyDescent="0.35">
      <c r="B22" s="404" t="s">
        <v>141</v>
      </c>
      <c r="C22" s="405">
        <f>C19-SUM(C20:C21)</f>
        <v>43100.422098785639</v>
      </c>
    </row>
    <row r="23" spans="2:3" ht="15" thickBot="1" x14ac:dyDescent="0.35">
      <c r="B23" s="407" t="s">
        <v>306</v>
      </c>
      <c r="C23" s="408">
        <f>'Total Result'!C21</f>
        <v>861400</v>
      </c>
    </row>
    <row r="24" spans="2:3" ht="15.6" thickTop="1" thickBot="1" x14ac:dyDescent="0.35">
      <c r="B24" s="409" t="s">
        <v>307</v>
      </c>
      <c r="C24" s="410">
        <f>C22/C23</f>
        <v>5.0035317040614861E-2</v>
      </c>
    </row>
    <row r="25" spans="2:3" x14ac:dyDescent="0.3">
      <c r="B25" s="1" t="s">
        <v>310</v>
      </c>
      <c r="C25" s="126">
        <f>'Total Result'!C17+'Financial Statement'!C32</f>
        <v>794518.71963155665</v>
      </c>
    </row>
    <row r="26" spans="2:3" x14ac:dyDescent="0.3">
      <c r="B26" s="1" t="s">
        <v>312</v>
      </c>
      <c r="C26" s="413">
        <f>C25/'Total Result'!C26</f>
        <v>0.36114487255979849</v>
      </c>
    </row>
    <row r="27" spans="2:3" ht="15" thickBot="1" x14ac:dyDescent="0.35">
      <c r="B27" s="1" t="s">
        <v>314</v>
      </c>
      <c r="C27" s="413">
        <f>C26-'Calculating offering price'!C13</f>
        <v>1.1144872559798513E-2</v>
      </c>
    </row>
    <row r="28" spans="2:3" ht="15.6" thickTop="1" thickBot="1" x14ac:dyDescent="0.35">
      <c r="B28" s="409" t="s">
        <v>311</v>
      </c>
      <c r="C28" s="410">
        <f>C22/C25</f>
        <v>5.4247207817548541E-2</v>
      </c>
    </row>
    <row r="31" spans="2:3" x14ac:dyDescent="0.3">
      <c r="B31" s="855" t="s">
        <v>308</v>
      </c>
      <c r="C31" s="855"/>
    </row>
    <row r="32" spans="2:3" x14ac:dyDescent="0.3">
      <c r="B32" s="1" t="s">
        <v>309</v>
      </c>
      <c r="C32" s="291">
        <f>SUM('Principal Recapture'!E9:E20)</f>
        <v>24518.719631556651</v>
      </c>
    </row>
    <row r="33" spans="2:3" ht="15" thickBot="1" x14ac:dyDescent="0.35">
      <c r="B33" s="402" t="s">
        <v>306</v>
      </c>
      <c r="C33" s="411">
        <f>C23</f>
        <v>861400</v>
      </c>
    </row>
    <row r="34" spans="2:3" ht="15" thickTop="1" x14ac:dyDescent="0.3">
      <c r="B34" s="1" t="s">
        <v>313</v>
      </c>
      <c r="C34" s="412">
        <f>C32/C33</f>
        <v>2.8463802683488103E-2</v>
      </c>
    </row>
    <row r="36" spans="2:3" x14ac:dyDescent="0.3">
      <c r="B36" s="855" t="s">
        <v>315</v>
      </c>
      <c r="C36" s="855"/>
    </row>
    <row r="37" spans="2:3" x14ac:dyDescent="0.3">
      <c r="B37" s="1" t="s">
        <v>316</v>
      </c>
      <c r="C37" s="414">
        <f>'ROI Number insert'!F6</f>
        <v>0.02</v>
      </c>
    </row>
    <row r="38" spans="2:3" x14ac:dyDescent="0.3">
      <c r="B38" s="1" t="s">
        <v>95</v>
      </c>
      <c r="C38" s="291">
        <f>'ROI Number insert'!F3</f>
        <v>2200000</v>
      </c>
    </row>
    <row r="39" spans="2:3" x14ac:dyDescent="0.3">
      <c r="B39" s="1" t="s">
        <v>317</v>
      </c>
      <c r="C39" s="126">
        <f>C38*C37</f>
        <v>44000</v>
      </c>
    </row>
    <row r="40" spans="2:3" ht="15" thickBot="1" x14ac:dyDescent="0.35">
      <c r="B40" s="402" t="s">
        <v>306</v>
      </c>
      <c r="C40" s="411">
        <f>C33</f>
        <v>861400</v>
      </c>
    </row>
    <row r="41" spans="2:3" ht="15" thickTop="1" x14ac:dyDescent="0.3">
      <c r="B41" s="1" t="s">
        <v>318</v>
      </c>
      <c r="C41" s="412">
        <f>C39/C40</f>
        <v>5.1079637798931973E-2</v>
      </c>
    </row>
    <row r="43" spans="2:3" ht="15" thickBot="1" x14ac:dyDescent="0.35">
      <c r="B43" s="406" t="s">
        <v>319</v>
      </c>
      <c r="C43" s="415">
        <f>C41+C34+C24</f>
        <v>0.12957875752303494</v>
      </c>
    </row>
    <row r="44" spans="2:3" ht="15" thickTop="1" x14ac:dyDescent="0.3"/>
  </sheetData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  <hyperlink ref="A2" location="Outputs!A1" display="Output" xr:uid="{92FD4BBE-52DF-4A27-A371-92BB9C64E3E4}"/>
  </hyperlink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9"/>
  </sheetPr>
  <dimension ref="A1:I371"/>
  <sheetViews>
    <sheetView workbookViewId="0">
      <selection activeCell="D17" sqref="D17"/>
    </sheetView>
  </sheetViews>
  <sheetFormatPr defaultColWidth="8.77734375" defaultRowHeight="14.4" x14ac:dyDescent="0.3"/>
  <cols>
    <col min="1" max="1" width="13.77734375" style="554" customWidth="1"/>
    <col min="2" max="2" width="10.6640625" style="554" customWidth="1"/>
    <col min="3" max="3" width="12.21875" style="554" customWidth="1"/>
    <col min="4" max="4" width="16.21875" style="552" customWidth="1"/>
    <col min="5" max="5" width="16.6640625" style="552" customWidth="1"/>
    <col min="6" max="6" width="12.77734375" style="552" customWidth="1"/>
    <col min="7" max="7" width="16.109375" style="554" customWidth="1"/>
    <col min="8" max="8" width="8.77734375" style="554"/>
    <col min="9" max="9" width="26.44140625" style="554" customWidth="1"/>
    <col min="10" max="16384" width="8.77734375" style="554"/>
  </cols>
  <sheetData>
    <row r="1" spans="1:9" x14ac:dyDescent="0.3">
      <c r="A1" s="662" t="s">
        <v>392</v>
      </c>
    </row>
    <row r="2" spans="1:9" ht="15.6" x14ac:dyDescent="0.3">
      <c r="A2" s="889" t="s">
        <v>109</v>
      </c>
      <c r="B2" s="889"/>
      <c r="C2" s="552">
        <f>'ROI Number insert'!F12</f>
        <v>1430000</v>
      </c>
    </row>
    <row r="3" spans="1:9" ht="15.6" x14ac:dyDescent="0.3">
      <c r="A3" s="889" t="s">
        <v>161</v>
      </c>
      <c r="B3" s="889"/>
      <c r="C3" s="552">
        <f>'Mortgage Caculator'!C11</f>
        <v>9433.2721099051178</v>
      </c>
      <c r="I3"/>
    </row>
    <row r="4" spans="1:9" ht="15.6" x14ac:dyDescent="0.3">
      <c r="A4" s="889" t="s">
        <v>167</v>
      </c>
      <c r="B4" s="889"/>
      <c r="C4" s="553">
        <f>'ROI Number insert'!F5</f>
        <v>6.25E-2</v>
      </c>
      <c r="I4"/>
    </row>
    <row r="5" spans="1:9" ht="15.6" x14ac:dyDescent="0.3">
      <c r="A5" s="889" t="s">
        <v>168</v>
      </c>
      <c r="B5" s="889"/>
      <c r="C5" s="554">
        <f>'ROI Number insert'!F4</f>
        <v>25</v>
      </c>
      <c r="I5"/>
    </row>
    <row r="6" spans="1:9" ht="15.6" x14ac:dyDescent="0.3">
      <c r="A6" s="889" t="s">
        <v>169</v>
      </c>
      <c r="B6" s="889"/>
      <c r="C6" s="554">
        <f>'Mortgage Caculator'!C6</f>
        <v>12</v>
      </c>
      <c r="I6"/>
    </row>
    <row r="7" spans="1:9" ht="18" x14ac:dyDescent="0.35">
      <c r="A7" s="888" t="s">
        <v>170</v>
      </c>
      <c r="B7" s="888"/>
      <c r="C7" s="888"/>
      <c r="D7" s="888"/>
      <c r="E7" s="888"/>
      <c r="F7" s="888"/>
      <c r="G7" s="888"/>
      <c r="I7"/>
    </row>
    <row r="8" spans="1:9" s="579" customFormat="1" ht="31.2" x14ac:dyDescent="0.3">
      <c r="A8" s="577" t="s">
        <v>171</v>
      </c>
      <c r="B8" s="577" t="s">
        <v>172</v>
      </c>
      <c r="C8" s="577" t="s">
        <v>173</v>
      </c>
      <c r="D8" s="578" t="s">
        <v>174</v>
      </c>
      <c r="E8" s="578" t="s">
        <v>175</v>
      </c>
      <c r="F8" s="578" t="s">
        <v>176</v>
      </c>
      <c r="G8" s="577" t="s">
        <v>177</v>
      </c>
      <c r="I8"/>
    </row>
    <row r="9" spans="1:9" x14ac:dyDescent="0.3">
      <c r="B9" s="554">
        <v>0</v>
      </c>
      <c r="C9" s="552">
        <f>IF($C$3&lt;G9+(G9*($C$4/$C$6)),$C$3,G9+(G9*($C$4/$C$6)))</f>
        <v>9433.2721099051178</v>
      </c>
      <c r="D9" s="552">
        <f>G9*$C$4/$C$6</f>
        <v>7447.916666666667</v>
      </c>
      <c r="E9" s="552">
        <f>C9-D9</f>
        <v>1985.3554432384508</v>
      </c>
      <c r="G9" s="552">
        <f>C2</f>
        <v>1430000</v>
      </c>
      <c r="I9"/>
    </row>
    <row r="10" spans="1:9" x14ac:dyDescent="0.3">
      <c r="B10" s="554">
        <v>1</v>
      </c>
      <c r="C10" s="552">
        <f t="shared" ref="C10:C73" si="0">IF($C$3&lt;G10+(G10*($C$4/$C$6)),$C$3,G10+(G10*($C$4/$C$6)))</f>
        <v>9433.2721099051178</v>
      </c>
      <c r="D10" s="552">
        <f t="shared" ref="D10:D73" si="1">G10*$C$4/$C$6</f>
        <v>7437.5762737331324</v>
      </c>
      <c r="E10" s="552">
        <f t="shared" ref="E10:E73" si="2">C10-D10</f>
        <v>1995.6958361719853</v>
      </c>
      <c r="G10" s="552">
        <f>G9-E9-F9</f>
        <v>1428014.6445567615</v>
      </c>
      <c r="I10"/>
    </row>
    <row r="11" spans="1:9" x14ac:dyDescent="0.3">
      <c r="B11" s="554">
        <v>2</v>
      </c>
      <c r="C11" s="552">
        <f t="shared" si="0"/>
        <v>9433.2721099051178</v>
      </c>
      <c r="D11" s="552">
        <f t="shared" si="1"/>
        <v>7427.1820245864037</v>
      </c>
      <c r="E11" s="552">
        <f t="shared" si="2"/>
        <v>2006.090085318714</v>
      </c>
      <c r="G11" s="552">
        <f t="shared" ref="G11:G74" si="3">G10-E10-F10</f>
        <v>1426018.9487205895</v>
      </c>
      <c r="I11"/>
    </row>
    <row r="12" spans="1:9" x14ac:dyDescent="0.3">
      <c r="B12" s="554">
        <v>3</v>
      </c>
      <c r="C12" s="552">
        <f t="shared" si="0"/>
        <v>9433.2721099051178</v>
      </c>
      <c r="D12" s="552">
        <f t="shared" si="1"/>
        <v>7416.7336387253681</v>
      </c>
      <c r="E12" s="552">
        <f t="shared" si="2"/>
        <v>2016.5384711797496</v>
      </c>
      <c r="G12" s="552">
        <f t="shared" si="3"/>
        <v>1424012.8586352707</v>
      </c>
      <c r="I12"/>
    </row>
    <row r="13" spans="1:9" x14ac:dyDescent="0.3">
      <c r="B13" s="554">
        <v>4</v>
      </c>
      <c r="C13" s="552">
        <f t="shared" si="0"/>
        <v>9433.2721099051178</v>
      </c>
      <c r="D13" s="552">
        <f t="shared" si="1"/>
        <v>7406.2308341879734</v>
      </c>
      <c r="E13" s="552">
        <f t="shared" si="2"/>
        <v>2027.0412757171443</v>
      </c>
      <c r="G13" s="552">
        <f t="shared" si="3"/>
        <v>1421996.320164091</v>
      </c>
      <c r="I13"/>
    </row>
    <row r="14" spans="1:9" x14ac:dyDescent="0.3">
      <c r="B14" s="554">
        <v>5</v>
      </c>
      <c r="C14" s="552">
        <f t="shared" si="0"/>
        <v>9433.2721099051178</v>
      </c>
      <c r="D14" s="552">
        <f t="shared" si="1"/>
        <v>7395.6733275436136</v>
      </c>
      <c r="E14" s="552">
        <f t="shared" si="2"/>
        <v>2037.5987823615042</v>
      </c>
      <c r="G14" s="552">
        <f t="shared" si="3"/>
        <v>1419969.2788883739</v>
      </c>
      <c r="I14"/>
    </row>
    <row r="15" spans="1:9" x14ac:dyDescent="0.3">
      <c r="B15" s="554">
        <v>6</v>
      </c>
      <c r="C15" s="552">
        <f t="shared" si="0"/>
        <v>9433.2721099051178</v>
      </c>
      <c r="D15" s="552">
        <f t="shared" si="1"/>
        <v>7385.0608338854809</v>
      </c>
      <c r="E15" s="552">
        <f t="shared" si="2"/>
        <v>2048.2112760196369</v>
      </c>
      <c r="G15" s="552">
        <f t="shared" si="3"/>
        <v>1417931.6801060124</v>
      </c>
      <c r="I15"/>
    </row>
    <row r="16" spans="1:9" x14ac:dyDescent="0.3">
      <c r="B16" s="554">
        <v>7</v>
      </c>
      <c r="C16" s="552">
        <f t="shared" si="0"/>
        <v>9433.2721099051178</v>
      </c>
      <c r="D16" s="552">
        <f t="shared" si="1"/>
        <v>7374.3930668228786</v>
      </c>
      <c r="E16" s="552">
        <f t="shared" si="2"/>
        <v>2058.8790430822391</v>
      </c>
      <c r="G16" s="552">
        <f t="shared" si="3"/>
        <v>1415883.4688299927</v>
      </c>
      <c r="I16"/>
    </row>
    <row r="17" spans="2:9" x14ac:dyDescent="0.3">
      <c r="B17" s="554">
        <v>8</v>
      </c>
      <c r="C17" s="552">
        <f t="shared" si="0"/>
        <v>9433.2721099051178</v>
      </c>
      <c r="D17" s="552">
        <f t="shared" si="1"/>
        <v>7363.6697384734916</v>
      </c>
      <c r="E17" s="552">
        <f t="shared" si="2"/>
        <v>2069.6023714316261</v>
      </c>
      <c r="G17" s="552">
        <f t="shared" si="3"/>
        <v>1413824.5897869105</v>
      </c>
      <c r="I17"/>
    </row>
    <row r="18" spans="2:9" x14ac:dyDescent="0.3">
      <c r="B18" s="554">
        <v>9</v>
      </c>
      <c r="C18" s="552">
        <f t="shared" si="0"/>
        <v>9433.2721099051178</v>
      </c>
      <c r="D18" s="552">
        <f t="shared" si="1"/>
        <v>7352.890559455619</v>
      </c>
      <c r="E18" s="552">
        <f t="shared" si="2"/>
        <v>2080.3815504494987</v>
      </c>
      <c r="G18" s="552">
        <f t="shared" si="3"/>
        <v>1411754.9874154788</v>
      </c>
    </row>
    <row r="19" spans="2:9" x14ac:dyDescent="0.3">
      <c r="B19" s="554">
        <v>10</v>
      </c>
      <c r="C19" s="552">
        <f t="shared" si="0"/>
        <v>9433.2721099051178</v>
      </c>
      <c r="D19" s="552">
        <f t="shared" si="1"/>
        <v>7342.0552388803617</v>
      </c>
      <c r="E19" s="552">
        <f t="shared" si="2"/>
        <v>2091.2168710247561</v>
      </c>
      <c r="G19" s="552">
        <f t="shared" si="3"/>
        <v>1409674.6058650294</v>
      </c>
    </row>
    <row r="20" spans="2:9" x14ac:dyDescent="0.3">
      <c r="B20" s="554">
        <v>11</v>
      </c>
      <c r="C20" s="552">
        <f t="shared" si="0"/>
        <v>9433.2721099051178</v>
      </c>
      <c r="D20" s="552">
        <f t="shared" si="1"/>
        <v>7331.1634843437741</v>
      </c>
      <c r="E20" s="552">
        <f t="shared" si="2"/>
        <v>2102.1086255613436</v>
      </c>
      <c r="G20" s="552">
        <f t="shared" si="3"/>
        <v>1407583.3889940046</v>
      </c>
    </row>
    <row r="21" spans="2:9" x14ac:dyDescent="0.3">
      <c r="B21" s="554">
        <v>12</v>
      </c>
      <c r="C21" s="552">
        <f t="shared" si="0"/>
        <v>9433.2721099051178</v>
      </c>
      <c r="D21" s="552">
        <f t="shared" si="1"/>
        <v>7320.2150019189758</v>
      </c>
      <c r="E21" s="552">
        <f t="shared" si="2"/>
        <v>2113.057107986142</v>
      </c>
      <c r="G21" s="552">
        <f t="shared" si="3"/>
        <v>1405481.2803684433</v>
      </c>
    </row>
    <row r="22" spans="2:9" x14ac:dyDescent="0.3">
      <c r="B22" s="554">
        <v>13</v>
      </c>
      <c r="C22" s="552">
        <f t="shared" si="0"/>
        <v>9433.2721099051178</v>
      </c>
      <c r="D22" s="552">
        <f t="shared" si="1"/>
        <v>7309.2094961482144</v>
      </c>
      <c r="E22" s="552">
        <f t="shared" si="2"/>
        <v>2124.0626137569034</v>
      </c>
      <c r="G22" s="552">
        <f t="shared" si="3"/>
        <v>1403368.2232604572</v>
      </c>
    </row>
    <row r="23" spans="2:9" x14ac:dyDescent="0.3">
      <c r="B23" s="554">
        <v>14</v>
      </c>
      <c r="C23" s="552">
        <f t="shared" si="0"/>
        <v>9433.2721099051178</v>
      </c>
      <c r="D23" s="552">
        <f t="shared" si="1"/>
        <v>7298.1466700348974</v>
      </c>
      <c r="E23" s="552">
        <f t="shared" si="2"/>
        <v>2135.1254398702204</v>
      </c>
      <c r="G23" s="552">
        <f t="shared" si="3"/>
        <v>1401244.1606467003</v>
      </c>
    </row>
    <row r="24" spans="2:9" x14ac:dyDescent="0.3">
      <c r="B24" s="554">
        <v>15</v>
      </c>
      <c r="C24" s="552">
        <f t="shared" si="0"/>
        <v>9433.2721099051178</v>
      </c>
      <c r="D24" s="552">
        <f t="shared" si="1"/>
        <v>7287.0262250355736</v>
      </c>
      <c r="E24" s="552">
        <f t="shared" si="2"/>
        <v>2146.2458848695442</v>
      </c>
      <c r="G24" s="552">
        <f t="shared" si="3"/>
        <v>1399109.0352068301</v>
      </c>
    </row>
    <row r="25" spans="2:9" x14ac:dyDescent="0.3">
      <c r="B25" s="554">
        <v>16</v>
      </c>
      <c r="C25" s="552">
        <f t="shared" si="0"/>
        <v>9433.2721099051178</v>
      </c>
      <c r="D25" s="552">
        <f t="shared" si="1"/>
        <v>7275.8478610518787</v>
      </c>
      <c r="E25" s="552">
        <f t="shared" si="2"/>
        <v>2157.4242488532391</v>
      </c>
      <c r="G25" s="552">
        <f t="shared" si="3"/>
        <v>1396962.7893219606</v>
      </c>
    </row>
    <row r="26" spans="2:9" x14ac:dyDescent="0.3">
      <c r="B26" s="554">
        <v>17</v>
      </c>
      <c r="C26" s="552">
        <f t="shared" si="0"/>
        <v>9433.2721099051178</v>
      </c>
      <c r="D26" s="552">
        <f t="shared" si="1"/>
        <v>7264.6112764224345</v>
      </c>
      <c r="E26" s="552">
        <f t="shared" si="2"/>
        <v>2168.6608334826833</v>
      </c>
      <c r="G26" s="552">
        <f t="shared" si="3"/>
        <v>1394805.3650731074</v>
      </c>
    </row>
    <row r="27" spans="2:9" x14ac:dyDescent="0.3">
      <c r="B27" s="554">
        <v>18</v>
      </c>
      <c r="C27" s="552">
        <f t="shared" si="0"/>
        <v>9433.2721099051178</v>
      </c>
      <c r="D27" s="552">
        <f t="shared" si="1"/>
        <v>7253.3161679147124</v>
      </c>
      <c r="E27" s="552">
        <f t="shared" si="2"/>
        <v>2179.9559419904053</v>
      </c>
      <c r="G27" s="552">
        <f t="shared" si="3"/>
        <v>1392636.7042396248</v>
      </c>
    </row>
    <row r="28" spans="2:9" x14ac:dyDescent="0.3">
      <c r="B28" s="554">
        <v>19</v>
      </c>
      <c r="C28" s="552">
        <f t="shared" si="0"/>
        <v>9433.2721099051178</v>
      </c>
      <c r="D28" s="552">
        <f t="shared" si="1"/>
        <v>7241.9622307168456</v>
      </c>
      <c r="E28" s="552">
        <f t="shared" si="2"/>
        <v>2191.3098791882721</v>
      </c>
      <c r="G28" s="552">
        <f t="shared" si="3"/>
        <v>1390456.7482976343</v>
      </c>
    </row>
    <row r="29" spans="2:9" x14ac:dyDescent="0.3">
      <c r="B29" s="554">
        <v>20</v>
      </c>
      <c r="C29" s="552">
        <f t="shared" si="0"/>
        <v>9433.2721099051178</v>
      </c>
      <c r="D29" s="552">
        <f t="shared" si="1"/>
        <v>7230.5491584294068</v>
      </c>
      <c r="E29" s="552">
        <f t="shared" si="2"/>
        <v>2202.7229514757109</v>
      </c>
      <c r="G29" s="552">
        <f t="shared" si="3"/>
        <v>1388265.4384184461</v>
      </c>
    </row>
    <row r="30" spans="2:9" x14ac:dyDescent="0.3">
      <c r="B30" s="554">
        <v>21</v>
      </c>
      <c r="C30" s="552">
        <f t="shared" si="0"/>
        <v>9433.2721099051178</v>
      </c>
      <c r="D30" s="552">
        <f t="shared" si="1"/>
        <v>7219.0766430571375</v>
      </c>
      <c r="E30" s="552">
        <f t="shared" si="2"/>
        <v>2214.1954668479802</v>
      </c>
      <c r="G30" s="552">
        <f t="shared" si="3"/>
        <v>1386062.7154669703</v>
      </c>
    </row>
    <row r="31" spans="2:9" x14ac:dyDescent="0.3">
      <c r="B31" s="554">
        <v>22</v>
      </c>
      <c r="C31" s="552">
        <f t="shared" si="0"/>
        <v>9433.2721099051178</v>
      </c>
      <c r="D31" s="552">
        <f t="shared" si="1"/>
        <v>7207.544375000637</v>
      </c>
      <c r="E31" s="552">
        <f t="shared" si="2"/>
        <v>2225.7277349044807</v>
      </c>
      <c r="G31" s="552">
        <f t="shared" si="3"/>
        <v>1383848.5200001223</v>
      </c>
    </row>
    <row r="32" spans="2:9" x14ac:dyDescent="0.3">
      <c r="B32" s="554">
        <v>23</v>
      </c>
      <c r="C32" s="552">
        <f t="shared" si="0"/>
        <v>9433.2721099051178</v>
      </c>
      <c r="D32" s="552">
        <f t="shared" si="1"/>
        <v>7195.9520430480088</v>
      </c>
      <c r="E32" s="552">
        <f t="shared" si="2"/>
        <v>2237.3200668571089</v>
      </c>
      <c r="G32" s="552">
        <f t="shared" si="3"/>
        <v>1381622.7922652178</v>
      </c>
    </row>
    <row r="33" spans="2:7" x14ac:dyDescent="0.3">
      <c r="B33" s="554">
        <v>24</v>
      </c>
      <c r="C33" s="552">
        <f t="shared" si="0"/>
        <v>9433.2721099051178</v>
      </c>
      <c r="D33" s="552">
        <f t="shared" si="1"/>
        <v>7184.2993343664612</v>
      </c>
      <c r="E33" s="552">
        <f t="shared" si="2"/>
        <v>2248.9727755386566</v>
      </c>
      <c r="G33" s="552">
        <f t="shared" si="3"/>
        <v>1379385.4721983606</v>
      </c>
    </row>
    <row r="34" spans="2:7" x14ac:dyDescent="0.3">
      <c r="B34" s="554">
        <v>25</v>
      </c>
      <c r="C34" s="552">
        <f t="shared" si="0"/>
        <v>9433.2721099051178</v>
      </c>
      <c r="D34" s="552">
        <f t="shared" si="1"/>
        <v>7172.5859344938644</v>
      </c>
      <c r="E34" s="552">
        <f t="shared" si="2"/>
        <v>2260.6861754112533</v>
      </c>
      <c r="G34" s="552">
        <f t="shared" si="3"/>
        <v>1377136.4994228219</v>
      </c>
    </row>
    <row r="35" spans="2:7" x14ac:dyDescent="0.3">
      <c r="B35" s="554">
        <v>26</v>
      </c>
      <c r="C35" s="552">
        <f t="shared" si="0"/>
        <v>9433.2721099051178</v>
      </c>
      <c r="D35" s="552">
        <f t="shared" si="1"/>
        <v>7160.8115273302637</v>
      </c>
      <c r="E35" s="552">
        <f t="shared" si="2"/>
        <v>2272.460582574854</v>
      </c>
      <c r="G35" s="552">
        <f t="shared" si="3"/>
        <v>1374875.8132474106</v>
      </c>
    </row>
    <row r="36" spans="2:7" x14ac:dyDescent="0.3">
      <c r="B36" s="554">
        <v>27</v>
      </c>
      <c r="C36" s="552">
        <f t="shared" si="0"/>
        <v>9433.2721099051178</v>
      </c>
      <c r="D36" s="552">
        <f t="shared" si="1"/>
        <v>7148.9757951293532</v>
      </c>
      <c r="E36" s="552">
        <f t="shared" si="2"/>
        <v>2284.2963147757646</v>
      </c>
      <c r="G36" s="552">
        <f t="shared" si="3"/>
        <v>1372603.3526648358</v>
      </c>
    </row>
    <row r="37" spans="2:7" x14ac:dyDescent="0.3">
      <c r="B37" s="554">
        <v>28</v>
      </c>
      <c r="C37" s="552">
        <f t="shared" si="0"/>
        <v>9433.2721099051178</v>
      </c>
      <c r="D37" s="552">
        <f t="shared" si="1"/>
        <v>7137.0784184898957</v>
      </c>
      <c r="E37" s="552">
        <f t="shared" si="2"/>
        <v>2296.193691415222</v>
      </c>
      <c r="G37" s="552">
        <f t="shared" si="3"/>
        <v>1370319.05635006</v>
      </c>
    </row>
    <row r="38" spans="2:7" x14ac:dyDescent="0.3">
      <c r="B38" s="554">
        <v>29</v>
      </c>
      <c r="C38" s="552">
        <f t="shared" si="0"/>
        <v>9433.2721099051178</v>
      </c>
      <c r="D38" s="552">
        <f t="shared" si="1"/>
        <v>7125.1190763471086</v>
      </c>
      <c r="E38" s="552">
        <f t="shared" si="2"/>
        <v>2308.1530335580092</v>
      </c>
      <c r="G38" s="552">
        <f t="shared" si="3"/>
        <v>1368022.8626586448</v>
      </c>
    </row>
    <row r="39" spans="2:7" x14ac:dyDescent="0.3">
      <c r="B39" s="554">
        <v>30</v>
      </c>
      <c r="C39" s="552">
        <f t="shared" si="0"/>
        <v>9433.2721099051178</v>
      </c>
      <c r="D39" s="552">
        <f t="shared" si="1"/>
        <v>7113.0974459639938</v>
      </c>
      <c r="E39" s="552">
        <f t="shared" si="2"/>
        <v>2320.174663941124</v>
      </c>
      <c r="G39" s="552">
        <f t="shared" si="3"/>
        <v>1365714.7096250867</v>
      </c>
    </row>
    <row r="40" spans="2:7" x14ac:dyDescent="0.3">
      <c r="B40" s="554">
        <v>31</v>
      </c>
      <c r="C40" s="552">
        <f t="shared" si="0"/>
        <v>9433.2721099051178</v>
      </c>
      <c r="D40" s="552">
        <f t="shared" si="1"/>
        <v>7101.0132029226334</v>
      </c>
      <c r="E40" s="552">
        <f t="shared" si="2"/>
        <v>2332.2589069824844</v>
      </c>
      <c r="G40" s="552">
        <f t="shared" si="3"/>
        <v>1363394.5349611456</v>
      </c>
    </row>
    <row r="41" spans="2:7" x14ac:dyDescent="0.3">
      <c r="B41" s="554">
        <v>32</v>
      </c>
      <c r="C41" s="552">
        <f t="shared" si="0"/>
        <v>9433.2721099051178</v>
      </c>
      <c r="D41" s="552">
        <f t="shared" si="1"/>
        <v>7088.8660211154338</v>
      </c>
      <c r="E41" s="552">
        <f t="shared" si="2"/>
        <v>2344.406088789684</v>
      </c>
      <c r="G41" s="552">
        <f t="shared" si="3"/>
        <v>1361062.2760541632</v>
      </c>
    </row>
    <row r="42" spans="2:7" x14ac:dyDescent="0.3">
      <c r="B42" s="554">
        <v>33</v>
      </c>
      <c r="C42" s="552">
        <f t="shared" si="0"/>
        <v>9433.2721099051178</v>
      </c>
      <c r="D42" s="552">
        <f t="shared" si="1"/>
        <v>7076.6555727363202</v>
      </c>
      <c r="E42" s="552">
        <f t="shared" si="2"/>
        <v>2356.6165371687975</v>
      </c>
      <c r="G42" s="552">
        <f t="shared" si="3"/>
        <v>1358717.8699653735</v>
      </c>
    </row>
    <row r="43" spans="2:7" x14ac:dyDescent="0.3">
      <c r="B43" s="554">
        <v>34</v>
      </c>
      <c r="C43" s="552">
        <f t="shared" si="0"/>
        <v>9433.2721099051178</v>
      </c>
      <c r="D43" s="552">
        <f t="shared" si="1"/>
        <v>7064.3815282718997</v>
      </c>
      <c r="E43" s="552">
        <f t="shared" si="2"/>
        <v>2368.8905816332181</v>
      </c>
      <c r="G43" s="552">
        <f t="shared" si="3"/>
        <v>1356361.2534282047</v>
      </c>
    </row>
    <row r="44" spans="2:7" x14ac:dyDescent="0.3">
      <c r="B44" s="554">
        <v>35</v>
      </c>
      <c r="C44" s="552">
        <f t="shared" si="0"/>
        <v>9433.2721099051178</v>
      </c>
      <c r="D44" s="552">
        <f t="shared" si="1"/>
        <v>7052.0435564925601</v>
      </c>
      <c r="E44" s="552">
        <f t="shared" si="2"/>
        <v>2381.2285534125576</v>
      </c>
      <c r="G44" s="552">
        <f t="shared" si="3"/>
        <v>1353992.3628465715</v>
      </c>
    </row>
    <row r="45" spans="2:7" x14ac:dyDescent="0.3">
      <c r="B45" s="554">
        <v>36</v>
      </c>
      <c r="C45" s="552">
        <f t="shared" si="0"/>
        <v>9433.2721099051178</v>
      </c>
      <c r="D45" s="552">
        <f t="shared" si="1"/>
        <v>7039.6413244435362</v>
      </c>
      <c r="E45" s="552">
        <f t="shared" si="2"/>
        <v>2393.6307854615816</v>
      </c>
      <c r="G45" s="552">
        <f t="shared" si="3"/>
        <v>1351611.134293159</v>
      </c>
    </row>
    <row r="46" spans="2:7" x14ac:dyDescent="0.3">
      <c r="B46" s="554">
        <v>37</v>
      </c>
      <c r="C46" s="552">
        <f t="shared" si="0"/>
        <v>9433.2721099051178</v>
      </c>
      <c r="D46" s="552">
        <f t="shared" si="1"/>
        <v>7027.1744974359244</v>
      </c>
      <c r="E46" s="552">
        <f t="shared" si="2"/>
        <v>2406.0976124691933</v>
      </c>
      <c r="G46" s="552">
        <f t="shared" si="3"/>
        <v>1349217.5035076975</v>
      </c>
    </row>
    <row r="47" spans="2:7" x14ac:dyDescent="0.3">
      <c r="B47" s="554">
        <v>38</v>
      </c>
      <c r="C47" s="552">
        <f t="shared" si="0"/>
        <v>9433.2721099051178</v>
      </c>
      <c r="D47" s="552">
        <f t="shared" si="1"/>
        <v>7014.6427390376475</v>
      </c>
      <c r="E47" s="552">
        <f t="shared" si="2"/>
        <v>2418.6293708674702</v>
      </c>
      <c r="G47" s="552">
        <f t="shared" si="3"/>
        <v>1346811.4058952283</v>
      </c>
    </row>
    <row r="48" spans="2:7" x14ac:dyDescent="0.3">
      <c r="B48" s="554">
        <v>39</v>
      </c>
      <c r="C48" s="552">
        <f t="shared" si="0"/>
        <v>9433.2721099051178</v>
      </c>
      <c r="D48" s="552">
        <f t="shared" si="1"/>
        <v>7002.0457110643792</v>
      </c>
      <c r="E48" s="552">
        <f t="shared" si="2"/>
        <v>2431.2263988407385</v>
      </c>
      <c r="G48" s="552">
        <f t="shared" si="3"/>
        <v>1344392.7765243608</v>
      </c>
    </row>
    <row r="49" spans="2:7" x14ac:dyDescent="0.3">
      <c r="B49" s="554">
        <v>40</v>
      </c>
      <c r="C49" s="552">
        <f t="shared" si="0"/>
        <v>9433.2721099051178</v>
      </c>
      <c r="D49" s="552">
        <f t="shared" si="1"/>
        <v>6989.3830735704169</v>
      </c>
      <c r="E49" s="552">
        <f t="shared" si="2"/>
        <v>2443.8890363347009</v>
      </c>
      <c r="G49" s="552">
        <f t="shared" si="3"/>
        <v>1341961.55012552</v>
      </c>
    </row>
    <row r="50" spans="2:7" x14ac:dyDescent="0.3">
      <c r="B50" s="554">
        <v>41</v>
      </c>
      <c r="C50" s="552">
        <f t="shared" si="0"/>
        <v>9433.2721099051178</v>
      </c>
      <c r="D50" s="552">
        <f t="shared" si="1"/>
        <v>6976.6544848395069</v>
      </c>
      <c r="E50" s="552">
        <f t="shared" si="2"/>
        <v>2456.6176250656108</v>
      </c>
      <c r="G50" s="552">
        <f t="shared" si="3"/>
        <v>1339517.6610891854</v>
      </c>
    </row>
    <row r="51" spans="2:7" x14ac:dyDescent="0.3">
      <c r="B51" s="554">
        <v>42</v>
      </c>
      <c r="C51" s="552">
        <f t="shared" si="0"/>
        <v>9433.2721099051178</v>
      </c>
      <c r="D51" s="552">
        <f t="shared" si="1"/>
        <v>6963.8596013756242</v>
      </c>
      <c r="E51" s="552">
        <f t="shared" si="2"/>
        <v>2469.4125085294936</v>
      </c>
      <c r="G51" s="552">
        <f t="shared" si="3"/>
        <v>1337061.0434641198</v>
      </c>
    </row>
    <row r="52" spans="2:7" x14ac:dyDescent="0.3">
      <c r="B52" s="554">
        <v>43</v>
      </c>
      <c r="C52" s="552">
        <f t="shared" si="0"/>
        <v>9433.2721099051178</v>
      </c>
      <c r="D52" s="552">
        <f t="shared" si="1"/>
        <v>6950.9980778936997</v>
      </c>
      <c r="E52" s="552">
        <f t="shared" si="2"/>
        <v>2482.2740320114181</v>
      </c>
      <c r="G52" s="552">
        <f t="shared" si="3"/>
        <v>1334591.6309555904</v>
      </c>
    </row>
    <row r="53" spans="2:7" x14ac:dyDescent="0.3">
      <c r="B53" s="554">
        <v>44</v>
      </c>
      <c r="C53" s="552">
        <f t="shared" si="0"/>
        <v>9433.2721099051178</v>
      </c>
      <c r="D53" s="552">
        <f t="shared" si="1"/>
        <v>6938.0695673103073</v>
      </c>
      <c r="E53" s="552">
        <f t="shared" si="2"/>
        <v>2495.2025425948104</v>
      </c>
      <c r="G53" s="552">
        <f t="shared" si="3"/>
        <v>1332109.356923579</v>
      </c>
    </row>
    <row r="54" spans="2:7" x14ac:dyDescent="0.3">
      <c r="B54" s="554">
        <v>45</v>
      </c>
      <c r="C54" s="552">
        <f t="shared" si="0"/>
        <v>9433.2721099051178</v>
      </c>
      <c r="D54" s="552">
        <f t="shared" si="1"/>
        <v>6925.0737207342927</v>
      </c>
      <c r="E54" s="552">
        <f t="shared" si="2"/>
        <v>2508.1983891708251</v>
      </c>
      <c r="G54" s="552">
        <f t="shared" si="3"/>
        <v>1329614.1543809841</v>
      </c>
    </row>
    <row r="55" spans="2:7" x14ac:dyDescent="0.3">
      <c r="B55" s="554">
        <v>46</v>
      </c>
      <c r="C55" s="552">
        <f t="shared" si="0"/>
        <v>9433.2721099051178</v>
      </c>
      <c r="D55" s="552">
        <f t="shared" si="1"/>
        <v>6912.0101874573602</v>
      </c>
      <c r="E55" s="552">
        <f t="shared" si="2"/>
        <v>2521.2619224477576</v>
      </c>
      <c r="G55" s="552">
        <f t="shared" si="3"/>
        <v>1327105.9559918132</v>
      </c>
    </row>
    <row r="56" spans="2:7" x14ac:dyDescent="0.3">
      <c r="B56" s="554">
        <v>47</v>
      </c>
      <c r="C56" s="552">
        <f t="shared" si="0"/>
        <v>9433.2721099051178</v>
      </c>
      <c r="D56" s="552">
        <f t="shared" si="1"/>
        <v>6898.8786149446123</v>
      </c>
      <c r="E56" s="552">
        <f t="shared" si="2"/>
        <v>2534.3934949605054</v>
      </c>
      <c r="G56" s="552">
        <f t="shared" si="3"/>
        <v>1324584.6940693655</v>
      </c>
    </row>
    <row r="57" spans="2:7" x14ac:dyDescent="0.3">
      <c r="B57" s="554">
        <v>48</v>
      </c>
      <c r="C57" s="552">
        <f t="shared" si="0"/>
        <v>9433.2721099051178</v>
      </c>
      <c r="D57" s="552">
        <f t="shared" si="1"/>
        <v>6885.6786488250254</v>
      </c>
      <c r="E57" s="552">
        <f t="shared" si="2"/>
        <v>2547.5934610800923</v>
      </c>
      <c r="G57" s="552">
        <f t="shared" si="3"/>
        <v>1322050.3005744049</v>
      </c>
    </row>
    <row r="58" spans="2:7" x14ac:dyDescent="0.3">
      <c r="B58" s="554">
        <v>49</v>
      </c>
      <c r="C58" s="552">
        <f t="shared" si="0"/>
        <v>9433.2721099051178</v>
      </c>
      <c r="D58" s="552">
        <f t="shared" si="1"/>
        <v>6872.4099328819002</v>
      </c>
      <c r="E58" s="552">
        <f t="shared" si="2"/>
        <v>2560.8621770232176</v>
      </c>
      <c r="G58" s="552">
        <f t="shared" si="3"/>
        <v>1319502.7071133249</v>
      </c>
    </row>
    <row r="59" spans="2:7" x14ac:dyDescent="0.3">
      <c r="B59" s="554">
        <v>50</v>
      </c>
      <c r="C59" s="552">
        <f t="shared" si="0"/>
        <v>9433.2721099051178</v>
      </c>
      <c r="D59" s="552">
        <f t="shared" si="1"/>
        <v>6859.072109043238</v>
      </c>
      <c r="E59" s="552">
        <f t="shared" si="2"/>
        <v>2574.2000008618797</v>
      </c>
      <c r="G59" s="552">
        <f t="shared" si="3"/>
        <v>1316941.8449363017</v>
      </c>
    </row>
    <row r="60" spans="2:7" x14ac:dyDescent="0.3">
      <c r="B60" s="554">
        <v>51</v>
      </c>
      <c r="C60" s="552">
        <f t="shared" si="0"/>
        <v>9433.2721099051178</v>
      </c>
      <c r="D60" s="552">
        <f t="shared" si="1"/>
        <v>6845.6648173720823</v>
      </c>
      <c r="E60" s="552">
        <f t="shared" si="2"/>
        <v>2587.6072925330354</v>
      </c>
      <c r="G60" s="552">
        <f t="shared" si="3"/>
        <v>1314367.6449354398</v>
      </c>
    </row>
    <row r="61" spans="2:7" x14ac:dyDescent="0.3">
      <c r="B61" s="554">
        <v>52</v>
      </c>
      <c r="C61" s="552">
        <f t="shared" si="0"/>
        <v>9433.2721099051178</v>
      </c>
      <c r="D61" s="552">
        <f t="shared" si="1"/>
        <v>6832.187696056807</v>
      </c>
      <c r="E61" s="552">
        <f t="shared" si="2"/>
        <v>2601.0844138483108</v>
      </c>
      <c r="G61" s="552">
        <f t="shared" si="3"/>
        <v>1311780.0376429069</v>
      </c>
    </row>
    <row r="62" spans="2:7" x14ac:dyDescent="0.3">
      <c r="B62" s="554">
        <v>53</v>
      </c>
      <c r="C62" s="552">
        <f t="shared" si="0"/>
        <v>9433.2721099051178</v>
      </c>
      <c r="D62" s="552">
        <f t="shared" si="1"/>
        <v>6818.6403814013465</v>
      </c>
      <c r="E62" s="552">
        <f t="shared" si="2"/>
        <v>2614.6317285037712</v>
      </c>
      <c r="G62" s="552">
        <f t="shared" si="3"/>
        <v>1309178.9532290585</v>
      </c>
    </row>
    <row r="63" spans="2:7" x14ac:dyDescent="0.3">
      <c r="B63" s="554">
        <v>54</v>
      </c>
      <c r="C63" s="552">
        <f t="shared" si="0"/>
        <v>9433.2721099051178</v>
      </c>
      <c r="D63" s="552">
        <f t="shared" si="1"/>
        <v>6805.022507815389</v>
      </c>
      <c r="E63" s="552">
        <f t="shared" si="2"/>
        <v>2628.2496020897288</v>
      </c>
      <c r="G63" s="552">
        <f t="shared" si="3"/>
        <v>1306564.3215005547</v>
      </c>
    </row>
    <row r="64" spans="2:7" x14ac:dyDescent="0.3">
      <c r="B64" s="554">
        <v>55</v>
      </c>
      <c r="C64" s="552">
        <f t="shared" si="0"/>
        <v>9433.2721099051178</v>
      </c>
      <c r="D64" s="552">
        <f t="shared" si="1"/>
        <v>6791.3337078045051</v>
      </c>
      <c r="E64" s="552">
        <f t="shared" si="2"/>
        <v>2641.9384021006126</v>
      </c>
      <c r="G64" s="552">
        <f t="shared" si="3"/>
        <v>1303936.071898465</v>
      </c>
    </row>
    <row r="65" spans="2:7" x14ac:dyDescent="0.3">
      <c r="B65" s="554">
        <v>56</v>
      </c>
      <c r="C65" s="552">
        <f t="shared" si="0"/>
        <v>9433.2721099051178</v>
      </c>
      <c r="D65" s="552">
        <f t="shared" si="1"/>
        <v>6777.5736119602307</v>
      </c>
      <c r="E65" s="552">
        <f t="shared" si="2"/>
        <v>2655.6984979448871</v>
      </c>
      <c r="G65" s="552">
        <f t="shared" si="3"/>
        <v>1301294.1334963643</v>
      </c>
    </row>
    <row r="66" spans="2:7" x14ac:dyDescent="0.3">
      <c r="B66" s="554">
        <v>57</v>
      </c>
      <c r="C66" s="552">
        <f t="shared" si="0"/>
        <v>9433.2721099051178</v>
      </c>
      <c r="D66" s="552">
        <f t="shared" si="1"/>
        <v>6763.7418489501006</v>
      </c>
      <c r="E66" s="552">
        <f t="shared" si="2"/>
        <v>2669.5302609550172</v>
      </c>
      <c r="G66" s="552">
        <f t="shared" si="3"/>
        <v>1298638.4349984194</v>
      </c>
    </row>
    <row r="67" spans="2:7" x14ac:dyDescent="0.3">
      <c r="B67" s="554">
        <v>58</v>
      </c>
      <c r="C67" s="552">
        <f t="shared" si="0"/>
        <v>9433.2721099051178</v>
      </c>
      <c r="D67" s="552">
        <f t="shared" si="1"/>
        <v>6749.8380455076267</v>
      </c>
      <c r="E67" s="552">
        <f t="shared" si="2"/>
        <v>2683.4340643974911</v>
      </c>
      <c r="G67" s="552">
        <f t="shared" si="3"/>
        <v>1295968.9047374644</v>
      </c>
    </row>
    <row r="68" spans="2:7" x14ac:dyDescent="0.3">
      <c r="B68" s="554">
        <v>59</v>
      </c>
      <c r="C68" s="552">
        <f t="shared" si="0"/>
        <v>9433.2721099051178</v>
      </c>
      <c r="D68" s="552">
        <f t="shared" si="1"/>
        <v>6735.8618264222232</v>
      </c>
      <c r="E68" s="552">
        <f t="shared" si="2"/>
        <v>2697.4102834828946</v>
      </c>
      <c r="G68" s="552">
        <f t="shared" si="3"/>
        <v>1293285.4706730668</v>
      </c>
    </row>
    <row r="69" spans="2:7" x14ac:dyDescent="0.3">
      <c r="B69" s="554">
        <v>60</v>
      </c>
      <c r="C69" s="552">
        <f t="shared" si="0"/>
        <v>9433.2721099051178</v>
      </c>
      <c r="D69" s="552">
        <f t="shared" si="1"/>
        <v>6721.812814529083</v>
      </c>
      <c r="E69" s="552">
        <f t="shared" si="2"/>
        <v>2711.4592953760348</v>
      </c>
      <c r="G69" s="552">
        <f t="shared" si="3"/>
        <v>1290588.0603895839</v>
      </c>
    </row>
    <row r="70" spans="2:7" x14ac:dyDescent="0.3">
      <c r="B70" s="554">
        <v>61</v>
      </c>
      <c r="C70" s="552">
        <f t="shared" si="0"/>
        <v>9433.2721099051178</v>
      </c>
      <c r="D70" s="552">
        <f t="shared" si="1"/>
        <v>6707.6906306989995</v>
      </c>
      <c r="E70" s="552">
        <f t="shared" si="2"/>
        <v>2725.5814792061183</v>
      </c>
      <c r="G70" s="552">
        <f t="shared" si="3"/>
        <v>1287876.601094208</v>
      </c>
    </row>
    <row r="71" spans="2:7" x14ac:dyDescent="0.3">
      <c r="B71" s="554">
        <v>62</v>
      </c>
      <c r="C71" s="552">
        <f t="shared" si="0"/>
        <v>9433.2721099051178</v>
      </c>
      <c r="D71" s="552">
        <f t="shared" si="1"/>
        <v>6693.4948938281341</v>
      </c>
      <c r="E71" s="552">
        <f t="shared" si="2"/>
        <v>2739.7772160769837</v>
      </c>
      <c r="G71" s="552">
        <f t="shared" si="3"/>
        <v>1285151.0196150017</v>
      </c>
    </row>
    <row r="72" spans="2:7" x14ac:dyDescent="0.3">
      <c r="B72" s="554">
        <v>63</v>
      </c>
      <c r="C72" s="552">
        <f t="shared" si="0"/>
        <v>9433.2721099051178</v>
      </c>
      <c r="D72" s="552">
        <f t="shared" si="1"/>
        <v>6679.2252208277323</v>
      </c>
      <c r="E72" s="552">
        <f t="shared" si="2"/>
        <v>2754.0468890773855</v>
      </c>
      <c r="G72" s="552">
        <f t="shared" si="3"/>
        <v>1282411.2423989247</v>
      </c>
    </row>
    <row r="73" spans="2:7" x14ac:dyDescent="0.3">
      <c r="B73" s="554">
        <v>64</v>
      </c>
      <c r="C73" s="552">
        <f t="shared" si="0"/>
        <v>9433.2721099051178</v>
      </c>
      <c r="D73" s="552">
        <f t="shared" si="1"/>
        <v>6664.8812266137875</v>
      </c>
      <c r="E73" s="552">
        <f t="shared" si="2"/>
        <v>2768.3908832913303</v>
      </c>
      <c r="G73" s="552">
        <f t="shared" si="3"/>
        <v>1279657.1955098473</v>
      </c>
    </row>
    <row r="74" spans="2:7" x14ac:dyDescent="0.3">
      <c r="B74" s="554">
        <v>65</v>
      </c>
      <c r="C74" s="552">
        <f t="shared" ref="C74:C137" si="4">IF($C$3&lt;G74+(G74*($C$4/$C$6)),$C$3,G74+(G74*($C$4/$C$6)))</f>
        <v>9433.2721099051178</v>
      </c>
      <c r="D74" s="552">
        <f t="shared" ref="D74:D137" si="5">G74*$C$4/$C$6</f>
        <v>6650.4625240966452</v>
      </c>
      <c r="E74" s="552">
        <f t="shared" ref="E74:E137" si="6">C74-D74</f>
        <v>2782.8095858084725</v>
      </c>
      <c r="G74" s="552">
        <f t="shared" si="3"/>
        <v>1276888.8046265559</v>
      </c>
    </row>
    <row r="75" spans="2:7" x14ac:dyDescent="0.3">
      <c r="B75" s="554">
        <v>66</v>
      </c>
      <c r="C75" s="552">
        <f t="shared" si="4"/>
        <v>9433.2721099051178</v>
      </c>
      <c r="D75" s="552">
        <f t="shared" si="5"/>
        <v>6635.9687241705587</v>
      </c>
      <c r="E75" s="552">
        <f t="shared" si="6"/>
        <v>2797.303385734559</v>
      </c>
      <c r="G75" s="552">
        <f t="shared" ref="G75:G138" si="7">G74-E74-F74</f>
        <v>1274105.9950407473</v>
      </c>
    </row>
    <row r="76" spans="2:7" x14ac:dyDescent="0.3">
      <c r="B76" s="554">
        <v>67</v>
      </c>
      <c r="C76" s="552">
        <f t="shared" si="4"/>
        <v>9433.2721099051178</v>
      </c>
      <c r="D76" s="552">
        <f t="shared" si="5"/>
        <v>6621.3994357031916</v>
      </c>
      <c r="E76" s="552">
        <f t="shared" si="6"/>
        <v>2811.8726742019262</v>
      </c>
      <c r="G76" s="552">
        <f t="shared" si="7"/>
        <v>1271308.6916550128</v>
      </c>
    </row>
    <row r="77" spans="2:7" x14ac:dyDescent="0.3">
      <c r="B77" s="554">
        <v>68</v>
      </c>
      <c r="C77" s="552">
        <f t="shared" si="4"/>
        <v>9433.2721099051178</v>
      </c>
      <c r="D77" s="552">
        <f t="shared" si="5"/>
        <v>6606.7542655250572</v>
      </c>
      <c r="E77" s="552">
        <f t="shared" si="6"/>
        <v>2826.5178443800605</v>
      </c>
      <c r="G77" s="552">
        <f t="shared" si="7"/>
        <v>1268496.8189808109</v>
      </c>
    </row>
    <row r="78" spans="2:7" x14ac:dyDescent="0.3">
      <c r="B78" s="554">
        <v>69</v>
      </c>
      <c r="C78" s="552">
        <f t="shared" si="4"/>
        <v>9433.2721099051178</v>
      </c>
      <c r="D78" s="552">
        <f t="shared" si="5"/>
        <v>6592.0328184189102</v>
      </c>
      <c r="E78" s="552">
        <f t="shared" si="6"/>
        <v>2841.2392914862075</v>
      </c>
      <c r="G78" s="552">
        <f t="shared" si="7"/>
        <v>1265670.3011364308</v>
      </c>
    </row>
    <row r="79" spans="2:7" x14ac:dyDescent="0.3">
      <c r="B79" s="554">
        <v>70</v>
      </c>
      <c r="C79" s="552">
        <f t="shared" si="4"/>
        <v>9433.2721099051178</v>
      </c>
      <c r="D79" s="552">
        <f t="shared" si="5"/>
        <v>6577.2346971090874</v>
      </c>
      <c r="E79" s="552">
        <f t="shared" si="6"/>
        <v>2856.0374127960304</v>
      </c>
      <c r="G79" s="552">
        <f t="shared" si="7"/>
        <v>1262829.0618449447</v>
      </c>
    </row>
    <row r="80" spans="2:7" x14ac:dyDescent="0.3">
      <c r="B80" s="554">
        <v>71</v>
      </c>
      <c r="C80" s="552">
        <f t="shared" si="4"/>
        <v>9433.2721099051178</v>
      </c>
      <c r="D80" s="552">
        <f t="shared" si="5"/>
        <v>6562.3595022507752</v>
      </c>
      <c r="E80" s="552">
        <f t="shared" si="6"/>
        <v>2870.9126076543425</v>
      </c>
      <c r="G80" s="552">
        <f t="shared" si="7"/>
        <v>1259973.0244321488</v>
      </c>
    </row>
    <row r="81" spans="2:7" x14ac:dyDescent="0.3">
      <c r="B81" s="554">
        <v>72</v>
      </c>
      <c r="C81" s="552">
        <f t="shared" si="4"/>
        <v>9433.2721099051178</v>
      </c>
      <c r="D81" s="552">
        <f t="shared" si="5"/>
        <v>6547.4068324192422</v>
      </c>
      <c r="E81" s="552">
        <f t="shared" si="6"/>
        <v>2885.8652774858756</v>
      </c>
      <c r="G81" s="552">
        <f t="shared" si="7"/>
        <v>1257102.1118244946</v>
      </c>
    </row>
    <row r="82" spans="2:7" x14ac:dyDescent="0.3">
      <c r="B82" s="554">
        <v>73</v>
      </c>
      <c r="C82" s="552">
        <f t="shared" si="4"/>
        <v>9433.2721099051178</v>
      </c>
      <c r="D82" s="552">
        <f t="shared" si="5"/>
        <v>6532.376284099003</v>
      </c>
      <c r="E82" s="552">
        <f t="shared" si="6"/>
        <v>2900.8958258061148</v>
      </c>
      <c r="G82" s="552">
        <f t="shared" si="7"/>
        <v>1254216.2465470086</v>
      </c>
    </row>
    <row r="83" spans="2:7" x14ac:dyDescent="0.3">
      <c r="B83" s="554">
        <v>74</v>
      </c>
      <c r="C83" s="552">
        <f t="shared" si="4"/>
        <v>9433.2721099051178</v>
      </c>
      <c r="D83" s="552">
        <f t="shared" si="5"/>
        <v>6517.2674516729303</v>
      </c>
      <c r="E83" s="552">
        <f t="shared" si="6"/>
        <v>2916.0046582321875</v>
      </c>
      <c r="G83" s="552">
        <f t="shared" si="7"/>
        <v>1251315.3507212026</v>
      </c>
    </row>
    <row r="84" spans="2:7" x14ac:dyDescent="0.3">
      <c r="B84" s="554">
        <v>75</v>
      </c>
      <c r="C84" s="552">
        <f t="shared" si="4"/>
        <v>9433.2721099051178</v>
      </c>
      <c r="D84" s="552">
        <f t="shared" si="5"/>
        <v>6502.0799274113042</v>
      </c>
      <c r="E84" s="552">
        <f t="shared" si="6"/>
        <v>2931.1921824938136</v>
      </c>
      <c r="G84" s="552">
        <f t="shared" si="7"/>
        <v>1248399.3460629703</v>
      </c>
    </row>
    <row r="85" spans="2:7" x14ac:dyDescent="0.3">
      <c r="B85" s="554">
        <v>76</v>
      </c>
      <c r="C85" s="552">
        <f t="shared" si="4"/>
        <v>9433.2721099051178</v>
      </c>
      <c r="D85" s="552">
        <f t="shared" si="5"/>
        <v>6486.8133014608147</v>
      </c>
      <c r="E85" s="552">
        <f t="shared" si="6"/>
        <v>2946.458808444303</v>
      </c>
      <c r="G85" s="552">
        <f t="shared" si="7"/>
        <v>1245468.1538804765</v>
      </c>
    </row>
    <row r="86" spans="2:7" x14ac:dyDescent="0.3">
      <c r="B86" s="554">
        <v>77</v>
      </c>
      <c r="C86" s="552">
        <f t="shared" si="4"/>
        <v>9433.2721099051178</v>
      </c>
      <c r="D86" s="552">
        <f t="shared" si="5"/>
        <v>6471.4671618335015</v>
      </c>
      <c r="E86" s="552">
        <f t="shared" si="6"/>
        <v>2961.8049480716163</v>
      </c>
      <c r="G86" s="552">
        <f t="shared" si="7"/>
        <v>1242521.6950720323</v>
      </c>
    </row>
    <row r="87" spans="2:7" x14ac:dyDescent="0.3">
      <c r="B87" s="554">
        <v>78</v>
      </c>
      <c r="C87" s="552">
        <f t="shared" si="4"/>
        <v>9433.2721099051178</v>
      </c>
      <c r="D87" s="552">
        <f t="shared" si="5"/>
        <v>6456.0410943956276</v>
      </c>
      <c r="E87" s="552">
        <f t="shared" si="6"/>
        <v>2977.2310155094901</v>
      </c>
      <c r="G87" s="552">
        <f t="shared" si="7"/>
        <v>1239559.8901239606</v>
      </c>
    </row>
    <row r="88" spans="2:7" x14ac:dyDescent="0.3">
      <c r="B88" s="554">
        <v>79</v>
      </c>
      <c r="C88" s="552">
        <f t="shared" si="4"/>
        <v>9433.2721099051178</v>
      </c>
      <c r="D88" s="552">
        <f t="shared" si="5"/>
        <v>6440.5346828565162</v>
      </c>
      <c r="E88" s="552">
        <f t="shared" si="6"/>
        <v>2992.7374270486016</v>
      </c>
      <c r="G88" s="552">
        <f t="shared" si="7"/>
        <v>1236582.6591084511</v>
      </c>
    </row>
    <row r="89" spans="2:7" x14ac:dyDescent="0.3">
      <c r="B89" s="554">
        <v>80</v>
      </c>
      <c r="C89" s="552">
        <f t="shared" si="4"/>
        <v>9433.2721099051178</v>
      </c>
      <c r="D89" s="552">
        <f t="shared" si="5"/>
        <v>6424.9475087573046</v>
      </c>
      <c r="E89" s="552">
        <f t="shared" si="6"/>
        <v>3008.3246011478132</v>
      </c>
      <c r="G89" s="552">
        <f t="shared" si="7"/>
        <v>1233589.9216814025</v>
      </c>
    </row>
    <row r="90" spans="2:7" x14ac:dyDescent="0.3">
      <c r="B90" s="554">
        <v>81</v>
      </c>
      <c r="C90" s="552">
        <f t="shared" si="4"/>
        <v>9433.2721099051178</v>
      </c>
      <c r="D90" s="552">
        <f t="shared" si="5"/>
        <v>6409.2791514596602</v>
      </c>
      <c r="E90" s="552">
        <f t="shared" si="6"/>
        <v>3023.9929584454576</v>
      </c>
      <c r="G90" s="552">
        <f t="shared" si="7"/>
        <v>1230581.5970802547</v>
      </c>
    </row>
    <row r="91" spans="2:7" x14ac:dyDescent="0.3">
      <c r="B91" s="554">
        <v>82</v>
      </c>
      <c r="C91" s="552">
        <f t="shared" si="4"/>
        <v>9433.2721099051178</v>
      </c>
      <c r="D91" s="552">
        <f t="shared" si="5"/>
        <v>6393.5291881344228</v>
      </c>
      <c r="E91" s="552">
        <f t="shared" si="6"/>
        <v>3039.7429217706949</v>
      </c>
      <c r="G91" s="552">
        <f t="shared" si="7"/>
        <v>1227557.6041218091</v>
      </c>
    </row>
    <row r="92" spans="2:7" x14ac:dyDescent="0.3">
      <c r="B92" s="554">
        <v>83</v>
      </c>
      <c r="C92" s="552">
        <f t="shared" si="4"/>
        <v>9433.2721099051178</v>
      </c>
      <c r="D92" s="552">
        <f t="shared" si="5"/>
        <v>6377.6971937501994</v>
      </c>
      <c r="E92" s="552">
        <f t="shared" si="6"/>
        <v>3055.5749161549184</v>
      </c>
      <c r="G92" s="552">
        <f t="shared" si="7"/>
        <v>1224517.8612000383</v>
      </c>
    </row>
    <row r="93" spans="2:7" x14ac:dyDescent="0.3">
      <c r="B93" s="554">
        <v>84</v>
      </c>
      <c r="C93" s="552">
        <f t="shared" si="4"/>
        <v>9433.2721099051178</v>
      </c>
      <c r="D93" s="552">
        <f t="shared" si="5"/>
        <v>6361.7827410618929</v>
      </c>
      <c r="E93" s="552">
        <f t="shared" si="6"/>
        <v>3071.4893688432248</v>
      </c>
      <c r="G93" s="552">
        <f t="shared" si="7"/>
        <v>1221462.2862838835</v>
      </c>
    </row>
    <row r="94" spans="2:7" x14ac:dyDescent="0.3">
      <c r="B94" s="554">
        <v>85</v>
      </c>
      <c r="C94" s="552">
        <f t="shared" si="4"/>
        <v>9433.2721099051178</v>
      </c>
      <c r="D94" s="552">
        <f t="shared" si="5"/>
        <v>6345.7854005991685</v>
      </c>
      <c r="E94" s="552">
        <f t="shared" si="6"/>
        <v>3087.4867093059493</v>
      </c>
      <c r="G94" s="552">
        <f t="shared" si="7"/>
        <v>1218390.7969150404</v>
      </c>
    </row>
    <row r="95" spans="2:7" x14ac:dyDescent="0.3">
      <c r="B95" s="554">
        <v>86</v>
      </c>
      <c r="C95" s="552">
        <f t="shared" si="4"/>
        <v>9433.2721099051178</v>
      </c>
      <c r="D95" s="552">
        <f t="shared" si="5"/>
        <v>6329.7047406548663</v>
      </c>
      <c r="E95" s="552">
        <f t="shared" si="6"/>
        <v>3103.5673692502514</v>
      </c>
      <c r="G95" s="552">
        <f t="shared" si="7"/>
        <v>1215303.3102057343</v>
      </c>
    </row>
    <row r="96" spans="2:7" x14ac:dyDescent="0.3">
      <c r="B96" s="554">
        <v>87</v>
      </c>
      <c r="C96" s="552">
        <f t="shared" si="4"/>
        <v>9433.2721099051178</v>
      </c>
      <c r="D96" s="552">
        <f t="shared" si="5"/>
        <v>6313.5403272733538</v>
      </c>
      <c r="E96" s="552">
        <f t="shared" si="6"/>
        <v>3119.731782631764</v>
      </c>
      <c r="G96" s="552">
        <f t="shared" si="7"/>
        <v>1212199.742836484</v>
      </c>
    </row>
    <row r="97" spans="2:7" x14ac:dyDescent="0.3">
      <c r="B97" s="554">
        <v>88</v>
      </c>
      <c r="C97" s="552">
        <f t="shared" si="4"/>
        <v>9433.2721099051178</v>
      </c>
      <c r="D97" s="552">
        <f t="shared" si="5"/>
        <v>6297.2917242388139</v>
      </c>
      <c r="E97" s="552">
        <f t="shared" si="6"/>
        <v>3135.9803856663038</v>
      </c>
      <c r="G97" s="552">
        <f t="shared" si="7"/>
        <v>1209080.0110538523</v>
      </c>
    </row>
    <row r="98" spans="2:7" x14ac:dyDescent="0.3">
      <c r="B98" s="554">
        <v>89</v>
      </c>
      <c r="C98" s="552">
        <f t="shared" si="4"/>
        <v>9433.2721099051178</v>
      </c>
      <c r="D98" s="552">
        <f t="shared" si="5"/>
        <v>6280.9584930634692</v>
      </c>
      <c r="E98" s="552">
        <f t="shared" si="6"/>
        <v>3152.3136168416486</v>
      </c>
      <c r="G98" s="552">
        <f t="shared" si="7"/>
        <v>1205944.030668186</v>
      </c>
    </row>
    <row r="99" spans="2:7" x14ac:dyDescent="0.3">
      <c r="B99" s="554">
        <v>90</v>
      </c>
      <c r="C99" s="552">
        <f t="shared" si="4"/>
        <v>9433.2721099051178</v>
      </c>
      <c r="D99" s="552">
        <f t="shared" si="5"/>
        <v>6264.5401929757527</v>
      </c>
      <c r="E99" s="552">
        <f t="shared" si="6"/>
        <v>3168.7319169293651</v>
      </c>
      <c r="G99" s="552">
        <f t="shared" si="7"/>
        <v>1202791.7170513445</v>
      </c>
    </row>
    <row r="100" spans="2:7" x14ac:dyDescent="0.3">
      <c r="B100" s="554">
        <v>91</v>
      </c>
      <c r="C100" s="552">
        <f t="shared" si="4"/>
        <v>9433.2721099051178</v>
      </c>
      <c r="D100" s="552">
        <f t="shared" si="5"/>
        <v>6248.036380908412</v>
      </c>
      <c r="E100" s="552">
        <f t="shared" si="6"/>
        <v>3185.2357289967058</v>
      </c>
      <c r="G100" s="552">
        <f t="shared" si="7"/>
        <v>1199622.9851344151</v>
      </c>
    </row>
    <row r="101" spans="2:7" x14ac:dyDescent="0.3">
      <c r="B101" s="554">
        <v>92</v>
      </c>
      <c r="C101" s="552">
        <f t="shared" si="4"/>
        <v>9433.2721099051178</v>
      </c>
      <c r="D101" s="552">
        <f t="shared" si="5"/>
        <v>6231.4466114865536</v>
      </c>
      <c r="E101" s="552">
        <f t="shared" si="6"/>
        <v>3201.8254984185642</v>
      </c>
      <c r="G101" s="552">
        <f t="shared" si="7"/>
        <v>1196437.7494054183</v>
      </c>
    </row>
    <row r="102" spans="2:7" x14ac:dyDescent="0.3">
      <c r="B102" s="554">
        <v>93</v>
      </c>
      <c r="C102" s="552">
        <f t="shared" si="4"/>
        <v>9433.2721099051178</v>
      </c>
      <c r="D102" s="552">
        <f t="shared" si="5"/>
        <v>6214.7704370156234</v>
      </c>
      <c r="E102" s="552">
        <f t="shared" si="6"/>
        <v>3218.5016728894943</v>
      </c>
      <c r="G102" s="552">
        <f t="shared" si="7"/>
        <v>1193235.9239069996</v>
      </c>
    </row>
    <row r="103" spans="2:7" x14ac:dyDescent="0.3">
      <c r="B103" s="554">
        <v>94</v>
      </c>
      <c r="C103" s="552">
        <f t="shared" si="4"/>
        <v>9433.2721099051178</v>
      </c>
      <c r="D103" s="552">
        <f t="shared" si="5"/>
        <v>6198.007407469323</v>
      </c>
      <c r="E103" s="552">
        <f t="shared" si="6"/>
        <v>3235.2647024357948</v>
      </c>
      <c r="G103" s="552">
        <f t="shared" si="7"/>
        <v>1190017.4222341101</v>
      </c>
    </row>
    <row r="104" spans="2:7" x14ac:dyDescent="0.3">
      <c r="B104" s="554">
        <v>95</v>
      </c>
      <c r="C104" s="552">
        <f t="shared" si="4"/>
        <v>9433.2721099051178</v>
      </c>
      <c r="D104" s="552">
        <f t="shared" si="5"/>
        <v>6181.1570704774704</v>
      </c>
      <c r="E104" s="552">
        <f t="shared" si="6"/>
        <v>3252.1150394276474</v>
      </c>
      <c r="G104" s="552">
        <f t="shared" si="7"/>
        <v>1186782.1575316743</v>
      </c>
    </row>
    <row r="105" spans="2:7" x14ac:dyDescent="0.3">
      <c r="B105" s="554">
        <v>96</v>
      </c>
      <c r="C105" s="552">
        <f t="shared" si="4"/>
        <v>9433.2721099051178</v>
      </c>
      <c r="D105" s="552">
        <f t="shared" si="5"/>
        <v>6164.218971313785</v>
      </c>
      <c r="E105" s="552">
        <f t="shared" si="6"/>
        <v>3269.0531385913328</v>
      </c>
      <c r="G105" s="552">
        <f t="shared" si="7"/>
        <v>1183530.0424922467</v>
      </c>
    </row>
    <row r="106" spans="2:7" x14ac:dyDescent="0.3">
      <c r="B106" s="554">
        <v>97</v>
      </c>
      <c r="C106" s="552">
        <f t="shared" si="4"/>
        <v>9433.2721099051178</v>
      </c>
      <c r="D106" s="552">
        <f t="shared" si="5"/>
        <v>6147.192652883622</v>
      </c>
      <c r="E106" s="552">
        <f t="shared" si="6"/>
        <v>3286.0794570214957</v>
      </c>
      <c r="G106" s="552">
        <f t="shared" si="7"/>
        <v>1180260.9893536554</v>
      </c>
    </row>
    <row r="107" spans="2:7" x14ac:dyDescent="0.3">
      <c r="B107" s="554">
        <v>98</v>
      </c>
      <c r="C107" s="552">
        <f t="shared" si="4"/>
        <v>9433.2721099051178</v>
      </c>
      <c r="D107" s="552">
        <f t="shared" si="5"/>
        <v>6130.0776557116342</v>
      </c>
      <c r="E107" s="552">
        <f t="shared" si="6"/>
        <v>3303.1944541934836</v>
      </c>
      <c r="G107" s="552">
        <f t="shared" si="7"/>
        <v>1176974.9098966338</v>
      </c>
    </row>
    <row r="108" spans="2:7" x14ac:dyDescent="0.3">
      <c r="B108" s="554">
        <v>99</v>
      </c>
      <c r="C108" s="552">
        <f t="shared" si="4"/>
        <v>9433.2721099051178</v>
      </c>
      <c r="D108" s="552">
        <f t="shared" si="5"/>
        <v>6112.8735179293762</v>
      </c>
      <c r="E108" s="552">
        <f t="shared" si="6"/>
        <v>3320.3985919757415</v>
      </c>
      <c r="G108" s="552">
        <f t="shared" si="7"/>
        <v>1173671.7154424402</v>
      </c>
    </row>
    <row r="109" spans="2:7" x14ac:dyDescent="0.3">
      <c r="B109" s="554">
        <v>100</v>
      </c>
      <c r="C109" s="552">
        <f t="shared" si="4"/>
        <v>9433.2721099051178</v>
      </c>
      <c r="D109" s="552">
        <f t="shared" si="5"/>
        <v>6095.5797752628359</v>
      </c>
      <c r="E109" s="552">
        <f t="shared" si="6"/>
        <v>3337.6923346422818</v>
      </c>
      <c r="G109" s="552">
        <f t="shared" si="7"/>
        <v>1170351.3168504646</v>
      </c>
    </row>
    <row r="110" spans="2:7" x14ac:dyDescent="0.3">
      <c r="B110" s="554">
        <v>101</v>
      </c>
      <c r="C110" s="552">
        <f t="shared" si="4"/>
        <v>9433.2721099051178</v>
      </c>
      <c r="D110" s="552">
        <f t="shared" si="5"/>
        <v>6078.1959610199083</v>
      </c>
      <c r="E110" s="552">
        <f t="shared" si="6"/>
        <v>3355.0761488852095</v>
      </c>
      <c r="G110" s="552">
        <f t="shared" si="7"/>
        <v>1167013.6245158224</v>
      </c>
    </row>
    <row r="111" spans="2:7" x14ac:dyDescent="0.3">
      <c r="B111" s="554">
        <v>102</v>
      </c>
      <c r="C111" s="552">
        <f t="shared" si="4"/>
        <v>9433.2721099051178</v>
      </c>
      <c r="D111" s="552">
        <f t="shared" si="5"/>
        <v>6060.7216060777973</v>
      </c>
      <c r="E111" s="552">
        <f t="shared" si="6"/>
        <v>3372.5505038273204</v>
      </c>
      <c r="G111" s="552">
        <f t="shared" si="7"/>
        <v>1163658.5483669371</v>
      </c>
    </row>
    <row r="112" spans="2:7" x14ac:dyDescent="0.3">
      <c r="B112" s="554">
        <v>103</v>
      </c>
      <c r="C112" s="552">
        <f t="shared" si="4"/>
        <v>9433.2721099051178</v>
      </c>
      <c r="D112" s="552">
        <f t="shared" si="5"/>
        <v>6043.1562388703633</v>
      </c>
      <c r="E112" s="552">
        <f t="shared" si="6"/>
        <v>3390.1158710347545</v>
      </c>
      <c r="G112" s="552">
        <f t="shared" si="7"/>
        <v>1160285.9978631097</v>
      </c>
    </row>
    <row r="113" spans="2:7" x14ac:dyDescent="0.3">
      <c r="B113" s="554">
        <v>104</v>
      </c>
      <c r="C113" s="552">
        <f t="shared" si="4"/>
        <v>9433.2721099051178</v>
      </c>
      <c r="D113" s="552">
        <f t="shared" si="5"/>
        <v>6025.4993853753904</v>
      </c>
      <c r="E113" s="552">
        <f t="shared" si="6"/>
        <v>3407.7727245297274</v>
      </c>
      <c r="G113" s="552">
        <f t="shared" si="7"/>
        <v>1156895.8819920749</v>
      </c>
    </row>
    <row r="114" spans="2:7" x14ac:dyDescent="0.3">
      <c r="B114" s="554">
        <v>105</v>
      </c>
      <c r="C114" s="552">
        <f t="shared" si="4"/>
        <v>9433.2721099051178</v>
      </c>
      <c r="D114" s="552">
        <f t="shared" si="5"/>
        <v>6007.7505691017977</v>
      </c>
      <c r="E114" s="552">
        <f t="shared" si="6"/>
        <v>3425.52154080332</v>
      </c>
      <c r="G114" s="552">
        <f t="shared" si="7"/>
        <v>1153488.1092675452</v>
      </c>
    </row>
    <row r="115" spans="2:7" x14ac:dyDescent="0.3">
      <c r="B115" s="554">
        <v>106</v>
      </c>
      <c r="C115" s="552">
        <f t="shared" si="4"/>
        <v>9433.2721099051178</v>
      </c>
      <c r="D115" s="552">
        <f t="shared" si="5"/>
        <v>5989.9093110767799</v>
      </c>
      <c r="E115" s="552">
        <f t="shared" si="6"/>
        <v>3443.3627988283379</v>
      </c>
      <c r="G115" s="552">
        <f t="shared" si="7"/>
        <v>1150062.5877267418</v>
      </c>
    </row>
    <row r="116" spans="2:7" x14ac:dyDescent="0.3">
      <c r="B116" s="554">
        <v>107</v>
      </c>
      <c r="C116" s="552">
        <f t="shared" si="4"/>
        <v>9433.2721099051178</v>
      </c>
      <c r="D116" s="552">
        <f t="shared" si="5"/>
        <v>5971.975129832882</v>
      </c>
      <c r="E116" s="552">
        <f t="shared" si="6"/>
        <v>3461.2969800722358</v>
      </c>
      <c r="G116" s="552">
        <f t="shared" si="7"/>
        <v>1146619.2249279134</v>
      </c>
    </row>
    <row r="117" spans="2:7" x14ac:dyDescent="0.3">
      <c r="B117" s="554">
        <v>108</v>
      </c>
      <c r="C117" s="552">
        <f t="shared" si="4"/>
        <v>9433.2721099051178</v>
      </c>
      <c r="D117" s="552">
        <f t="shared" si="5"/>
        <v>5953.9475413950058</v>
      </c>
      <c r="E117" s="552">
        <f t="shared" si="6"/>
        <v>3479.3245685101119</v>
      </c>
      <c r="G117" s="552">
        <f t="shared" si="7"/>
        <v>1143157.9279478411</v>
      </c>
    </row>
    <row r="118" spans="2:7" x14ac:dyDescent="0.3">
      <c r="B118" s="554">
        <v>109</v>
      </c>
      <c r="C118" s="552">
        <f t="shared" si="4"/>
        <v>9433.2721099051178</v>
      </c>
      <c r="D118" s="552">
        <f t="shared" si="5"/>
        <v>5935.8260592673496</v>
      </c>
      <c r="E118" s="552">
        <f t="shared" si="6"/>
        <v>3497.4460506377682</v>
      </c>
      <c r="G118" s="552">
        <f t="shared" si="7"/>
        <v>1139678.6033793311</v>
      </c>
    </row>
    <row r="119" spans="2:7" x14ac:dyDescent="0.3">
      <c r="B119" s="554">
        <v>110</v>
      </c>
      <c r="C119" s="552">
        <f t="shared" si="4"/>
        <v>9433.2721099051178</v>
      </c>
      <c r="D119" s="552">
        <f t="shared" si="5"/>
        <v>5917.6101944202774</v>
      </c>
      <c r="E119" s="552">
        <f t="shared" si="6"/>
        <v>3515.6619154848404</v>
      </c>
      <c r="G119" s="552">
        <f t="shared" si="7"/>
        <v>1136181.1573286932</v>
      </c>
    </row>
    <row r="120" spans="2:7" x14ac:dyDescent="0.3">
      <c r="B120" s="554">
        <v>111</v>
      </c>
      <c r="C120" s="552">
        <f t="shared" si="4"/>
        <v>9433.2721099051178</v>
      </c>
      <c r="D120" s="552">
        <f t="shared" si="5"/>
        <v>5899.299455277127</v>
      </c>
      <c r="E120" s="552">
        <f t="shared" si="6"/>
        <v>3533.9726546279908</v>
      </c>
      <c r="G120" s="552">
        <f t="shared" si="7"/>
        <v>1132665.4954132084</v>
      </c>
    </row>
    <row r="121" spans="2:7" x14ac:dyDescent="0.3">
      <c r="B121" s="554">
        <v>112</v>
      </c>
      <c r="C121" s="552">
        <f t="shared" si="4"/>
        <v>9433.2721099051178</v>
      </c>
      <c r="D121" s="552">
        <f t="shared" si="5"/>
        <v>5880.8933477009386</v>
      </c>
      <c r="E121" s="552">
        <f t="shared" si="6"/>
        <v>3552.3787622041791</v>
      </c>
      <c r="G121" s="552">
        <f t="shared" si="7"/>
        <v>1129131.5227585803</v>
      </c>
    </row>
    <row r="122" spans="2:7" x14ac:dyDescent="0.3">
      <c r="B122" s="554">
        <v>113</v>
      </c>
      <c r="C122" s="552">
        <f t="shared" si="4"/>
        <v>9433.2721099051178</v>
      </c>
      <c r="D122" s="552">
        <f t="shared" si="5"/>
        <v>5862.3913749811254</v>
      </c>
      <c r="E122" s="552">
        <f t="shared" si="6"/>
        <v>3570.8807349239923</v>
      </c>
      <c r="G122" s="552">
        <f t="shared" si="7"/>
        <v>1125579.1439963761</v>
      </c>
    </row>
    <row r="123" spans="2:7" x14ac:dyDescent="0.3">
      <c r="B123" s="554">
        <v>114</v>
      </c>
      <c r="C123" s="552">
        <f t="shared" si="4"/>
        <v>9433.2721099051178</v>
      </c>
      <c r="D123" s="552">
        <f t="shared" si="5"/>
        <v>5843.7930378200626</v>
      </c>
      <c r="E123" s="552">
        <f t="shared" si="6"/>
        <v>3589.4790720850551</v>
      </c>
      <c r="G123" s="552">
        <f t="shared" si="7"/>
        <v>1122008.2632614521</v>
      </c>
    </row>
    <row r="124" spans="2:7" x14ac:dyDescent="0.3">
      <c r="B124" s="554">
        <v>115</v>
      </c>
      <c r="C124" s="552">
        <f t="shared" si="4"/>
        <v>9433.2721099051178</v>
      </c>
      <c r="D124" s="552">
        <f t="shared" si="5"/>
        <v>5825.0978343196193</v>
      </c>
      <c r="E124" s="552">
        <f t="shared" si="6"/>
        <v>3608.1742755854984</v>
      </c>
      <c r="G124" s="552">
        <f t="shared" si="7"/>
        <v>1118418.784189367</v>
      </c>
    </row>
    <row r="125" spans="2:7" x14ac:dyDescent="0.3">
      <c r="B125" s="554">
        <v>116</v>
      </c>
      <c r="C125" s="552">
        <f t="shared" si="4"/>
        <v>9433.2721099051178</v>
      </c>
      <c r="D125" s="552">
        <f t="shared" si="5"/>
        <v>5806.3052599676121</v>
      </c>
      <c r="E125" s="552">
        <f t="shared" si="6"/>
        <v>3626.9668499375057</v>
      </c>
      <c r="G125" s="552">
        <f t="shared" si="7"/>
        <v>1114810.6099137815</v>
      </c>
    </row>
    <row r="126" spans="2:7" x14ac:dyDescent="0.3">
      <c r="B126" s="554">
        <v>117</v>
      </c>
      <c r="C126" s="552">
        <f t="shared" si="4"/>
        <v>9433.2721099051178</v>
      </c>
      <c r="D126" s="552">
        <f t="shared" si="5"/>
        <v>5787.4148076241872</v>
      </c>
      <c r="E126" s="552">
        <f t="shared" si="6"/>
        <v>3645.8573022809305</v>
      </c>
      <c r="G126" s="552">
        <f t="shared" si="7"/>
        <v>1111183.6430638439</v>
      </c>
    </row>
    <row r="127" spans="2:7" x14ac:dyDescent="0.3">
      <c r="B127" s="554">
        <v>118</v>
      </c>
      <c r="C127" s="552">
        <f t="shared" si="4"/>
        <v>9433.2721099051178</v>
      </c>
      <c r="D127" s="552">
        <f t="shared" si="5"/>
        <v>5768.4259675081412</v>
      </c>
      <c r="E127" s="552">
        <f t="shared" si="6"/>
        <v>3664.8461423969766</v>
      </c>
      <c r="G127" s="552">
        <f t="shared" si="7"/>
        <v>1107537.7857615631</v>
      </c>
    </row>
    <row r="128" spans="2:7" x14ac:dyDescent="0.3">
      <c r="B128" s="554">
        <v>119</v>
      </c>
      <c r="C128" s="552">
        <f t="shared" si="4"/>
        <v>9433.2721099051178</v>
      </c>
      <c r="D128" s="552">
        <f t="shared" si="5"/>
        <v>5749.338227183157</v>
      </c>
      <c r="E128" s="552">
        <f t="shared" si="6"/>
        <v>3683.9338827219608</v>
      </c>
      <c r="G128" s="552">
        <f t="shared" si="7"/>
        <v>1103872.9396191661</v>
      </c>
    </row>
    <row r="129" spans="2:7" x14ac:dyDescent="0.3">
      <c r="B129" s="554">
        <v>120</v>
      </c>
      <c r="C129" s="552">
        <f t="shared" si="4"/>
        <v>9433.2721099051178</v>
      </c>
      <c r="D129" s="552">
        <f t="shared" si="5"/>
        <v>5730.1510715439799</v>
      </c>
      <c r="E129" s="552">
        <f t="shared" si="6"/>
        <v>3703.1210383611378</v>
      </c>
      <c r="G129" s="552">
        <f t="shared" si="7"/>
        <v>1100189.0057364441</v>
      </c>
    </row>
    <row r="130" spans="2:7" x14ac:dyDescent="0.3">
      <c r="B130" s="554">
        <v>121</v>
      </c>
      <c r="C130" s="552">
        <f t="shared" si="4"/>
        <v>9433.2721099051178</v>
      </c>
      <c r="D130" s="552">
        <f t="shared" si="5"/>
        <v>5710.8639828025152</v>
      </c>
      <c r="E130" s="552">
        <f t="shared" si="6"/>
        <v>3722.4081271026025</v>
      </c>
      <c r="G130" s="552">
        <f t="shared" si="7"/>
        <v>1096485.8846980829</v>
      </c>
    </row>
    <row r="131" spans="2:7" x14ac:dyDescent="0.3">
      <c r="B131" s="554">
        <v>122</v>
      </c>
      <c r="C131" s="552">
        <f t="shared" si="4"/>
        <v>9433.2721099051178</v>
      </c>
      <c r="D131" s="552">
        <f t="shared" si="5"/>
        <v>5691.4764404738562</v>
      </c>
      <c r="E131" s="552">
        <f t="shared" si="6"/>
        <v>3741.7956694312616</v>
      </c>
      <c r="G131" s="552">
        <f t="shared" si="7"/>
        <v>1092763.4765709804</v>
      </c>
    </row>
    <row r="132" spans="2:7" x14ac:dyDescent="0.3">
      <c r="B132" s="554">
        <v>123</v>
      </c>
      <c r="C132" s="552">
        <f t="shared" si="4"/>
        <v>9433.2721099051178</v>
      </c>
      <c r="D132" s="552">
        <f t="shared" si="5"/>
        <v>5671.9879213622344</v>
      </c>
      <c r="E132" s="552">
        <f t="shared" si="6"/>
        <v>3761.2841885428834</v>
      </c>
      <c r="G132" s="552">
        <f t="shared" si="7"/>
        <v>1089021.6809015491</v>
      </c>
    </row>
    <row r="133" spans="2:7" x14ac:dyDescent="0.3">
      <c r="B133" s="554">
        <v>124</v>
      </c>
      <c r="C133" s="552">
        <f t="shared" si="4"/>
        <v>9433.2721099051178</v>
      </c>
      <c r="D133" s="552">
        <f t="shared" si="5"/>
        <v>5652.397899546907</v>
      </c>
      <c r="E133" s="552">
        <f t="shared" si="6"/>
        <v>3780.8742103582108</v>
      </c>
      <c r="G133" s="552">
        <f t="shared" si="7"/>
        <v>1085260.3967130061</v>
      </c>
    </row>
    <row r="134" spans="2:7" x14ac:dyDescent="0.3">
      <c r="B134" s="554">
        <v>125</v>
      </c>
      <c r="C134" s="552">
        <f t="shared" si="4"/>
        <v>9433.2721099051178</v>
      </c>
      <c r="D134" s="552">
        <f t="shared" si="5"/>
        <v>5632.7058463679577</v>
      </c>
      <c r="E134" s="552">
        <f t="shared" si="6"/>
        <v>3800.56626353716</v>
      </c>
      <c r="G134" s="552">
        <f t="shared" si="7"/>
        <v>1081479.5225026479</v>
      </c>
    </row>
    <row r="135" spans="2:7" x14ac:dyDescent="0.3">
      <c r="B135" s="554">
        <v>126</v>
      </c>
      <c r="C135" s="552">
        <f t="shared" si="4"/>
        <v>9433.2721099051178</v>
      </c>
      <c r="D135" s="552">
        <f t="shared" si="5"/>
        <v>5612.9112304120354</v>
      </c>
      <c r="E135" s="552">
        <f t="shared" si="6"/>
        <v>3820.3608794930824</v>
      </c>
      <c r="G135" s="552">
        <f t="shared" si="7"/>
        <v>1077678.9562391108</v>
      </c>
    </row>
    <row r="136" spans="2:7" x14ac:dyDescent="0.3">
      <c r="B136" s="554">
        <v>127</v>
      </c>
      <c r="C136" s="552">
        <f t="shared" si="4"/>
        <v>9433.2721099051178</v>
      </c>
      <c r="D136" s="552">
        <f t="shared" si="5"/>
        <v>5593.0135174980087</v>
      </c>
      <c r="E136" s="552">
        <f t="shared" si="6"/>
        <v>3840.2585924071091</v>
      </c>
      <c r="G136" s="552">
        <f t="shared" si="7"/>
        <v>1073858.5953596176</v>
      </c>
    </row>
    <row r="137" spans="2:7" x14ac:dyDescent="0.3">
      <c r="B137" s="554">
        <v>128</v>
      </c>
      <c r="C137" s="552">
        <f t="shared" si="4"/>
        <v>9433.2721099051178</v>
      </c>
      <c r="D137" s="552">
        <f t="shared" si="5"/>
        <v>5573.0121706625541</v>
      </c>
      <c r="E137" s="552">
        <f t="shared" si="6"/>
        <v>3860.2599392425636</v>
      </c>
      <c r="G137" s="552">
        <f t="shared" si="7"/>
        <v>1070018.3367672104</v>
      </c>
    </row>
    <row r="138" spans="2:7" x14ac:dyDescent="0.3">
      <c r="B138" s="554">
        <v>129</v>
      </c>
      <c r="C138" s="552">
        <f t="shared" ref="C138:C201" si="8">IF($C$3&lt;G138+(G138*($C$4/$C$6)),$C$3,G138+(G138*($C$4/$C$6)))</f>
        <v>9433.2721099051178</v>
      </c>
      <c r="D138" s="552">
        <f t="shared" ref="D138:D201" si="9">G138*$C$4/$C$6</f>
        <v>5552.9066501456655</v>
      </c>
      <c r="E138" s="552">
        <f t="shared" ref="E138:E201" si="10">C138-D138</f>
        <v>3880.3654597594523</v>
      </c>
      <c r="G138" s="552">
        <f t="shared" si="7"/>
        <v>1066158.0768279678</v>
      </c>
    </row>
    <row r="139" spans="2:7" x14ac:dyDescent="0.3">
      <c r="B139" s="554">
        <v>130</v>
      </c>
      <c r="C139" s="552">
        <f t="shared" si="8"/>
        <v>9433.2721099051178</v>
      </c>
      <c r="D139" s="552">
        <f t="shared" si="9"/>
        <v>5532.6964133760848</v>
      </c>
      <c r="E139" s="552">
        <f t="shared" si="10"/>
        <v>3900.5756965290329</v>
      </c>
      <c r="G139" s="552">
        <f t="shared" ref="G139:G202" si="11">G138-E138-F138</f>
        <v>1062277.7113682083</v>
      </c>
    </row>
    <row r="140" spans="2:7" x14ac:dyDescent="0.3">
      <c r="B140" s="554">
        <v>131</v>
      </c>
      <c r="C140" s="552">
        <f t="shared" si="8"/>
        <v>9433.2721099051178</v>
      </c>
      <c r="D140" s="552">
        <f t="shared" si="9"/>
        <v>5512.3809149566623</v>
      </c>
      <c r="E140" s="552">
        <f t="shared" si="10"/>
        <v>3920.8911949484554</v>
      </c>
      <c r="G140" s="552">
        <f t="shared" si="11"/>
        <v>1058377.1356716792</v>
      </c>
    </row>
    <row r="141" spans="2:7" x14ac:dyDescent="0.3">
      <c r="B141" s="554">
        <v>132</v>
      </c>
      <c r="C141" s="552">
        <f t="shared" si="8"/>
        <v>9433.2721099051178</v>
      </c>
      <c r="D141" s="552">
        <f t="shared" si="9"/>
        <v>5491.9596066496388</v>
      </c>
      <c r="E141" s="552">
        <f t="shared" si="10"/>
        <v>3941.312503255479</v>
      </c>
      <c r="G141" s="552">
        <f t="shared" si="11"/>
        <v>1054456.2444767307</v>
      </c>
    </row>
    <row r="142" spans="2:7" x14ac:dyDescent="0.3">
      <c r="B142" s="554">
        <v>133</v>
      </c>
      <c r="C142" s="552">
        <f t="shared" si="8"/>
        <v>9433.2721099051178</v>
      </c>
      <c r="D142" s="552">
        <f t="shared" si="9"/>
        <v>5471.43193736185</v>
      </c>
      <c r="E142" s="552">
        <f t="shared" si="10"/>
        <v>3961.8401725432677</v>
      </c>
      <c r="G142" s="552">
        <f t="shared" si="11"/>
        <v>1050514.9319734753</v>
      </c>
    </row>
    <row r="143" spans="2:7" x14ac:dyDescent="0.3">
      <c r="B143" s="554">
        <v>134</v>
      </c>
      <c r="C143" s="552">
        <f t="shared" si="8"/>
        <v>9433.2721099051178</v>
      </c>
      <c r="D143" s="552">
        <f t="shared" si="9"/>
        <v>5450.7973531298539</v>
      </c>
      <c r="E143" s="552">
        <f t="shared" si="10"/>
        <v>3982.4747567752638</v>
      </c>
      <c r="G143" s="552">
        <f t="shared" si="11"/>
        <v>1046553.091800932</v>
      </c>
    </row>
    <row r="144" spans="2:7" x14ac:dyDescent="0.3">
      <c r="B144" s="554">
        <v>135</v>
      </c>
      <c r="C144" s="552">
        <f t="shared" si="8"/>
        <v>9433.2721099051178</v>
      </c>
      <c r="D144" s="552">
        <f t="shared" si="9"/>
        <v>5430.0552971049829</v>
      </c>
      <c r="E144" s="552">
        <f t="shared" si="10"/>
        <v>4003.2168128001349</v>
      </c>
      <c r="G144" s="552">
        <f t="shared" si="11"/>
        <v>1042570.6170441567</v>
      </c>
    </row>
    <row r="145" spans="2:7" x14ac:dyDescent="0.3">
      <c r="B145" s="554">
        <v>136</v>
      </c>
      <c r="C145" s="552">
        <f t="shared" si="8"/>
        <v>9433.2721099051178</v>
      </c>
      <c r="D145" s="552">
        <f t="shared" si="9"/>
        <v>5409.2052095383151</v>
      </c>
      <c r="E145" s="552">
        <f t="shared" si="10"/>
        <v>4024.0669003668027</v>
      </c>
      <c r="G145" s="552">
        <f t="shared" si="11"/>
        <v>1038567.4002313565</v>
      </c>
    </row>
    <row r="146" spans="2:7" x14ac:dyDescent="0.3">
      <c r="B146" s="554">
        <v>137</v>
      </c>
      <c r="C146" s="552">
        <f t="shared" si="8"/>
        <v>9433.2721099051178</v>
      </c>
      <c r="D146" s="552">
        <f t="shared" si="9"/>
        <v>5388.246527765571</v>
      </c>
      <c r="E146" s="552">
        <f t="shared" si="10"/>
        <v>4045.0255821395467</v>
      </c>
      <c r="G146" s="552">
        <f t="shared" si="11"/>
        <v>1034543.3333309897</v>
      </c>
    </row>
    <row r="147" spans="2:7" x14ac:dyDescent="0.3">
      <c r="B147" s="554">
        <v>138</v>
      </c>
      <c r="C147" s="552">
        <f t="shared" si="8"/>
        <v>9433.2721099051178</v>
      </c>
      <c r="D147" s="552">
        <f t="shared" si="9"/>
        <v>5367.1786861919281</v>
      </c>
      <c r="E147" s="552">
        <f t="shared" si="10"/>
        <v>4066.0934237131896</v>
      </c>
      <c r="G147" s="552">
        <f t="shared" si="11"/>
        <v>1030498.3077488502</v>
      </c>
    </row>
    <row r="148" spans="2:7" x14ac:dyDescent="0.3">
      <c r="B148" s="554">
        <v>139</v>
      </c>
      <c r="C148" s="552">
        <f t="shared" si="8"/>
        <v>9433.2721099051178</v>
      </c>
      <c r="D148" s="552">
        <f t="shared" si="9"/>
        <v>5346.0011162767551</v>
      </c>
      <c r="E148" s="552">
        <f t="shared" si="10"/>
        <v>4087.2709936283627</v>
      </c>
      <c r="G148" s="552">
        <f t="shared" si="11"/>
        <v>1026432.214325137</v>
      </c>
    </row>
    <row r="149" spans="2:7" x14ac:dyDescent="0.3">
      <c r="B149" s="554">
        <v>140</v>
      </c>
      <c r="C149" s="552">
        <f t="shared" si="8"/>
        <v>9433.2721099051178</v>
      </c>
      <c r="D149" s="552">
        <f t="shared" si="9"/>
        <v>5324.713246518274</v>
      </c>
      <c r="E149" s="552">
        <f t="shared" si="10"/>
        <v>4108.5588633868438</v>
      </c>
      <c r="G149" s="552">
        <f t="shared" si="11"/>
        <v>1022344.9433315087</v>
      </c>
    </row>
    <row r="150" spans="2:7" x14ac:dyDescent="0.3">
      <c r="B150" s="554">
        <v>141</v>
      </c>
      <c r="C150" s="552">
        <f t="shared" si="8"/>
        <v>9433.2721099051178</v>
      </c>
      <c r="D150" s="552">
        <f t="shared" si="9"/>
        <v>5303.3145024381347</v>
      </c>
      <c r="E150" s="552">
        <f t="shared" si="10"/>
        <v>4129.9576074669831</v>
      </c>
      <c r="G150" s="552">
        <f t="shared" si="11"/>
        <v>1018236.3844681218</v>
      </c>
    </row>
    <row r="151" spans="2:7" x14ac:dyDescent="0.3">
      <c r="B151" s="554">
        <v>142</v>
      </c>
      <c r="C151" s="552">
        <f t="shared" si="8"/>
        <v>9433.2721099051178</v>
      </c>
      <c r="D151" s="552">
        <f t="shared" si="9"/>
        <v>5281.8043065659103</v>
      </c>
      <c r="E151" s="552">
        <f t="shared" si="10"/>
        <v>4151.4678033392074</v>
      </c>
      <c r="G151" s="552">
        <f t="shared" si="11"/>
        <v>1014106.4268606548</v>
      </c>
    </row>
    <row r="152" spans="2:7" x14ac:dyDescent="0.3">
      <c r="B152" s="554">
        <v>143</v>
      </c>
      <c r="C152" s="552">
        <f t="shared" si="8"/>
        <v>9433.2721099051178</v>
      </c>
      <c r="D152" s="552">
        <f t="shared" si="9"/>
        <v>5260.1820784235188</v>
      </c>
      <c r="E152" s="552">
        <f t="shared" si="10"/>
        <v>4173.090031481599</v>
      </c>
      <c r="G152" s="552">
        <f t="shared" si="11"/>
        <v>1009954.9590573156</v>
      </c>
    </row>
    <row r="153" spans="2:7" x14ac:dyDescent="0.3">
      <c r="B153" s="554">
        <v>144</v>
      </c>
      <c r="C153" s="552">
        <f t="shared" si="8"/>
        <v>9433.2721099051178</v>
      </c>
      <c r="D153" s="552">
        <f t="shared" si="9"/>
        <v>5238.4472345095519</v>
      </c>
      <c r="E153" s="552">
        <f t="shared" si="10"/>
        <v>4194.8248753955659</v>
      </c>
      <c r="G153" s="552">
        <f t="shared" si="11"/>
        <v>1005781.869025834</v>
      </c>
    </row>
    <row r="154" spans="2:7" x14ac:dyDescent="0.3">
      <c r="B154" s="554">
        <v>145</v>
      </c>
      <c r="C154" s="552">
        <f t="shared" si="8"/>
        <v>9433.2721099051178</v>
      </c>
      <c r="D154" s="552">
        <f t="shared" si="9"/>
        <v>5216.5991882835342</v>
      </c>
      <c r="E154" s="552">
        <f t="shared" si="10"/>
        <v>4216.6729216215836</v>
      </c>
      <c r="G154" s="552">
        <f t="shared" si="11"/>
        <v>1001587.0441504385</v>
      </c>
    </row>
    <row r="155" spans="2:7" x14ac:dyDescent="0.3">
      <c r="B155" s="554">
        <v>146</v>
      </c>
      <c r="C155" s="552">
        <f t="shared" si="8"/>
        <v>9433.2721099051178</v>
      </c>
      <c r="D155" s="552">
        <f t="shared" si="9"/>
        <v>5194.6373501500884</v>
      </c>
      <c r="E155" s="552">
        <f t="shared" si="10"/>
        <v>4238.6347597550293</v>
      </c>
      <c r="G155" s="552">
        <f t="shared" si="11"/>
        <v>997370.37122881692</v>
      </c>
    </row>
    <row r="156" spans="2:7" x14ac:dyDescent="0.3">
      <c r="B156" s="554">
        <v>147</v>
      </c>
      <c r="C156" s="552">
        <f t="shared" si="8"/>
        <v>9433.2721099051178</v>
      </c>
      <c r="D156" s="552">
        <f t="shared" si="9"/>
        <v>5172.5611274430312</v>
      </c>
      <c r="E156" s="552">
        <f t="shared" si="10"/>
        <v>4260.7109824620866</v>
      </c>
      <c r="G156" s="552">
        <f t="shared" si="11"/>
        <v>993131.73646906193</v>
      </c>
    </row>
    <row r="157" spans="2:7" x14ac:dyDescent="0.3">
      <c r="B157" s="554">
        <v>148</v>
      </c>
      <c r="C157" s="552">
        <f t="shared" si="8"/>
        <v>9433.2721099051178</v>
      </c>
      <c r="D157" s="552">
        <f t="shared" si="9"/>
        <v>5150.3699244093741</v>
      </c>
      <c r="E157" s="552">
        <f t="shared" si="10"/>
        <v>4282.9021854957437</v>
      </c>
      <c r="G157" s="552">
        <f t="shared" si="11"/>
        <v>988871.02548659989</v>
      </c>
    </row>
    <row r="158" spans="2:7" x14ac:dyDescent="0.3">
      <c r="B158" s="554">
        <v>149</v>
      </c>
      <c r="C158" s="552">
        <f t="shared" si="8"/>
        <v>9433.2721099051178</v>
      </c>
      <c r="D158" s="552">
        <f t="shared" si="9"/>
        <v>5128.0631421932512</v>
      </c>
      <c r="E158" s="552">
        <f t="shared" si="10"/>
        <v>4305.2089677118665</v>
      </c>
      <c r="G158" s="552">
        <f t="shared" si="11"/>
        <v>984588.12330110418</v>
      </c>
    </row>
    <row r="159" spans="2:7" x14ac:dyDescent="0.3">
      <c r="B159" s="554">
        <v>150</v>
      </c>
      <c r="C159" s="552">
        <f t="shared" si="8"/>
        <v>9433.2721099051178</v>
      </c>
      <c r="D159" s="552">
        <f t="shared" si="9"/>
        <v>5105.6401788197518</v>
      </c>
      <c r="E159" s="552">
        <f t="shared" si="10"/>
        <v>4327.631931085366</v>
      </c>
      <c r="G159" s="552">
        <f t="shared" si="11"/>
        <v>980282.91433339228</v>
      </c>
    </row>
    <row r="160" spans="2:7" x14ac:dyDescent="0.3">
      <c r="B160" s="554">
        <v>151</v>
      </c>
      <c r="C160" s="552">
        <f t="shared" si="8"/>
        <v>9433.2721099051178</v>
      </c>
      <c r="D160" s="552">
        <f t="shared" si="9"/>
        <v>5083.1004291786821</v>
      </c>
      <c r="E160" s="552">
        <f t="shared" si="10"/>
        <v>4350.1716807264356</v>
      </c>
      <c r="G160" s="552">
        <f t="shared" si="11"/>
        <v>975955.28240230691</v>
      </c>
    </row>
    <row r="161" spans="2:7" x14ac:dyDescent="0.3">
      <c r="B161" s="554">
        <v>152</v>
      </c>
      <c r="C161" s="552">
        <f t="shared" si="8"/>
        <v>9433.2721099051178</v>
      </c>
      <c r="D161" s="552">
        <f t="shared" si="9"/>
        <v>5060.4432850082312</v>
      </c>
      <c r="E161" s="552">
        <f t="shared" si="10"/>
        <v>4372.8288248968865</v>
      </c>
      <c r="G161" s="552">
        <f t="shared" si="11"/>
        <v>971605.11072158045</v>
      </c>
    </row>
    <row r="162" spans="2:7" x14ac:dyDescent="0.3">
      <c r="B162" s="554">
        <v>153</v>
      </c>
      <c r="C162" s="552">
        <f t="shared" si="8"/>
        <v>9433.2721099051178</v>
      </c>
      <c r="D162" s="552">
        <f t="shared" si="9"/>
        <v>5037.6681348785605</v>
      </c>
      <c r="E162" s="552">
        <f t="shared" si="10"/>
        <v>4395.6039750265572</v>
      </c>
      <c r="G162" s="552">
        <f t="shared" si="11"/>
        <v>967232.28189668362</v>
      </c>
    </row>
    <row r="163" spans="2:7" x14ac:dyDescent="0.3">
      <c r="B163" s="554">
        <v>154</v>
      </c>
      <c r="C163" s="552">
        <f t="shared" si="8"/>
        <v>9433.2721099051178</v>
      </c>
      <c r="D163" s="552">
        <f t="shared" si="9"/>
        <v>5014.7743641752977</v>
      </c>
      <c r="E163" s="552">
        <f t="shared" si="10"/>
        <v>4418.4977457298201</v>
      </c>
      <c r="G163" s="552">
        <f t="shared" si="11"/>
        <v>962836.6779216571</v>
      </c>
    </row>
    <row r="164" spans="2:7" x14ac:dyDescent="0.3">
      <c r="B164" s="554">
        <v>155</v>
      </c>
      <c r="C164" s="552">
        <f t="shared" si="8"/>
        <v>9433.2721099051178</v>
      </c>
      <c r="D164" s="552">
        <f t="shared" si="9"/>
        <v>4991.7613550829547</v>
      </c>
      <c r="E164" s="552">
        <f t="shared" si="10"/>
        <v>4441.5107548221631</v>
      </c>
      <c r="G164" s="552">
        <f t="shared" si="11"/>
        <v>958418.18017592723</v>
      </c>
    </row>
    <row r="165" spans="2:7" x14ac:dyDescent="0.3">
      <c r="B165" s="554">
        <v>156</v>
      </c>
      <c r="C165" s="552">
        <f t="shared" si="8"/>
        <v>9433.2721099051178</v>
      </c>
      <c r="D165" s="552">
        <f t="shared" si="9"/>
        <v>4968.6284865682555</v>
      </c>
      <c r="E165" s="552">
        <f t="shared" si="10"/>
        <v>4464.6436233368622</v>
      </c>
      <c r="G165" s="552">
        <f t="shared" si="11"/>
        <v>953976.66942110506</v>
      </c>
    </row>
    <row r="166" spans="2:7" x14ac:dyDescent="0.3">
      <c r="B166" s="554">
        <v>157</v>
      </c>
      <c r="C166" s="552">
        <f t="shared" si="8"/>
        <v>9433.2721099051178</v>
      </c>
      <c r="D166" s="552">
        <f t="shared" si="9"/>
        <v>4945.3751343633758</v>
      </c>
      <c r="E166" s="552">
        <f t="shared" si="10"/>
        <v>4487.896975541742</v>
      </c>
      <c r="G166" s="552">
        <f t="shared" si="11"/>
        <v>949512.02579776815</v>
      </c>
    </row>
    <row r="167" spans="2:7" x14ac:dyDescent="0.3">
      <c r="B167" s="554">
        <v>158</v>
      </c>
      <c r="C167" s="552">
        <f t="shared" si="8"/>
        <v>9433.2721099051178</v>
      </c>
      <c r="D167" s="552">
        <f t="shared" si="9"/>
        <v>4922.0006709490963</v>
      </c>
      <c r="E167" s="552">
        <f t="shared" si="10"/>
        <v>4511.2714389560215</v>
      </c>
      <c r="G167" s="552">
        <f t="shared" si="11"/>
        <v>945024.12882222643</v>
      </c>
    </row>
    <row r="168" spans="2:7" x14ac:dyDescent="0.3">
      <c r="B168" s="554">
        <v>159</v>
      </c>
      <c r="C168" s="552">
        <f t="shared" si="8"/>
        <v>9433.2721099051178</v>
      </c>
      <c r="D168" s="552">
        <f t="shared" si="9"/>
        <v>4898.504465537867</v>
      </c>
      <c r="E168" s="552">
        <f t="shared" si="10"/>
        <v>4534.7676443672508</v>
      </c>
      <c r="G168" s="552">
        <f t="shared" si="11"/>
        <v>940512.8573832704</v>
      </c>
    </row>
    <row r="169" spans="2:7" x14ac:dyDescent="0.3">
      <c r="B169" s="554">
        <v>160</v>
      </c>
      <c r="C169" s="552">
        <f t="shared" si="8"/>
        <v>9433.2721099051178</v>
      </c>
      <c r="D169" s="552">
        <f t="shared" si="9"/>
        <v>4874.8858840567873</v>
      </c>
      <c r="E169" s="552">
        <f t="shared" si="10"/>
        <v>4558.3862258483305</v>
      </c>
      <c r="G169" s="552">
        <f t="shared" si="11"/>
        <v>935978.0897389031</v>
      </c>
    </row>
    <row r="170" spans="2:7" x14ac:dyDescent="0.3">
      <c r="B170" s="554">
        <v>161</v>
      </c>
      <c r="C170" s="552">
        <f t="shared" si="8"/>
        <v>9433.2721099051178</v>
      </c>
      <c r="D170" s="552">
        <f t="shared" si="9"/>
        <v>4851.1442891304932</v>
      </c>
      <c r="E170" s="552">
        <f t="shared" si="10"/>
        <v>4582.1278207746245</v>
      </c>
      <c r="G170" s="552">
        <f t="shared" si="11"/>
        <v>931419.70351305476</v>
      </c>
    </row>
    <row r="171" spans="2:7" x14ac:dyDescent="0.3">
      <c r="B171" s="554">
        <v>162</v>
      </c>
      <c r="C171" s="552">
        <f t="shared" si="8"/>
        <v>9433.2721099051178</v>
      </c>
      <c r="D171" s="552">
        <f t="shared" si="9"/>
        <v>4827.2790400639587</v>
      </c>
      <c r="E171" s="552">
        <f t="shared" si="10"/>
        <v>4605.993069841159</v>
      </c>
      <c r="G171" s="552">
        <f t="shared" si="11"/>
        <v>926837.57569228008</v>
      </c>
    </row>
    <row r="172" spans="2:7" x14ac:dyDescent="0.3">
      <c r="B172" s="554">
        <v>163</v>
      </c>
      <c r="C172" s="552">
        <f t="shared" si="8"/>
        <v>9433.2721099051178</v>
      </c>
      <c r="D172" s="552">
        <f t="shared" si="9"/>
        <v>4803.2894928252026</v>
      </c>
      <c r="E172" s="552">
        <f t="shared" si="10"/>
        <v>4629.9826170799151</v>
      </c>
      <c r="G172" s="552">
        <f t="shared" si="11"/>
        <v>922231.5826224389</v>
      </c>
    </row>
    <row r="173" spans="2:7" x14ac:dyDescent="0.3">
      <c r="B173" s="554">
        <v>164</v>
      </c>
      <c r="C173" s="552">
        <f t="shared" si="8"/>
        <v>9433.2721099051178</v>
      </c>
      <c r="D173" s="552">
        <f t="shared" si="9"/>
        <v>4779.1750000279117</v>
      </c>
      <c r="E173" s="552">
        <f t="shared" si="10"/>
        <v>4654.0971098772061</v>
      </c>
      <c r="G173" s="552">
        <f t="shared" si="11"/>
        <v>917601.60000535904</v>
      </c>
    </row>
    <row r="174" spans="2:7" x14ac:dyDescent="0.3">
      <c r="B174" s="554">
        <v>165</v>
      </c>
      <c r="C174" s="552">
        <f t="shared" si="8"/>
        <v>9433.2721099051178</v>
      </c>
      <c r="D174" s="552">
        <f t="shared" si="9"/>
        <v>4754.9349109139685</v>
      </c>
      <c r="E174" s="552">
        <f t="shared" si="10"/>
        <v>4678.3371989911493</v>
      </c>
      <c r="G174" s="552">
        <f t="shared" si="11"/>
        <v>912947.50289548188</v>
      </c>
    </row>
    <row r="175" spans="2:7" x14ac:dyDescent="0.3">
      <c r="B175" s="554">
        <v>166</v>
      </c>
      <c r="C175" s="552">
        <f t="shared" si="8"/>
        <v>9433.2721099051178</v>
      </c>
      <c r="D175" s="552">
        <f t="shared" si="9"/>
        <v>4730.5685713358898</v>
      </c>
      <c r="E175" s="552">
        <f t="shared" si="10"/>
        <v>4702.7035385692279</v>
      </c>
      <c r="G175" s="552">
        <f t="shared" si="11"/>
        <v>908269.16569649079</v>
      </c>
    </row>
    <row r="176" spans="2:7" x14ac:dyDescent="0.3">
      <c r="B176" s="554">
        <v>167</v>
      </c>
      <c r="C176" s="552">
        <f t="shared" si="8"/>
        <v>9433.2721099051178</v>
      </c>
      <c r="D176" s="552">
        <f t="shared" si="9"/>
        <v>4706.0753237391746</v>
      </c>
      <c r="E176" s="552">
        <f t="shared" si="10"/>
        <v>4727.1967861659432</v>
      </c>
      <c r="G176" s="552">
        <f t="shared" si="11"/>
        <v>903566.46215792152</v>
      </c>
    </row>
    <row r="177" spans="2:7" x14ac:dyDescent="0.3">
      <c r="B177" s="554">
        <v>168</v>
      </c>
      <c r="C177" s="552">
        <f t="shared" si="8"/>
        <v>9433.2721099051178</v>
      </c>
      <c r="D177" s="552">
        <f t="shared" si="9"/>
        <v>4681.45450714456</v>
      </c>
      <c r="E177" s="552">
        <f t="shared" si="10"/>
        <v>4751.8176027605577</v>
      </c>
      <c r="G177" s="552">
        <f t="shared" si="11"/>
        <v>898839.26537175558</v>
      </c>
    </row>
    <row r="178" spans="2:7" x14ac:dyDescent="0.3">
      <c r="B178" s="554">
        <v>169</v>
      </c>
      <c r="C178" s="552">
        <f t="shared" si="8"/>
        <v>9433.2721099051178</v>
      </c>
      <c r="D178" s="552">
        <f t="shared" si="9"/>
        <v>4656.7054571301824</v>
      </c>
      <c r="E178" s="552">
        <f t="shared" si="10"/>
        <v>4776.5666527749354</v>
      </c>
      <c r="G178" s="552">
        <f t="shared" si="11"/>
        <v>894087.44776899507</v>
      </c>
    </row>
    <row r="179" spans="2:7" x14ac:dyDescent="0.3">
      <c r="B179" s="554">
        <v>170</v>
      </c>
      <c r="C179" s="552">
        <f t="shared" si="8"/>
        <v>9433.2721099051178</v>
      </c>
      <c r="D179" s="552">
        <f t="shared" si="9"/>
        <v>4631.8275058136469</v>
      </c>
      <c r="E179" s="552">
        <f t="shared" si="10"/>
        <v>4801.4446040914709</v>
      </c>
      <c r="G179" s="552">
        <f t="shared" si="11"/>
        <v>889310.88111622015</v>
      </c>
    </row>
    <row r="180" spans="2:7" x14ac:dyDescent="0.3">
      <c r="B180" s="554">
        <v>171</v>
      </c>
      <c r="C180" s="552">
        <f t="shared" si="8"/>
        <v>9433.2721099051178</v>
      </c>
      <c r="D180" s="552">
        <f t="shared" si="9"/>
        <v>4606.8199818340036</v>
      </c>
      <c r="E180" s="552">
        <f t="shared" si="10"/>
        <v>4826.4521280711142</v>
      </c>
      <c r="G180" s="552">
        <f t="shared" si="11"/>
        <v>884509.43651212868</v>
      </c>
    </row>
    <row r="181" spans="2:7" x14ac:dyDescent="0.3">
      <c r="B181" s="554">
        <v>172</v>
      </c>
      <c r="C181" s="552">
        <f t="shared" si="8"/>
        <v>9433.2721099051178</v>
      </c>
      <c r="D181" s="552">
        <f t="shared" si="9"/>
        <v>4581.6822103336335</v>
      </c>
      <c r="E181" s="552">
        <f t="shared" si="10"/>
        <v>4851.5898995714842</v>
      </c>
      <c r="G181" s="552">
        <f t="shared" si="11"/>
        <v>879682.98438405758</v>
      </c>
    </row>
    <row r="182" spans="2:7" x14ac:dyDescent="0.3">
      <c r="B182" s="554">
        <v>173</v>
      </c>
      <c r="C182" s="552">
        <f t="shared" si="8"/>
        <v>9433.2721099051178</v>
      </c>
      <c r="D182" s="552">
        <f t="shared" si="9"/>
        <v>4556.413512940032</v>
      </c>
      <c r="E182" s="552">
        <f t="shared" si="10"/>
        <v>4876.8585969650858</v>
      </c>
      <c r="G182" s="552">
        <f t="shared" si="11"/>
        <v>874831.39448448608</v>
      </c>
    </row>
    <row r="183" spans="2:7" x14ac:dyDescent="0.3">
      <c r="B183" s="554">
        <v>174</v>
      </c>
      <c r="C183" s="552">
        <f t="shared" si="8"/>
        <v>9433.2721099051178</v>
      </c>
      <c r="D183" s="552">
        <f t="shared" si="9"/>
        <v>4531.0132077475055</v>
      </c>
      <c r="E183" s="552">
        <f t="shared" si="10"/>
        <v>4902.2589021576123</v>
      </c>
      <c r="G183" s="552">
        <f t="shared" si="11"/>
        <v>869954.53588752099</v>
      </c>
    </row>
    <row r="184" spans="2:7" x14ac:dyDescent="0.3">
      <c r="B184" s="554">
        <v>175</v>
      </c>
      <c r="C184" s="552">
        <f t="shared" si="8"/>
        <v>9433.2721099051178</v>
      </c>
      <c r="D184" s="552">
        <f t="shared" si="9"/>
        <v>4505.4806092987674</v>
      </c>
      <c r="E184" s="552">
        <f t="shared" si="10"/>
        <v>4927.7915006063504</v>
      </c>
      <c r="G184" s="552">
        <f t="shared" si="11"/>
        <v>865052.27698536334</v>
      </c>
    </row>
    <row r="185" spans="2:7" x14ac:dyDescent="0.3">
      <c r="B185" s="554">
        <v>176</v>
      </c>
      <c r="C185" s="552">
        <f t="shared" si="8"/>
        <v>9433.2721099051178</v>
      </c>
      <c r="D185" s="552">
        <f t="shared" si="9"/>
        <v>4479.8150285664424</v>
      </c>
      <c r="E185" s="552">
        <f t="shared" si="10"/>
        <v>4953.4570813386754</v>
      </c>
      <c r="G185" s="552">
        <f t="shared" si="11"/>
        <v>860124.48548475699</v>
      </c>
    </row>
    <row r="186" spans="2:7" x14ac:dyDescent="0.3">
      <c r="B186" s="554">
        <v>177</v>
      </c>
      <c r="C186" s="552">
        <f t="shared" si="8"/>
        <v>9433.2721099051178</v>
      </c>
      <c r="D186" s="552">
        <f t="shared" si="9"/>
        <v>4454.015772934471</v>
      </c>
      <c r="E186" s="552">
        <f t="shared" si="10"/>
        <v>4979.2563369706468</v>
      </c>
      <c r="G186" s="552">
        <f t="shared" si="11"/>
        <v>855171.02840341837</v>
      </c>
    </row>
    <row r="187" spans="2:7" x14ac:dyDescent="0.3">
      <c r="B187" s="554">
        <v>178</v>
      </c>
      <c r="C187" s="552">
        <f t="shared" si="8"/>
        <v>9433.2721099051178</v>
      </c>
      <c r="D187" s="552">
        <f t="shared" si="9"/>
        <v>4428.0821461794158</v>
      </c>
      <c r="E187" s="552">
        <f t="shared" si="10"/>
        <v>5005.189963725702</v>
      </c>
      <c r="G187" s="552">
        <f t="shared" si="11"/>
        <v>850191.77206644777</v>
      </c>
    </row>
    <row r="188" spans="2:7" x14ac:dyDescent="0.3">
      <c r="B188" s="554">
        <v>179</v>
      </c>
      <c r="C188" s="552">
        <f t="shared" si="8"/>
        <v>9433.2721099051178</v>
      </c>
      <c r="D188" s="552">
        <f t="shared" si="9"/>
        <v>4402.0134484516775</v>
      </c>
      <c r="E188" s="552">
        <f t="shared" si="10"/>
        <v>5031.2586614534403</v>
      </c>
      <c r="G188" s="552">
        <f t="shared" si="11"/>
        <v>845186.58210272202</v>
      </c>
    </row>
    <row r="189" spans="2:7" x14ac:dyDescent="0.3">
      <c r="B189" s="554">
        <v>180</v>
      </c>
      <c r="C189" s="552">
        <f t="shared" si="8"/>
        <v>9433.2721099051178</v>
      </c>
      <c r="D189" s="552">
        <f t="shared" si="9"/>
        <v>4375.8089762566069</v>
      </c>
      <c r="E189" s="552">
        <f t="shared" si="10"/>
        <v>5057.4631336485108</v>
      </c>
      <c r="G189" s="552">
        <f t="shared" si="11"/>
        <v>840155.32344126853</v>
      </c>
    </row>
    <row r="190" spans="2:7" x14ac:dyDescent="0.3">
      <c r="B190" s="554">
        <v>181</v>
      </c>
      <c r="C190" s="552">
        <f t="shared" si="8"/>
        <v>9433.2721099051178</v>
      </c>
      <c r="D190" s="552">
        <f t="shared" si="9"/>
        <v>4349.4680224355207</v>
      </c>
      <c r="E190" s="552">
        <f t="shared" si="10"/>
        <v>5083.8040874695971</v>
      </c>
      <c r="G190" s="552">
        <f t="shared" si="11"/>
        <v>835097.86030762002</v>
      </c>
    </row>
    <row r="191" spans="2:7" x14ac:dyDescent="0.3">
      <c r="B191" s="554">
        <v>182</v>
      </c>
      <c r="C191" s="552">
        <f t="shared" si="8"/>
        <v>9433.2721099051178</v>
      </c>
      <c r="D191" s="552">
        <f t="shared" si="9"/>
        <v>4322.9898761466166</v>
      </c>
      <c r="E191" s="552">
        <f t="shared" si="10"/>
        <v>5110.2822337585012</v>
      </c>
      <c r="G191" s="552">
        <f t="shared" si="11"/>
        <v>830014.05622015044</v>
      </c>
    </row>
    <row r="192" spans="2:7" x14ac:dyDescent="0.3">
      <c r="B192" s="554">
        <v>183</v>
      </c>
      <c r="C192" s="552">
        <f t="shared" si="8"/>
        <v>9433.2721099051178</v>
      </c>
      <c r="D192" s="552">
        <f t="shared" si="9"/>
        <v>4296.3738228457914</v>
      </c>
      <c r="E192" s="552">
        <f t="shared" si="10"/>
        <v>5136.8982870593263</v>
      </c>
      <c r="G192" s="552">
        <f t="shared" si="11"/>
        <v>824903.77398639196</v>
      </c>
    </row>
    <row r="193" spans="2:7" x14ac:dyDescent="0.3">
      <c r="B193" s="554">
        <v>184</v>
      </c>
      <c r="C193" s="552">
        <f t="shared" si="8"/>
        <v>9433.2721099051178</v>
      </c>
      <c r="D193" s="552">
        <f t="shared" si="9"/>
        <v>4269.619144267358</v>
      </c>
      <c r="E193" s="552">
        <f t="shared" si="10"/>
        <v>5163.6529656377597</v>
      </c>
      <c r="G193" s="552">
        <f t="shared" si="11"/>
        <v>819766.87569933268</v>
      </c>
    </row>
    <row r="194" spans="2:7" x14ac:dyDescent="0.3">
      <c r="B194" s="554">
        <v>185</v>
      </c>
      <c r="C194" s="552">
        <f t="shared" si="8"/>
        <v>9433.2721099051178</v>
      </c>
      <c r="D194" s="552">
        <f t="shared" si="9"/>
        <v>4242.7251184046609</v>
      </c>
      <c r="E194" s="552">
        <f t="shared" si="10"/>
        <v>5190.5469915004569</v>
      </c>
      <c r="G194" s="552">
        <f t="shared" si="11"/>
        <v>814603.22273369494</v>
      </c>
    </row>
    <row r="195" spans="2:7" x14ac:dyDescent="0.3">
      <c r="B195" s="554">
        <v>186</v>
      </c>
      <c r="C195" s="552">
        <f t="shared" si="8"/>
        <v>9433.2721099051178</v>
      </c>
      <c r="D195" s="552">
        <f t="shared" si="9"/>
        <v>4215.6910194905968</v>
      </c>
      <c r="E195" s="552">
        <f t="shared" si="10"/>
        <v>5217.581090414521</v>
      </c>
      <c r="G195" s="552">
        <f t="shared" si="11"/>
        <v>809412.67574219452</v>
      </c>
    </row>
    <row r="196" spans="2:7" x14ac:dyDescent="0.3">
      <c r="B196" s="554">
        <v>187</v>
      </c>
      <c r="C196" s="552">
        <f t="shared" si="8"/>
        <v>9433.2721099051178</v>
      </c>
      <c r="D196" s="552">
        <f t="shared" si="9"/>
        <v>4188.5161179780207</v>
      </c>
      <c r="E196" s="552">
        <f t="shared" si="10"/>
        <v>5244.7559919270971</v>
      </c>
      <c r="G196" s="552">
        <f t="shared" si="11"/>
        <v>804195.09465177997</v>
      </c>
    </row>
    <row r="197" spans="2:7" x14ac:dyDescent="0.3">
      <c r="B197" s="554">
        <v>188</v>
      </c>
      <c r="C197" s="552">
        <f t="shared" si="8"/>
        <v>9433.2721099051178</v>
      </c>
      <c r="D197" s="552">
        <f t="shared" si="9"/>
        <v>4161.199680520067</v>
      </c>
      <c r="E197" s="552">
        <f t="shared" si="10"/>
        <v>5272.0724293850508</v>
      </c>
      <c r="G197" s="552">
        <f t="shared" si="11"/>
        <v>798950.33865985286</v>
      </c>
    </row>
    <row r="198" spans="2:7" x14ac:dyDescent="0.3">
      <c r="B198" s="554">
        <v>189</v>
      </c>
      <c r="C198" s="552">
        <f t="shared" si="8"/>
        <v>9433.2721099051178</v>
      </c>
      <c r="D198" s="552">
        <f t="shared" si="9"/>
        <v>4133.7409699503532</v>
      </c>
      <c r="E198" s="552">
        <f t="shared" si="10"/>
        <v>5299.5311399547645</v>
      </c>
      <c r="G198" s="552">
        <f t="shared" si="11"/>
        <v>793678.26623046782</v>
      </c>
    </row>
    <row r="199" spans="2:7" x14ac:dyDescent="0.3">
      <c r="B199" s="554">
        <v>190</v>
      </c>
      <c r="C199" s="552">
        <f t="shared" si="8"/>
        <v>9433.2721099051178</v>
      </c>
      <c r="D199" s="552">
        <f t="shared" si="9"/>
        <v>4106.1392452630889</v>
      </c>
      <c r="E199" s="552">
        <f t="shared" si="10"/>
        <v>5327.1328646420288</v>
      </c>
      <c r="G199" s="552">
        <f t="shared" si="11"/>
        <v>788378.73509051302</v>
      </c>
    </row>
    <row r="200" spans="2:7" x14ac:dyDescent="0.3">
      <c r="B200" s="554">
        <v>191</v>
      </c>
      <c r="C200" s="552">
        <f t="shared" si="8"/>
        <v>9433.2721099051178</v>
      </c>
      <c r="D200" s="552">
        <f t="shared" si="9"/>
        <v>4078.3937615930777</v>
      </c>
      <c r="E200" s="552">
        <f t="shared" si="10"/>
        <v>5354.8783483120405</v>
      </c>
      <c r="G200" s="552">
        <f t="shared" si="11"/>
        <v>783051.60222587094</v>
      </c>
    </row>
    <row r="201" spans="2:7" x14ac:dyDescent="0.3">
      <c r="B201" s="554">
        <v>192</v>
      </c>
      <c r="C201" s="552">
        <f t="shared" si="8"/>
        <v>9433.2721099051178</v>
      </c>
      <c r="D201" s="552">
        <f t="shared" si="9"/>
        <v>4050.5037701956194</v>
      </c>
      <c r="E201" s="552">
        <f t="shared" si="10"/>
        <v>5382.7683397094988</v>
      </c>
      <c r="G201" s="552">
        <f t="shared" si="11"/>
        <v>777696.72387755895</v>
      </c>
    </row>
    <row r="202" spans="2:7" x14ac:dyDescent="0.3">
      <c r="B202" s="554">
        <v>193</v>
      </c>
      <c r="C202" s="552">
        <f t="shared" ref="C202:C265" si="12">IF($C$3&lt;G202+(G202*($C$4/$C$6)),$C$3,G202+(G202*($C$4/$C$6)))</f>
        <v>9433.2721099051178</v>
      </c>
      <c r="D202" s="552">
        <f t="shared" ref="D202:D265" si="13">G202*$C$4/$C$6</f>
        <v>4022.4685184262994</v>
      </c>
      <c r="E202" s="552">
        <f t="shared" ref="E202:E265" si="14">C202-D202</f>
        <v>5410.8035914788179</v>
      </c>
      <c r="G202" s="552">
        <f t="shared" si="11"/>
        <v>772313.95553784946</v>
      </c>
    </row>
    <row r="203" spans="2:7" x14ac:dyDescent="0.3">
      <c r="B203" s="554">
        <v>194</v>
      </c>
      <c r="C203" s="552">
        <f t="shared" si="12"/>
        <v>9433.2721099051178</v>
      </c>
      <c r="D203" s="552">
        <f t="shared" si="13"/>
        <v>3994.2872497206804</v>
      </c>
      <c r="E203" s="552">
        <f t="shared" si="14"/>
        <v>5438.9848601844369</v>
      </c>
      <c r="G203" s="552">
        <f t="shared" ref="G203:G266" si="15">G202-E202-F202</f>
        <v>766903.15194637061</v>
      </c>
    </row>
    <row r="204" spans="2:7" x14ac:dyDescent="0.3">
      <c r="B204" s="554">
        <v>195</v>
      </c>
      <c r="C204" s="552">
        <f t="shared" si="12"/>
        <v>9433.2721099051178</v>
      </c>
      <c r="D204" s="552">
        <f t="shared" si="13"/>
        <v>3965.959203573886</v>
      </c>
      <c r="E204" s="552">
        <f t="shared" si="14"/>
        <v>5467.3129063312317</v>
      </c>
      <c r="G204" s="552">
        <f t="shared" si="15"/>
        <v>761464.16708618612</v>
      </c>
    </row>
    <row r="205" spans="2:7" x14ac:dyDescent="0.3">
      <c r="B205" s="554">
        <v>196</v>
      </c>
      <c r="C205" s="552">
        <f t="shared" si="12"/>
        <v>9433.2721099051178</v>
      </c>
      <c r="D205" s="552">
        <f t="shared" si="13"/>
        <v>3937.4836155200774</v>
      </c>
      <c r="E205" s="552">
        <f t="shared" si="14"/>
        <v>5495.7884943850404</v>
      </c>
      <c r="G205" s="552">
        <f t="shared" si="15"/>
        <v>755996.85417985485</v>
      </c>
    </row>
    <row r="206" spans="2:7" x14ac:dyDescent="0.3">
      <c r="B206" s="554">
        <v>197</v>
      </c>
      <c r="C206" s="552">
        <f t="shared" si="12"/>
        <v>9433.2721099051178</v>
      </c>
      <c r="D206" s="552">
        <f t="shared" si="13"/>
        <v>3908.8597171118217</v>
      </c>
      <c r="E206" s="552">
        <f t="shared" si="14"/>
        <v>5524.412392793296</v>
      </c>
      <c r="G206" s="552">
        <f t="shared" si="15"/>
        <v>750501.06568546977</v>
      </c>
    </row>
    <row r="207" spans="2:7" x14ac:dyDescent="0.3">
      <c r="B207" s="554">
        <v>198</v>
      </c>
      <c r="C207" s="552">
        <f t="shared" si="12"/>
        <v>9433.2721099051178</v>
      </c>
      <c r="D207" s="552">
        <f t="shared" si="13"/>
        <v>3880.0867358993564</v>
      </c>
      <c r="E207" s="552">
        <f t="shared" si="14"/>
        <v>5553.1853740057613</v>
      </c>
      <c r="G207" s="552">
        <f t="shared" si="15"/>
        <v>744976.65329267643</v>
      </c>
    </row>
    <row r="208" spans="2:7" x14ac:dyDescent="0.3">
      <c r="B208" s="554">
        <v>199</v>
      </c>
      <c r="C208" s="552">
        <f t="shared" si="12"/>
        <v>9433.2721099051178</v>
      </c>
      <c r="D208" s="552">
        <f t="shared" si="13"/>
        <v>3851.163895409743</v>
      </c>
      <c r="E208" s="552">
        <f t="shared" si="14"/>
        <v>5582.1082144953743</v>
      </c>
      <c r="G208" s="552">
        <f t="shared" si="15"/>
        <v>739423.46791867062</v>
      </c>
    </row>
    <row r="209" spans="2:7" x14ac:dyDescent="0.3">
      <c r="B209" s="554">
        <v>200</v>
      </c>
      <c r="C209" s="552">
        <f t="shared" si="12"/>
        <v>9433.2721099051178</v>
      </c>
      <c r="D209" s="552">
        <f t="shared" si="13"/>
        <v>3822.0904151259128</v>
      </c>
      <c r="E209" s="552">
        <f t="shared" si="14"/>
        <v>5611.1816947792049</v>
      </c>
      <c r="G209" s="552">
        <f t="shared" si="15"/>
        <v>733841.35970417527</v>
      </c>
    </row>
    <row r="210" spans="2:7" x14ac:dyDescent="0.3">
      <c r="B210" s="554">
        <v>201</v>
      </c>
      <c r="C210" s="552">
        <f t="shared" si="12"/>
        <v>9433.2721099051178</v>
      </c>
      <c r="D210" s="552">
        <f t="shared" si="13"/>
        <v>3792.8655104656045</v>
      </c>
      <c r="E210" s="552">
        <f t="shared" si="14"/>
        <v>5640.4065994395132</v>
      </c>
      <c r="G210" s="552">
        <f t="shared" si="15"/>
        <v>728230.17800939607</v>
      </c>
    </row>
    <row r="211" spans="2:7" x14ac:dyDescent="0.3">
      <c r="B211" s="554">
        <v>202</v>
      </c>
      <c r="C211" s="552">
        <f t="shared" si="12"/>
        <v>9433.2721099051178</v>
      </c>
      <c r="D211" s="552">
        <f t="shared" si="13"/>
        <v>3763.48839276019</v>
      </c>
      <c r="E211" s="552">
        <f t="shared" si="14"/>
        <v>5669.7837171449282</v>
      </c>
      <c r="G211" s="552">
        <f t="shared" si="15"/>
        <v>722589.77140995651</v>
      </c>
    </row>
    <row r="212" spans="2:7" x14ac:dyDescent="0.3">
      <c r="B212" s="554">
        <v>203</v>
      </c>
      <c r="C212" s="552">
        <f t="shared" si="12"/>
        <v>9433.2721099051178</v>
      </c>
      <c r="D212" s="552">
        <f t="shared" si="13"/>
        <v>3733.9582692333934</v>
      </c>
      <c r="E212" s="552">
        <f t="shared" si="14"/>
        <v>5699.3138406717244</v>
      </c>
      <c r="G212" s="552">
        <f t="shared" si="15"/>
        <v>716919.98769281153</v>
      </c>
    </row>
    <row r="213" spans="2:7" x14ac:dyDescent="0.3">
      <c r="B213" s="554">
        <v>204</v>
      </c>
      <c r="C213" s="552">
        <f t="shared" si="12"/>
        <v>9433.2721099051178</v>
      </c>
      <c r="D213" s="552">
        <f t="shared" si="13"/>
        <v>3704.2743429798952</v>
      </c>
      <c r="E213" s="552">
        <f t="shared" si="14"/>
        <v>5728.9977669252221</v>
      </c>
      <c r="G213" s="552">
        <f t="shared" si="15"/>
        <v>711220.67385213985</v>
      </c>
    </row>
    <row r="214" spans="2:7" x14ac:dyDescent="0.3">
      <c r="B214" s="554">
        <v>205</v>
      </c>
      <c r="C214" s="552">
        <f t="shared" si="12"/>
        <v>9433.2721099051178</v>
      </c>
      <c r="D214" s="552">
        <f t="shared" si="13"/>
        <v>3674.435812943826</v>
      </c>
      <c r="E214" s="552">
        <f t="shared" si="14"/>
        <v>5758.8362969612917</v>
      </c>
      <c r="G214" s="552">
        <f t="shared" si="15"/>
        <v>705491.6760852146</v>
      </c>
    </row>
    <row r="215" spans="2:7" x14ac:dyDescent="0.3">
      <c r="B215" s="554">
        <v>206</v>
      </c>
      <c r="C215" s="552">
        <f t="shared" si="12"/>
        <v>9433.2721099051178</v>
      </c>
      <c r="D215" s="552">
        <f t="shared" si="13"/>
        <v>3644.4418738971526</v>
      </c>
      <c r="E215" s="552">
        <f t="shared" si="14"/>
        <v>5788.8302360079651</v>
      </c>
      <c r="G215" s="552">
        <f t="shared" si="15"/>
        <v>699732.8397882533</v>
      </c>
    </row>
    <row r="216" spans="2:7" x14ac:dyDescent="0.3">
      <c r="B216" s="554">
        <v>207</v>
      </c>
      <c r="C216" s="552">
        <f t="shared" si="12"/>
        <v>9433.2721099051178</v>
      </c>
      <c r="D216" s="552">
        <f t="shared" si="13"/>
        <v>3614.2917164179448</v>
      </c>
      <c r="E216" s="552">
        <f t="shared" si="14"/>
        <v>5818.9803934871725</v>
      </c>
      <c r="G216" s="552">
        <f t="shared" si="15"/>
        <v>693944.00955224538</v>
      </c>
    </row>
    <row r="217" spans="2:7" x14ac:dyDescent="0.3">
      <c r="B217" s="554">
        <v>208</v>
      </c>
      <c r="C217" s="552">
        <f t="shared" si="12"/>
        <v>9433.2721099051178</v>
      </c>
      <c r="D217" s="552">
        <f t="shared" si="13"/>
        <v>3583.9845268685326</v>
      </c>
      <c r="E217" s="552">
        <f t="shared" si="14"/>
        <v>5849.2875830365847</v>
      </c>
      <c r="G217" s="552">
        <f t="shared" si="15"/>
        <v>688125.02915875823</v>
      </c>
    </row>
    <row r="218" spans="2:7" x14ac:dyDescent="0.3">
      <c r="B218" s="554">
        <v>209</v>
      </c>
      <c r="C218" s="552">
        <f t="shared" si="12"/>
        <v>9433.2721099051178</v>
      </c>
      <c r="D218" s="552">
        <f t="shared" si="13"/>
        <v>3553.5194873735504</v>
      </c>
      <c r="E218" s="552">
        <f t="shared" si="14"/>
        <v>5879.7526225315669</v>
      </c>
      <c r="G218" s="552">
        <f t="shared" si="15"/>
        <v>682275.74157572165</v>
      </c>
    </row>
    <row r="219" spans="2:7" x14ac:dyDescent="0.3">
      <c r="B219" s="554">
        <v>210</v>
      </c>
      <c r="C219" s="552">
        <f t="shared" si="12"/>
        <v>9433.2721099051178</v>
      </c>
      <c r="D219" s="552">
        <f t="shared" si="13"/>
        <v>3522.8957757978646</v>
      </c>
      <c r="E219" s="552">
        <f t="shared" si="14"/>
        <v>5910.3763341072536</v>
      </c>
      <c r="G219" s="552">
        <f t="shared" si="15"/>
        <v>676395.98895319004</v>
      </c>
    </row>
    <row r="220" spans="2:7" x14ac:dyDescent="0.3">
      <c r="B220" s="554">
        <v>211</v>
      </c>
      <c r="C220" s="552">
        <f t="shared" si="12"/>
        <v>9433.2721099051178</v>
      </c>
      <c r="D220" s="552">
        <f t="shared" si="13"/>
        <v>3492.1125657243897</v>
      </c>
      <c r="E220" s="552">
        <f t="shared" si="14"/>
        <v>5941.1595441807276</v>
      </c>
      <c r="G220" s="552">
        <f t="shared" si="15"/>
        <v>670485.61261908279</v>
      </c>
    </row>
    <row r="221" spans="2:7" x14ac:dyDescent="0.3">
      <c r="B221" s="554">
        <v>212</v>
      </c>
      <c r="C221" s="552">
        <f t="shared" si="12"/>
        <v>9433.2721099051178</v>
      </c>
      <c r="D221" s="552">
        <f t="shared" si="13"/>
        <v>3461.1690264317817</v>
      </c>
      <c r="E221" s="552">
        <f t="shared" si="14"/>
        <v>5972.1030834733356</v>
      </c>
      <c r="G221" s="552">
        <f t="shared" si="15"/>
        <v>664544.45307490206</v>
      </c>
    </row>
    <row r="222" spans="2:7" x14ac:dyDescent="0.3">
      <c r="B222" s="554">
        <v>213</v>
      </c>
      <c r="C222" s="552">
        <f t="shared" si="12"/>
        <v>9433.2721099051178</v>
      </c>
      <c r="D222" s="552">
        <f t="shared" si="13"/>
        <v>3430.0643228720251</v>
      </c>
      <c r="E222" s="552">
        <f t="shared" si="14"/>
        <v>6003.2077870330922</v>
      </c>
      <c r="G222" s="552">
        <f t="shared" si="15"/>
        <v>658572.34999142878</v>
      </c>
    </row>
    <row r="223" spans="2:7" x14ac:dyDescent="0.3">
      <c r="B223" s="554">
        <v>214</v>
      </c>
      <c r="C223" s="552">
        <f t="shared" si="12"/>
        <v>9433.2721099051178</v>
      </c>
      <c r="D223" s="552">
        <f t="shared" si="13"/>
        <v>3398.7976156478944</v>
      </c>
      <c r="E223" s="552">
        <f t="shared" si="14"/>
        <v>6034.4744942572233</v>
      </c>
      <c r="G223" s="552">
        <f t="shared" si="15"/>
        <v>652569.14220439573</v>
      </c>
    </row>
    <row r="224" spans="2:7" x14ac:dyDescent="0.3">
      <c r="B224" s="554">
        <v>215</v>
      </c>
      <c r="C224" s="552">
        <f t="shared" si="12"/>
        <v>9433.2721099051178</v>
      </c>
      <c r="D224" s="552">
        <f t="shared" si="13"/>
        <v>3367.3680609903045</v>
      </c>
      <c r="E224" s="552">
        <f t="shared" si="14"/>
        <v>6065.9040489148138</v>
      </c>
      <c r="G224" s="552">
        <f t="shared" si="15"/>
        <v>646534.66771013848</v>
      </c>
    </row>
    <row r="225" spans="2:7" x14ac:dyDescent="0.3">
      <c r="B225" s="554">
        <v>216</v>
      </c>
      <c r="C225" s="552">
        <f t="shared" si="12"/>
        <v>9433.2721099051178</v>
      </c>
      <c r="D225" s="552">
        <f t="shared" si="13"/>
        <v>3335.7748107355401</v>
      </c>
      <c r="E225" s="552">
        <f t="shared" si="14"/>
        <v>6097.4972991695777</v>
      </c>
      <c r="G225" s="552">
        <f t="shared" si="15"/>
        <v>640468.7636612237</v>
      </c>
    </row>
    <row r="226" spans="2:7" x14ac:dyDescent="0.3">
      <c r="B226" s="554">
        <v>217</v>
      </c>
      <c r="C226" s="552">
        <f t="shared" si="12"/>
        <v>9433.2721099051178</v>
      </c>
      <c r="D226" s="552">
        <f t="shared" si="13"/>
        <v>3304.0170123023654</v>
      </c>
      <c r="E226" s="552">
        <f t="shared" si="14"/>
        <v>6129.2550976027524</v>
      </c>
      <c r="G226" s="552">
        <f t="shared" si="15"/>
        <v>634371.26636205416</v>
      </c>
    </row>
    <row r="227" spans="2:7" x14ac:dyDescent="0.3">
      <c r="B227" s="554">
        <v>218</v>
      </c>
      <c r="C227" s="552">
        <f t="shared" si="12"/>
        <v>9433.2721099051178</v>
      </c>
      <c r="D227" s="552">
        <f t="shared" si="13"/>
        <v>3272.093808669018</v>
      </c>
      <c r="E227" s="552">
        <f t="shared" si="14"/>
        <v>6161.1783012360993</v>
      </c>
      <c r="G227" s="552">
        <f t="shared" si="15"/>
        <v>628242.01126445143</v>
      </c>
    </row>
    <row r="228" spans="2:7" x14ac:dyDescent="0.3">
      <c r="B228" s="554">
        <v>219</v>
      </c>
      <c r="C228" s="552">
        <f t="shared" si="12"/>
        <v>9433.2721099051178</v>
      </c>
      <c r="D228" s="552">
        <f t="shared" si="13"/>
        <v>3240.0043383500797</v>
      </c>
      <c r="E228" s="552">
        <f t="shared" si="14"/>
        <v>6193.2677715550381</v>
      </c>
      <c r="G228" s="552">
        <f t="shared" si="15"/>
        <v>622080.8329632153</v>
      </c>
    </row>
    <row r="229" spans="2:7" x14ac:dyDescent="0.3">
      <c r="B229" s="554">
        <v>220</v>
      </c>
      <c r="C229" s="552">
        <f t="shared" si="12"/>
        <v>9433.2721099051178</v>
      </c>
      <c r="D229" s="552">
        <f t="shared" si="13"/>
        <v>3207.7477353732306</v>
      </c>
      <c r="E229" s="552">
        <f t="shared" si="14"/>
        <v>6225.5243745318876</v>
      </c>
      <c r="G229" s="552">
        <f t="shared" si="15"/>
        <v>615887.56519166031</v>
      </c>
    </row>
    <row r="230" spans="2:7" x14ac:dyDescent="0.3">
      <c r="B230" s="554">
        <v>221</v>
      </c>
      <c r="C230" s="552">
        <f t="shared" si="12"/>
        <v>9433.2721099051178</v>
      </c>
      <c r="D230" s="552">
        <f t="shared" si="13"/>
        <v>3175.3231292558771</v>
      </c>
      <c r="E230" s="552">
        <f t="shared" si="14"/>
        <v>6257.9489806492402</v>
      </c>
      <c r="G230" s="552">
        <f t="shared" si="15"/>
        <v>609662.04081712838</v>
      </c>
    </row>
    <row r="231" spans="2:7" x14ac:dyDescent="0.3">
      <c r="B231" s="554">
        <v>222</v>
      </c>
      <c r="C231" s="552">
        <f t="shared" si="12"/>
        <v>9433.2721099051178</v>
      </c>
      <c r="D231" s="552">
        <f t="shared" si="13"/>
        <v>3142.7296449816622</v>
      </c>
      <c r="E231" s="552">
        <f t="shared" si="14"/>
        <v>6290.5424649234556</v>
      </c>
      <c r="G231" s="552">
        <f t="shared" si="15"/>
        <v>603404.09183647914</v>
      </c>
    </row>
    <row r="232" spans="2:7" x14ac:dyDescent="0.3">
      <c r="B232" s="554">
        <v>223</v>
      </c>
      <c r="C232" s="552">
        <f t="shared" si="12"/>
        <v>9433.2721099051178</v>
      </c>
      <c r="D232" s="552">
        <f t="shared" si="13"/>
        <v>3109.9664029768524</v>
      </c>
      <c r="E232" s="552">
        <f t="shared" si="14"/>
        <v>6323.3057069282659</v>
      </c>
      <c r="G232" s="552">
        <f t="shared" si="15"/>
        <v>597113.54937155568</v>
      </c>
    </row>
    <row r="233" spans="2:7" x14ac:dyDescent="0.3">
      <c r="B233" s="554">
        <v>224</v>
      </c>
      <c r="C233" s="552">
        <f t="shared" si="12"/>
        <v>9433.2721099051178</v>
      </c>
      <c r="D233" s="552">
        <f t="shared" si="13"/>
        <v>3077.032519086601</v>
      </c>
      <c r="E233" s="552">
        <f t="shared" si="14"/>
        <v>6356.2395908185172</v>
      </c>
      <c r="G233" s="552">
        <f t="shared" si="15"/>
        <v>590790.24366462743</v>
      </c>
    </row>
    <row r="234" spans="2:7" x14ac:dyDescent="0.3">
      <c r="B234" s="554">
        <v>225</v>
      </c>
      <c r="C234" s="552">
        <f t="shared" si="12"/>
        <v>9433.2721099051178</v>
      </c>
      <c r="D234" s="552">
        <f t="shared" si="13"/>
        <v>3043.9271045510882</v>
      </c>
      <c r="E234" s="552">
        <f t="shared" si="14"/>
        <v>6389.3450053540291</v>
      </c>
      <c r="G234" s="552">
        <f t="shared" si="15"/>
        <v>584434.0040738089</v>
      </c>
    </row>
    <row r="235" spans="2:7" x14ac:dyDescent="0.3">
      <c r="B235" s="554">
        <v>226</v>
      </c>
      <c r="C235" s="552">
        <f t="shared" si="12"/>
        <v>9433.2721099051178</v>
      </c>
      <c r="D235" s="552">
        <f t="shared" si="13"/>
        <v>3010.6492659815358</v>
      </c>
      <c r="E235" s="552">
        <f t="shared" si="14"/>
        <v>6422.622843923582</v>
      </c>
      <c r="G235" s="552">
        <f t="shared" si="15"/>
        <v>578044.65906845487</v>
      </c>
    </row>
    <row r="236" spans="2:7" x14ac:dyDescent="0.3">
      <c r="B236" s="554">
        <v>227</v>
      </c>
      <c r="C236" s="552">
        <f t="shared" si="12"/>
        <v>9433.2721099051178</v>
      </c>
      <c r="D236" s="552">
        <f t="shared" si="13"/>
        <v>2977.1981053361001</v>
      </c>
      <c r="E236" s="552">
        <f t="shared" si="14"/>
        <v>6456.0740045690181</v>
      </c>
      <c r="G236" s="552">
        <f t="shared" si="15"/>
        <v>571622.03622453124</v>
      </c>
    </row>
    <row r="237" spans="2:7" x14ac:dyDescent="0.3">
      <c r="B237" s="554">
        <v>228</v>
      </c>
      <c r="C237" s="552">
        <f t="shared" si="12"/>
        <v>9433.2721099051178</v>
      </c>
      <c r="D237" s="552">
        <f t="shared" si="13"/>
        <v>2943.572719895637</v>
      </c>
      <c r="E237" s="552">
        <f t="shared" si="14"/>
        <v>6489.6993900094803</v>
      </c>
      <c r="G237" s="552">
        <f t="shared" si="15"/>
        <v>565165.96221996227</v>
      </c>
    </row>
    <row r="238" spans="2:7" x14ac:dyDescent="0.3">
      <c r="B238" s="554">
        <v>229</v>
      </c>
      <c r="C238" s="552">
        <f t="shared" si="12"/>
        <v>9433.2721099051178</v>
      </c>
      <c r="D238" s="552">
        <f t="shared" si="13"/>
        <v>2909.7722022393373</v>
      </c>
      <c r="E238" s="552">
        <f t="shared" si="14"/>
        <v>6523.4999076657805</v>
      </c>
      <c r="G238" s="552">
        <f t="shared" si="15"/>
        <v>558676.26282995276</v>
      </c>
    </row>
    <row r="239" spans="2:7" x14ac:dyDescent="0.3">
      <c r="B239" s="554">
        <v>230</v>
      </c>
      <c r="C239" s="552">
        <f t="shared" si="12"/>
        <v>9433.2721099051178</v>
      </c>
      <c r="D239" s="552">
        <f t="shared" si="13"/>
        <v>2875.7956402202449</v>
      </c>
      <c r="E239" s="552">
        <f t="shared" si="14"/>
        <v>6557.4764696848724</v>
      </c>
      <c r="G239" s="552">
        <f t="shared" si="15"/>
        <v>552152.76292228699</v>
      </c>
    </row>
    <row r="240" spans="2:7" x14ac:dyDescent="0.3">
      <c r="B240" s="554">
        <v>231</v>
      </c>
      <c r="C240" s="552">
        <f t="shared" si="12"/>
        <v>9433.2721099051178</v>
      </c>
      <c r="D240" s="552">
        <f t="shared" si="13"/>
        <v>2841.6421169406362</v>
      </c>
      <c r="E240" s="552">
        <f t="shared" si="14"/>
        <v>6591.6299929644811</v>
      </c>
      <c r="G240" s="552">
        <f t="shared" si="15"/>
        <v>545595.28645260213</v>
      </c>
    </row>
    <row r="241" spans="2:7" x14ac:dyDescent="0.3">
      <c r="B241" s="554">
        <v>232</v>
      </c>
      <c r="C241" s="552">
        <f t="shared" si="12"/>
        <v>9433.2721099051178</v>
      </c>
      <c r="D241" s="552">
        <f t="shared" si="13"/>
        <v>2807.3107107272795</v>
      </c>
      <c r="E241" s="552">
        <f t="shared" si="14"/>
        <v>6625.9613991778388</v>
      </c>
      <c r="G241" s="552">
        <f t="shared" si="15"/>
        <v>539003.65645963768</v>
      </c>
    </row>
    <row r="242" spans="2:7" x14ac:dyDescent="0.3">
      <c r="B242" s="554">
        <v>233</v>
      </c>
      <c r="C242" s="552">
        <f t="shared" si="12"/>
        <v>9433.2721099051178</v>
      </c>
      <c r="D242" s="552">
        <f t="shared" si="13"/>
        <v>2772.8004951065618</v>
      </c>
      <c r="E242" s="552">
        <f t="shared" si="14"/>
        <v>6660.4716147985564</v>
      </c>
      <c r="G242" s="552">
        <f t="shared" si="15"/>
        <v>532377.6950604599</v>
      </c>
    </row>
    <row r="243" spans="2:7" x14ac:dyDescent="0.3">
      <c r="B243" s="554">
        <v>234</v>
      </c>
      <c r="C243" s="552">
        <f t="shared" si="12"/>
        <v>9433.2721099051178</v>
      </c>
      <c r="D243" s="552">
        <f t="shared" si="13"/>
        <v>2738.1105387794864</v>
      </c>
      <c r="E243" s="552">
        <f t="shared" si="14"/>
        <v>6695.1615711256309</v>
      </c>
      <c r="G243" s="552">
        <f t="shared" si="15"/>
        <v>525717.22344566137</v>
      </c>
    </row>
    <row r="244" spans="2:7" x14ac:dyDescent="0.3">
      <c r="B244" s="554">
        <v>235</v>
      </c>
      <c r="C244" s="552">
        <f t="shared" si="12"/>
        <v>9433.2721099051178</v>
      </c>
      <c r="D244" s="552">
        <f t="shared" si="13"/>
        <v>2703.2399055965402</v>
      </c>
      <c r="E244" s="552">
        <f t="shared" si="14"/>
        <v>6730.032204308578</v>
      </c>
      <c r="G244" s="552">
        <f t="shared" si="15"/>
        <v>519022.06187453575</v>
      </c>
    </row>
    <row r="245" spans="2:7" x14ac:dyDescent="0.3">
      <c r="B245" s="554">
        <v>236</v>
      </c>
      <c r="C245" s="552">
        <f t="shared" si="12"/>
        <v>9433.2721099051178</v>
      </c>
      <c r="D245" s="552">
        <f t="shared" si="13"/>
        <v>2668.187654532433</v>
      </c>
      <c r="E245" s="552">
        <f t="shared" si="14"/>
        <v>6765.0844553726847</v>
      </c>
      <c r="G245" s="552">
        <f t="shared" si="15"/>
        <v>512292.02967022714</v>
      </c>
    </row>
    <row r="246" spans="2:7" x14ac:dyDescent="0.3">
      <c r="B246" s="554">
        <v>237</v>
      </c>
      <c r="C246" s="552">
        <f t="shared" si="12"/>
        <v>9433.2721099051178</v>
      </c>
      <c r="D246" s="552">
        <f t="shared" si="13"/>
        <v>2632.9528396607002</v>
      </c>
      <c r="E246" s="552">
        <f t="shared" si="14"/>
        <v>6800.3192702444176</v>
      </c>
      <c r="G246" s="552">
        <f t="shared" si="15"/>
        <v>505526.94521485444</v>
      </c>
    </row>
    <row r="247" spans="2:7" x14ac:dyDescent="0.3">
      <c r="B247" s="554">
        <v>238</v>
      </c>
      <c r="C247" s="552">
        <f t="shared" si="12"/>
        <v>9433.2721099051178</v>
      </c>
      <c r="D247" s="552">
        <f t="shared" si="13"/>
        <v>2597.5345101281773</v>
      </c>
      <c r="E247" s="552">
        <f t="shared" si="14"/>
        <v>6835.7375997769404</v>
      </c>
      <c r="G247" s="552">
        <f t="shared" si="15"/>
        <v>498726.62594461004</v>
      </c>
    </row>
    <row r="248" spans="2:7" x14ac:dyDescent="0.3">
      <c r="B248" s="554">
        <v>239</v>
      </c>
      <c r="C248" s="552">
        <f t="shared" si="12"/>
        <v>9433.2721099051178</v>
      </c>
      <c r="D248" s="552">
        <f t="shared" si="13"/>
        <v>2561.9317101293391</v>
      </c>
      <c r="E248" s="552">
        <f t="shared" si="14"/>
        <v>6871.3403997757787</v>
      </c>
      <c r="G248" s="552">
        <f t="shared" si="15"/>
        <v>491890.8883448331</v>
      </c>
    </row>
    <row r="249" spans="2:7" x14ac:dyDescent="0.3">
      <c r="B249" s="554">
        <v>240</v>
      </c>
      <c r="C249" s="552">
        <f t="shared" si="12"/>
        <v>9433.2721099051178</v>
      </c>
      <c r="D249" s="552">
        <f t="shared" si="13"/>
        <v>2526.1434788805068</v>
      </c>
      <c r="E249" s="552">
        <f t="shared" si="14"/>
        <v>6907.1286310246105</v>
      </c>
      <c r="G249" s="552">
        <f t="shared" si="15"/>
        <v>485019.54794505733</v>
      </c>
    </row>
    <row r="250" spans="2:7" x14ac:dyDescent="0.3">
      <c r="B250" s="554">
        <v>241</v>
      </c>
      <c r="C250" s="552">
        <f t="shared" si="12"/>
        <v>9433.2721099051178</v>
      </c>
      <c r="D250" s="552">
        <f t="shared" si="13"/>
        <v>2490.1688505939205</v>
      </c>
      <c r="E250" s="552">
        <f t="shared" si="14"/>
        <v>6943.1032593111977</v>
      </c>
      <c r="G250" s="552">
        <f t="shared" si="15"/>
        <v>478112.41931403271</v>
      </c>
    </row>
    <row r="251" spans="2:7" x14ac:dyDescent="0.3">
      <c r="B251" s="554">
        <v>242</v>
      </c>
      <c r="C251" s="552">
        <f t="shared" si="12"/>
        <v>9433.2721099051178</v>
      </c>
      <c r="D251" s="552">
        <f t="shared" si="13"/>
        <v>2454.0068544516748</v>
      </c>
      <c r="E251" s="552">
        <f t="shared" si="14"/>
        <v>6979.2652554534434</v>
      </c>
      <c r="G251" s="552">
        <f t="shared" si="15"/>
        <v>471169.31605472154</v>
      </c>
    </row>
    <row r="252" spans="2:7" x14ac:dyDescent="0.3">
      <c r="B252" s="554">
        <v>243</v>
      </c>
      <c r="C252" s="552">
        <f t="shared" si="12"/>
        <v>9433.2721099051178</v>
      </c>
      <c r="D252" s="552">
        <f t="shared" si="13"/>
        <v>2417.6565145795212</v>
      </c>
      <c r="E252" s="552">
        <f t="shared" si="14"/>
        <v>7015.6155953255966</v>
      </c>
      <c r="G252" s="552">
        <f t="shared" si="15"/>
        <v>464190.05079926807</v>
      </c>
    </row>
    <row r="253" spans="2:7" x14ac:dyDescent="0.3">
      <c r="B253" s="554">
        <v>244</v>
      </c>
      <c r="C253" s="552">
        <f t="shared" si="12"/>
        <v>9433.2721099051178</v>
      </c>
      <c r="D253" s="552">
        <f t="shared" si="13"/>
        <v>2381.1168500205335</v>
      </c>
      <c r="E253" s="552">
        <f t="shared" si="14"/>
        <v>7052.1552598845847</v>
      </c>
      <c r="G253" s="552">
        <f t="shared" si="15"/>
        <v>457174.43520394247</v>
      </c>
    </row>
    <row r="254" spans="2:7" x14ac:dyDescent="0.3">
      <c r="B254" s="554">
        <v>245</v>
      </c>
      <c r="C254" s="552">
        <f t="shared" si="12"/>
        <v>9433.2721099051178</v>
      </c>
      <c r="D254" s="552">
        <f t="shared" si="13"/>
        <v>2344.3868747086349</v>
      </c>
      <c r="E254" s="552">
        <f t="shared" si="14"/>
        <v>7088.8852351964833</v>
      </c>
      <c r="G254" s="552">
        <f t="shared" si="15"/>
        <v>450122.27994405787</v>
      </c>
    </row>
    <row r="255" spans="2:7" x14ac:dyDescent="0.3">
      <c r="B255" s="554">
        <v>246</v>
      </c>
      <c r="C255" s="552">
        <f t="shared" si="12"/>
        <v>9433.2721099051178</v>
      </c>
      <c r="D255" s="552">
        <f t="shared" si="13"/>
        <v>2307.4655974419861</v>
      </c>
      <c r="E255" s="552">
        <f t="shared" si="14"/>
        <v>7125.8065124631321</v>
      </c>
      <c r="G255" s="552">
        <f t="shared" si="15"/>
        <v>443033.39470886136</v>
      </c>
    </row>
    <row r="256" spans="2:7" x14ac:dyDescent="0.3">
      <c r="B256" s="554">
        <v>247</v>
      </c>
      <c r="C256" s="552">
        <f t="shared" si="12"/>
        <v>9433.2721099051178</v>
      </c>
      <c r="D256" s="552">
        <f t="shared" si="13"/>
        <v>2270.3520218562408</v>
      </c>
      <c r="E256" s="552">
        <f t="shared" si="14"/>
        <v>7162.920088048877</v>
      </c>
      <c r="G256" s="552">
        <f t="shared" si="15"/>
        <v>435907.58819639822</v>
      </c>
    </row>
    <row r="257" spans="2:7" x14ac:dyDescent="0.3">
      <c r="B257" s="554">
        <v>248</v>
      </c>
      <c r="C257" s="552">
        <f t="shared" si="12"/>
        <v>9433.2721099051178</v>
      </c>
      <c r="D257" s="552">
        <f t="shared" si="13"/>
        <v>2233.0451463976528</v>
      </c>
      <c r="E257" s="552">
        <f t="shared" si="14"/>
        <v>7200.2269635074645</v>
      </c>
      <c r="G257" s="552">
        <f t="shared" si="15"/>
        <v>428744.66810834937</v>
      </c>
    </row>
    <row r="258" spans="2:7" x14ac:dyDescent="0.3">
      <c r="B258" s="554">
        <v>249</v>
      </c>
      <c r="C258" s="552">
        <f t="shared" si="12"/>
        <v>9433.2721099051178</v>
      </c>
      <c r="D258" s="552">
        <f t="shared" si="13"/>
        <v>2195.5439642960514</v>
      </c>
      <c r="E258" s="552">
        <f t="shared" si="14"/>
        <v>7237.7281456090659</v>
      </c>
      <c r="G258" s="552">
        <f t="shared" si="15"/>
        <v>421544.4411448419</v>
      </c>
    </row>
    <row r="259" spans="2:7" x14ac:dyDescent="0.3">
      <c r="B259" s="554">
        <v>250</v>
      </c>
      <c r="C259" s="552">
        <f t="shared" si="12"/>
        <v>9433.2721099051178</v>
      </c>
      <c r="D259" s="552">
        <f t="shared" si="13"/>
        <v>2157.847463537671</v>
      </c>
      <c r="E259" s="552">
        <f t="shared" si="14"/>
        <v>7275.4246463674463</v>
      </c>
      <c r="G259" s="552">
        <f t="shared" si="15"/>
        <v>414306.71299923281</v>
      </c>
    </row>
    <row r="260" spans="2:7" x14ac:dyDescent="0.3">
      <c r="B260" s="554">
        <v>251</v>
      </c>
      <c r="C260" s="552">
        <f t="shared" si="12"/>
        <v>9433.2721099051178</v>
      </c>
      <c r="D260" s="552">
        <f t="shared" si="13"/>
        <v>2119.9546268378404</v>
      </c>
      <c r="E260" s="552">
        <f t="shared" si="14"/>
        <v>7313.3174830672779</v>
      </c>
      <c r="G260" s="552">
        <f t="shared" si="15"/>
        <v>407031.28835286538</v>
      </c>
    </row>
    <row r="261" spans="2:7" x14ac:dyDescent="0.3">
      <c r="B261" s="554">
        <v>252</v>
      </c>
      <c r="C261" s="552">
        <f t="shared" si="12"/>
        <v>9433.2721099051178</v>
      </c>
      <c r="D261" s="552">
        <f t="shared" si="13"/>
        <v>2081.8644316135319</v>
      </c>
      <c r="E261" s="552">
        <f t="shared" si="14"/>
        <v>7351.4076782915854</v>
      </c>
      <c r="G261" s="552">
        <f t="shared" si="15"/>
        <v>399717.9708697981</v>
      </c>
    </row>
    <row r="262" spans="2:7" x14ac:dyDescent="0.3">
      <c r="B262" s="554">
        <v>253</v>
      </c>
      <c r="C262" s="552">
        <f t="shared" si="12"/>
        <v>9433.2721099051178</v>
      </c>
      <c r="D262" s="552">
        <f t="shared" si="13"/>
        <v>2043.575849955763</v>
      </c>
      <c r="E262" s="552">
        <f t="shared" si="14"/>
        <v>7389.6962599493545</v>
      </c>
      <c r="G262" s="552">
        <f t="shared" si="15"/>
        <v>392366.56319150649</v>
      </c>
    </row>
    <row r="263" spans="2:7" x14ac:dyDescent="0.3">
      <c r="B263" s="554">
        <v>254</v>
      </c>
      <c r="C263" s="552">
        <f t="shared" si="12"/>
        <v>9433.2721099051178</v>
      </c>
      <c r="D263" s="552">
        <f t="shared" si="13"/>
        <v>2005.0878486018601</v>
      </c>
      <c r="E263" s="552">
        <f t="shared" si="14"/>
        <v>7428.1842613032577</v>
      </c>
      <c r="G263" s="552">
        <f t="shared" si="15"/>
        <v>384976.86693155713</v>
      </c>
    </row>
    <row r="264" spans="2:7" x14ac:dyDescent="0.3">
      <c r="B264" s="554">
        <v>255</v>
      </c>
      <c r="C264" s="552">
        <f t="shared" si="12"/>
        <v>9433.2721099051178</v>
      </c>
      <c r="D264" s="552">
        <f t="shared" si="13"/>
        <v>1966.3993889075721</v>
      </c>
      <c r="E264" s="552">
        <f t="shared" si="14"/>
        <v>7466.8727209975459</v>
      </c>
      <c r="G264" s="552">
        <f t="shared" si="15"/>
        <v>377548.68267025385</v>
      </c>
    </row>
    <row r="265" spans="2:7" x14ac:dyDescent="0.3">
      <c r="B265" s="554">
        <v>256</v>
      </c>
      <c r="C265" s="552">
        <f t="shared" si="12"/>
        <v>9433.2721099051178</v>
      </c>
      <c r="D265" s="552">
        <f t="shared" si="13"/>
        <v>1927.5094268190433</v>
      </c>
      <c r="E265" s="552">
        <f t="shared" si="14"/>
        <v>7505.7626830860745</v>
      </c>
      <c r="G265" s="552">
        <f t="shared" si="15"/>
        <v>370081.80994925631</v>
      </c>
    </row>
    <row r="266" spans="2:7" x14ac:dyDescent="0.3">
      <c r="B266" s="554">
        <v>257</v>
      </c>
      <c r="C266" s="552">
        <f t="shared" ref="C266:C329" si="16">IF($C$3&lt;G266+(G266*($C$4/$C$6)),$C$3,G266+(G266*($C$4/$C$6)))</f>
        <v>9433.2721099051178</v>
      </c>
      <c r="D266" s="552">
        <f t="shared" ref="D266:D329" si="17">G266*$C$4/$C$6</f>
        <v>1888.4169128446365</v>
      </c>
      <c r="E266" s="552">
        <f t="shared" ref="E266:E329" si="18">C266-D266</f>
        <v>7544.8551970604813</v>
      </c>
      <c r="G266" s="552">
        <f t="shared" si="15"/>
        <v>362576.04726617021</v>
      </c>
    </row>
    <row r="267" spans="2:7" x14ac:dyDescent="0.3">
      <c r="B267" s="554">
        <v>258</v>
      </c>
      <c r="C267" s="552">
        <f t="shared" si="16"/>
        <v>9433.2721099051178</v>
      </c>
      <c r="D267" s="552">
        <f t="shared" si="17"/>
        <v>1849.1207920266131</v>
      </c>
      <c r="E267" s="552">
        <f t="shared" si="18"/>
        <v>7584.1513178785044</v>
      </c>
      <c r="G267" s="552">
        <f t="shared" ref="G267:G330" si="19">G266-E266-F266</f>
        <v>355031.1920691097</v>
      </c>
    </row>
    <row r="268" spans="2:7" x14ac:dyDescent="0.3">
      <c r="B268" s="554">
        <v>259</v>
      </c>
      <c r="C268" s="552">
        <f t="shared" si="16"/>
        <v>9433.2721099051178</v>
      </c>
      <c r="D268" s="552">
        <f t="shared" si="17"/>
        <v>1809.6200039126625</v>
      </c>
      <c r="E268" s="552">
        <f t="shared" si="18"/>
        <v>7623.6521059924553</v>
      </c>
      <c r="G268" s="552">
        <f t="shared" si="19"/>
        <v>347447.04075123119</v>
      </c>
    </row>
    <row r="269" spans="2:7" x14ac:dyDescent="0.3">
      <c r="B269" s="554">
        <v>260</v>
      </c>
      <c r="C269" s="552">
        <f t="shared" si="16"/>
        <v>9433.2721099051178</v>
      </c>
      <c r="D269" s="552">
        <f t="shared" si="17"/>
        <v>1769.9134825272852</v>
      </c>
      <c r="E269" s="552">
        <f t="shared" si="18"/>
        <v>7663.3586273778328</v>
      </c>
      <c r="G269" s="552">
        <f t="shared" si="19"/>
        <v>339823.38864523877</v>
      </c>
    </row>
    <row r="270" spans="2:7" x14ac:dyDescent="0.3">
      <c r="B270" s="554">
        <v>261</v>
      </c>
      <c r="C270" s="552">
        <f t="shared" si="16"/>
        <v>9433.2721099051178</v>
      </c>
      <c r="D270" s="552">
        <f t="shared" si="17"/>
        <v>1730.0001563430258</v>
      </c>
      <c r="E270" s="552">
        <f t="shared" si="18"/>
        <v>7703.2719535620918</v>
      </c>
      <c r="G270" s="552">
        <f t="shared" si="19"/>
        <v>332160.03001786093</v>
      </c>
    </row>
    <row r="271" spans="2:7" x14ac:dyDescent="0.3">
      <c r="B271" s="554">
        <v>262</v>
      </c>
      <c r="C271" s="552">
        <f t="shared" si="16"/>
        <v>9433.2721099051178</v>
      </c>
      <c r="D271" s="552">
        <f t="shared" si="17"/>
        <v>1689.8789482515565</v>
      </c>
      <c r="E271" s="552">
        <f t="shared" si="18"/>
        <v>7743.393161653561</v>
      </c>
      <c r="G271" s="552">
        <f t="shared" si="19"/>
        <v>324456.75806429883</v>
      </c>
    </row>
    <row r="272" spans="2:7" x14ac:dyDescent="0.3">
      <c r="B272" s="554">
        <v>263</v>
      </c>
      <c r="C272" s="552">
        <f t="shared" si="16"/>
        <v>9433.2721099051178</v>
      </c>
      <c r="D272" s="552">
        <f t="shared" si="17"/>
        <v>1649.548775534611</v>
      </c>
      <c r="E272" s="552">
        <f t="shared" si="18"/>
        <v>7783.7233343705066</v>
      </c>
      <c r="G272" s="552">
        <f t="shared" si="19"/>
        <v>316713.36490264529</v>
      </c>
    </row>
    <row r="273" spans="2:7" x14ac:dyDescent="0.3">
      <c r="B273" s="554">
        <v>264</v>
      </c>
      <c r="C273" s="552">
        <f t="shared" si="16"/>
        <v>9433.2721099051178</v>
      </c>
      <c r="D273" s="552">
        <f t="shared" si="17"/>
        <v>1609.0085498347644</v>
      </c>
      <c r="E273" s="552">
        <f t="shared" si="18"/>
        <v>7824.2635600703534</v>
      </c>
      <c r="G273" s="552">
        <f t="shared" si="19"/>
        <v>308929.64156827476</v>
      </c>
    </row>
    <row r="274" spans="2:7" x14ac:dyDescent="0.3">
      <c r="B274" s="554">
        <v>265</v>
      </c>
      <c r="C274" s="552">
        <f t="shared" si="16"/>
        <v>9433.2721099051178</v>
      </c>
      <c r="D274" s="552">
        <f t="shared" si="17"/>
        <v>1568.2571771260646</v>
      </c>
      <c r="E274" s="552">
        <f t="shared" si="18"/>
        <v>7865.0149327790532</v>
      </c>
      <c r="G274" s="552">
        <f t="shared" si="19"/>
        <v>301105.3780082044</v>
      </c>
    </row>
    <row r="275" spans="2:7" x14ac:dyDescent="0.3">
      <c r="B275" s="554">
        <v>266</v>
      </c>
      <c r="C275" s="552">
        <f t="shared" si="16"/>
        <v>9433.2721099051178</v>
      </c>
      <c r="D275" s="552">
        <f t="shared" si="17"/>
        <v>1527.2935576845068</v>
      </c>
      <c r="E275" s="552">
        <f t="shared" si="18"/>
        <v>7905.9785522206112</v>
      </c>
      <c r="G275" s="552">
        <f t="shared" si="19"/>
        <v>293240.36307542532</v>
      </c>
    </row>
    <row r="276" spans="2:7" x14ac:dyDescent="0.3">
      <c r="B276" s="554">
        <v>267</v>
      </c>
      <c r="C276" s="552">
        <f t="shared" si="16"/>
        <v>9433.2721099051178</v>
      </c>
      <c r="D276" s="552">
        <f t="shared" si="17"/>
        <v>1486.1165860583578</v>
      </c>
      <c r="E276" s="552">
        <f t="shared" si="18"/>
        <v>7947.1555238467599</v>
      </c>
      <c r="G276" s="552">
        <f t="shared" si="19"/>
        <v>285334.3845232047</v>
      </c>
    </row>
    <row r="277" spans="2:7" x14ac:dyDescent="0.3">
      <c r="B277" s="554">
        <v>268</v>
      </c>
      <c r="C277" s="552">
        <f t="shared" si="16"/>
        <v>9433.2721099051178</v>
      </c>
      <c r="D277" s="552">
        <f t="shared" si="17"/>
        <v>1444.7251510383228</v>
      </c>
      <c r="E277" s="552">
        <f t="shared" si="18"/>
        <v>7988.5469588667947</v>
      </c>
      <c r="G277" s="552">
        <f t="shared" si="19"/>
        <v>277387.22899935796</v>
      </c>
    </row>
    <row r="278" spans="2:7" x14ac:dyDescent="0.3">
      <c r="B278" s="554">
        <v>269</v>
      </c>
      <c r="C278" s="552">
        <f t="shared" si="16"/>
        <v>9433.2721099051178</v>
      </c>
      <c r="D278" s="552">
        <f t="shared" si="17"/>
        <v>1403.1181356275581</v>
      </c>
      <c r="E278" s="552">
        <f t="shared" si="18"/>
        <v>8030.1539742775594</v>
      </c>
      <c r="G278" s="552">
        <f t="shared" si="19"/>
        <v>269398.68204049114</v>
      </c>
    </row>
    <row r="279" spans="2:7" x14ac:dyDescent="0.3">
      <c r="B279" s="554">
        <v>270</v>
      </c>
      <c r="C279" s="552">
        <f t="shared" si="16"/>
        <v>9433.2721099051178</v>
      </c>
      <c r="D279" s="552">
        <f t="shared" si="17"/>
        <v>1361.294417011529</v>
      </c>
      <c r="E279" s="552">
        <f t="shared" si="18"/>
        <v>8071.9776928935889</v>
      </c>
      <c r="G279" s="552">
        <f t="shared" si="19"/>
        <v>261368.52806621359</v>
      </c>
    </row>
    <row r="280" spans="2:7" x14ac:dyDescent="0.3">
      <c r="B280" s="554">
        <v>271</v>
      </c>
      <c r="C280" s="552">
        <f t="shared" si="16"/>
        <v>9433.2721099051178</v>
      </c>
      <c r="D280" s="552">
        <f t="shared" si="17"/>
        <v>1319.2528665277084</v>
      </c>
      <c r="E280" s="552">
        <f t="shared" si="18"/>
        <v>8114.0192433774091</v>
      </c>
      <c r="G280" s="552">
        <f t="shared" si="19"/>
        <v>253296.55037332</v>
      </c>
    </row>
    <row r="281" spans="2:7" x14ac:dyDescent="0.3">
      <c r="B281" s="554">
        <v>272</v>
      </c>
      <c r="C281" s="552">
        <f t="shared" si="16"/>
        <v>9433.2721099051178</v>
      </c>
      <c r="D281" s="552">
        <f t="shared" si="17"/>
        <v>1276.9923496351178</v>
      </c>
      <c r="E281" s="552">
        <f t="shared" si="18"/>
        <v>8156.2797602700002</v>
      </c>
      <c r="G281" s="552">
        <f t="shared" si="19"/>
        <v>245182.5311299426</v>
      </c>
    </row>
    <row r="282" spans="2:7" x14ac:dyDescent="0.3">
      <c r="B282" s="554">
        <v>273</v>
      </c>
      <c r="C282" s="552">
        <f t="shared" si="16"/>
        <v>9433.2721099051178</v>
      </c>
      <c r="D282" s="552">
        <f t="shared" si="17"/>
        <v>1234.5117258837115</v>
      </c>
      <c r="E282" s="552">
        <f t="shared" si="18"/>
        <v>8198.7603840214069</v>
      </c>
      <c r="G282" s="552">
        <f t="shared" si="19"/>
        <v>237026.25136967259</v>
      </c>
    </row>
    <row r="283" spans="2:7" x14ac:dyDescent="0.3">
      <c r="B283" s="554">
        <v>274</v>
      </c>
      <c r="C283" s="552">
        <f t="shared" si="16"/>
        <v>9433.2721099051178</v>
      </c>
      <c r="D283" s="552">
        <f t="shared" si="17"/>
        <v>1191.8098488835999</v>
      </c>
      <c r="E283" s="552">
        <f t="shared" si="18"/>
        <v>8241.4622610215174</v>
      </c>
      <c r="G283" s="552">
        <f t="shared" si="19"/>
        <v>228827.49098565118</v>
      </c>
    </row>
    <row r="284" spans="2:7" x14ac:dyDescent="0.3">
      <c r="B284" s="554">
        <v>275</v>
      </c>
      <c r="C284" s="552">
        <f t="shared" si="16"/>
        <v>9433.2721099051178</v>
      </c>
      <c r="D284" s="552">
        <f t="shared" si="17"/>
        <v>1148.8855662741128</v>
      </c>
      <c r="E284" s="552">
        <f t="shared" si="18"/>
        <v>8284.3865436310043</v>
      </c>
      <c r="G284" s="552">
        <f t="shared" si="19"/>
        <v>220586.02872462966</v>
      </c>
    </row>
    <row r="285" spans="2:7" x14ac:dyDescent="0.3">
      <c r="B285" s="554">
        <v>276</v>
      </c>
      <c r="C285" s="552">
        <f t="shared" si="16"/>
        <v>9433.2721099051178</v>
      </c>
      <c r="D285" s="552">
        <f t="shared" si="17"/>
        <v>1105.7377196927014</v>
      </c>
      <c r="E285" s="552">
        <f t="shared" si="18"/>
        <v>8327.5343902124168</v>
      </c>
      <c r="G285" s="552">
        <f t="shared" si="19"/>
        <v>212301.64218099866</v>
      </c>
    </row>
    <row r="286" spans="2:7" x14ac:dyDescent="0.3">
      <c r="B286" s="554">
        <v>277</v>
      </c>
      <c r="C286" s="552">
        <f t="shared" si="16"/>
        <v>9433.2721099051178</v>
      </c>
      <c r="D286" s="552">
        <f t="shared" si="17"/>
        <v>1062.3651447436785</v>
      </c>
      <c r="E286" s="552">
        <f t="shared" si="18"/>
        <v>8370.9069651614391</v>
      </c>
      <c r="G286" s="552">
        <f t="shared" si="19"/>
        <v>203974.10779078625</v>
      </c>
    </row>
    <row r="287" spans="2:7" x14ac:dyDescent="0.3">
      <c r="B287" s="554">
        <v>278</v>
      </c>
      <c r="C287" s="552">
        <f t="shared" si="16"/>
        <v>9433.2721099051178</v>
      </c>
      <c r="D287" s="552">
        <f t="shared" si="17"/>
        <v>1018.7666709667959</v>
      </c>
      <c r="E287" s="552">
        <f t="shared" si="18"/>
        <v>8414.5054389383222</v>
      </c>
      <c r="G287" s="552">
        <f t="shared" si="19"/>
        <v>195603.20082562481</v>
      </c>
    </row>
    <row r="288" spans="2:7" x14ac:dyDescent="0.3">
      <c r="B288" s="554">
        <v>279</v>
      </c>
      <c r="C288" s="552">
        <f t="shared" si="16"/>
        <v>9433.2721099051178</v>
      </c>
      <c r="D288" s="552">
        <f t="shared" si="17"/>
        <v>974.94112180565878</v>
      </c>
      <c r="E288" s="552">
        <f t="shared" si="18"/>
        <v>8458.3309880994584</v>
      </c>
      <c r="G288" s="552">
        <f t="shared" si="19"/>
        <v>187188.69538668648</v>
      </c>
    </row>
    <row r="289" spans="2:7" x14ac:dyDescent="0.3">
      <c r="B289" s="554">
        <v>280</v>
      </c>
      <c r="C289" s="552">
        <f t="shared" si="16"/>
        <v>9433.2721099051178</v>
      </c>
      <c r="D289" s="552">
        <f t="shared" si="17"/>
        <v>930.88731457597407</v>
      </c>
      <c r="E289" s="552">
        <f t="shared" si="18"/>
        <v>8502.3847953291443</v>
      </c>
      <c r="G289" s="552">
        <f t="shared" si="19"/>
        <v>178730.36439858703</v>
      </c>
    </row>
    <row r="290" spans="2:7" x14ac:dyDescent="0.3">
      <c r="B290" s="554">
        <v>281</v>
      </c>
      <c r="C290" s="552">
        <f t="shared" si="16"/>
        <v>9433.2721099051178</v>
      </c>
      <c r="D290" s="552">
        <f t="shared" si="17"/>
        <v>886.6040604336348</v>
      </c>
      <c r="E290" s="552">
        <f t="shared" si="18"/>
        <v>8546.6680494714838</v>
      </c>
      <c r="G290" s="552">
        <f t="shared" si="19"/>
        <v>170227.97960325787</v>
      </c>
    </row>
    <row r="291" spans="2:7" x14ac:dyDescent="0.3">
      <c r="B291" s="554">
        <v>282</v>
      </c>
      <c r="C291" s="552">
        <f t="shared" si="16"/>
        <v>9433.2721099051178</v>
      </c>
      <c r="D291" s="552">
        <f t="shared" si="17"/>
        <v>842.09016434263742</v>
      </c>
      <c r="E291" s="552">
        <f t="shared" si="18"/>
        <v>8591.1819455624809</v>
      </c>
      <c r="G291" s="552">
        <f t="shared" si="19"/>
        <v>161681.31155378639</v>
      </c>
    </row>
    <row r="292" spans="2:7" x14ac:dyDescent="0.3">
      <c r="B292" s="554">
        <v>283</v>
      </c>
      <c r="C292" s="552">
        <f t="shared" si="16"/>
        <v>9433.2721099051178</v>
      </c>
      <c r="D292" s="552">
        <f t="shared" si="17"/>
        <v>797.34442504283288</v>
      </c>
      <c r="E292" s="552">
        <f t="shared" si="18"/>
        <v>8635.9276848622849</v>
      </c>
      <c r="G292" s="552">
        <f t="shared" si="19"/>
        <v>153090.12960822391</v>
      </c>
    </row>
    <row r="293" spans="2:7" x14ac:dyDescent="0.3">
      <c r="B293" s="554">
        <v>284</v>
      </c>
      <c r="C293" s="552">
        <f t="shared" si="16"/>
        <v>9433.2721099051178</v>
      </c>
      <c r="D293" s="552">
        <f t="shared" si="17"/>
        <v>752.36563501750845</v>
      </c>
      <c r="E293" s="552">
        <f t="shared" si="18"/>
        <v>8680.9064748876099</v>
      </c>
      <c r="G293" s="552">
        <f t="shared" si="19"/>
        <v>144454.20192336163</v>
      </c>
    </row>
    <row r="294" spans="2:7" x14ac:dyDescent="0.3">
      <c r="B294" s="554">
        <v>285</v>
      </c>
      <c r="C294" s="552">
        <f t="shared" si="16"/>
        <v>9433.2721099051178</v>
      </c>
      <c r="D294" s="552">
        <f t="shared" si="17"/>
        <v>707.15258046080226</v>
      </c>
      <c r="E294" s="552">
        <f t="shared" si="18"/>
        <v>8726.119529444315</v>
      </c>
      <c r="G294" s="552">
        <f t="shared" si="19"/>
        <v>135773.29544847403</v>
      </c>
    </row>
    <row r="295" spans="2:7" x14ac:dyDescent="0.3">
      <c r="B295" s="554">
        <v>286</v>
      </c>
      <c r="C295" s="552">
        <f t="shared" si="16"/>
        <v>9433.2721099051178</v>
      </c>
      <c r="D295" s="552">
        <f t="shared" si="17"/>
        <v>661.70404124494644</v>
      </c>
      <c r="E295" s="552">
        <f t="shared" si="18"/>
        <v>8771.5680686601718</v>
      </c>
      <c r="G295" s="552">
        <f t="shared" si="19"/>
        <v>127047.17591902972</v>
      </c>
    </row>
    <row r="296" spans="2:7" x14ac:dyDescent="0.3">
      <c r="B296" s="554">
        <v>287</v>
      </c>
      <c r="C296" s="552">
        <f t="shared" si="16"/>
        <v>9433.2721099051178</v>
      </c>
      <c r="D296" s="552">
        <f t="shared" si="17"/>
        <v>616.01879088734142</v>
      </c>
      <c r="E296" s="552">
        <f t="shared" si="18"/>
        <v>8817.2533190177764</v>
      </c>
      <c r="G296" s="552">
        <f t="shared" si="19"/>
        <v>118275.60785036955</v>
      </c>
    </row>
    <row r="297" spans="2:7" x14ac:dyDescent="0.3">
      <c r="B297" s="554">
        <v>288</v>
      </c>
      <c r="C297" s="552">
        <f t="shared" si="16"/>
        <v>9433.2721099051178</v>
      </c>
      <c r="D297" s="552">
        <f t="shared" si="17"/>
        <v>570.09559651745712</v>
      </c>
      <c r="E297" s="552">
        <f t="shared" si="18"/>
        <v>8863.1765133876615</v>
      </c>
      <c r="G297" s="552">
        <f t="shared" si="19"/>
        <v>109458.35453135177</v>
      </c>
    </row>
    <row r="298" spans="2:7" x14ac:dyDescent="0.3">
      <c r="B298" s="554">
        <v>289</v>
      </c>
      <c r="C298" s="552">
        <f t="shared" si="16"/>
        <v>9433.2721099051178</v>
      </c>
      <c r="D298" s="552">
        <f t="shared" si="17"/>
        <v>523.93321884356305</v>
      </c>
      <c r="E298" s="552">
        <f t="shared" si="18"/>
        <v>8909.338891061554</v>
      </c>
      <c r="G298" s="552">
        <f t="shared" si="19"/>
        <v>100595.17801796411</v>
      </c>
    </row>
    <row r="299" spans="2:7" x14ac:dyDescent="0.3">
      <c r="B299" s="554">
        <v>290</v>
      </c>
      <c r="C299" s="552">
        <f t="shared" si="16"/>
        <v>9433.2721099051178</v>
      </c>
      <c r="D299" s="552">
        <f t="shared" si="17"/>
        <v>477.53041211928411</v>
      </c>
      <c r="E299" s="552">
        <f t="shared" si="18"/>
        <v>8955.7416977858338</v>
      </c>
      <c r="G299" s="552">
        <f t="shared" si="19"/>
        <v>91685.839126902545</v>
      </c>
    </row>
    <row r="300" spans="2:7" x14ac:dyDescent="0.3">
      <c r="B300" s="554">
        <v>291</v>
      </c>
      <c r="C300" s="552">
        <f t="shared" si="16"/>
        <v>9433.2721099051178</v>
      </c>
      <c r="D300" s="552">
        <f t="shared" si="17"/>
        <v>430.88592410998285</v>
      </c>
      <c r="E300" s="552">
        <f t="shared" si="18"/>
        <v>9002.3861857951342</v>
      </c>
      <c r="G300" s="552">
        <f t="shared" si="19"/>
        <v>82730.097429116708</v>
      </c>
    </row>
    <row r="301" spans="2:7" x14ac:dyDescent="0.3">
      <c r="B301" s="554">
        <v>292</v>
      </c>
      <c r="C301" s="552">
        <f t="shared" si="16"/>
        <v>9433.2721099051178</v>
      </c>
      <c r="D301" s="552">
        <f t="shared" si="17"/>
        <v>383.99849605896651</v>
      </c>
      <c r="E301" s="552">
        <f t="shared" si="18"/>
        <v>9049.2736138461514</v>
      </c>
      <c r="G301" s="552">
        <f t="shared" si="19"/>
        <v>73727.711243321566</v>
      </c>
    </row>
    <row r="302" spans="2:7" x14ac:dyDescent="0.3">
      <c r="B302" s="554">
        <v>293</v>
      </c>
      <c r="C302" s="552">
        <f t="shared" si="16"/>
        <v>9433.2721099051178</v>
      </c>
      <c r="D302" s="552">
        <f t="shared" si="17"/>
        <v>336.86686265351779</v>
      </c>
      <c r="E302" s="552">
        <f t="shared" si="18"/>
        <v>9096.4052472515996</v>
      </c>
      <c r="G302" s="552">
        <f t="shared" si="19"/>
        <v>64678.437629475418</v>
      </c>
    </row>
    <row r="303" spans="2:7" x14ac:dyDescent="0.3">
      <c r="B303" s="554">
        <v>294</v>
      </c>
      <c r="C303" s="552">
        <f t="shared" si="16"/>
        <v>9433.2721099051178</v>
      </c>
      <c r="D303" s="552">
        <f t="shared" si="17"/>
        <v>289.48975199074908</v>
      </c>
      <c r="E303" s="552">
        <f t="shared" si="18"/>
        <v>9143.7823579143678</v>
      </c>
      <c r="G303" s="552">
        <f t="shared" si="19"/>
        <v>55582.032382223821</v>
      </c>
    </row>
    <row r="304" spans="2:7" x14ac:dyDescent="0.3">
      <c r="B304" s="554">
        <v>295</v>
      </c>
      <c r="C304" s="552">
        <f t="shared" si="16"/>
        <v>9433.2721099051178</v>
      </c>
      <c r="D304" s="552">
        <f t="shared" si="17"/>
        <v>241.86588554327841</v>
      </c>
      <c r="E304" s="552">
        <f t="shared" si="18"/>
        <v>9191.4062243618391</v>
      </c>
      <c r="G304" s="552">
        <f t="shared" si="19"/>
        <v>46438.250024309455</v>
      </c>
    </row>
    <row r="305" spans="2:7" x14ac:dyDescent="0.3">
      <c r="B305" s="554">
        <v>296</v>
      </c>
      <c r="C305" s="552">
        <f t="shared" si="16"/>
        <v>9433.2721099051178</v>
      </c>
      <c r="D305" s="552">
        <f t="shared" si="17"/>
        <v>193.99397812472716</v>
      </c>
      <c r="E305" s="552">
        <f t="shared" si="18"/>
        <v>9239.278131780391</v>
      </c>
      <c r="G305" s="552">
        <f t="shared" si="19"/>
        <v>37246.843799947615</v>
      </c>
    </row>
    <row r="306" spans="2:7" x14ac:dyDescent="0.3">
      <c r="B306" s="554">
        <v>297</v>
      </c>
      <c r="C306" s="552">
        <f t="shared" si="16"/>
        <v>9433.2721099051178</v>
      </c>
      <c r="D306" s="552">
        <f t="shared" si="17"/>
        <v>145.87273785503763</v>
      </c>
      <c r="E306" s="552">
        <f t="shared" si="18"/>
        <v>9287.3993720500803</v>
      </c>
      <c r="G306" s="552">
        <f t="shared" si="19"/>
        <v>28007.565668167226</v>
      </c>
    </row>
    <row r="307" spans="2:7" x14ac:dyDescent="0.3">
      <c r="B307" s="554">
        <v>298</v>
      </c>
      <c r="C307" s="552">
        <f t="shared" si="16"/>
        <v>9433.2721099051178</v>
      </c>
      <c r="D307" s="552">
        <f t="shared" si="17"/>
        <v>97.500866125610131</v>
      </c>
      <c r="E307" s="552">
        <f t="shared" si="18"/>
        <v>9335.7712437795071</v>
      </c>
      <c r="G307" s="552">
        <f t="shared" si="19"/>
        <v>18720.166296117146</v>
      </c>
    </row>
    <row r="308" spans="2:7" x14ac:dyDescent="0.3">
      <c r="B308" s="554">
        <v>299</v>
      </c>
      <c r="C308" s="552">
        <f t="shared" si="16"/>
        <v>9433.2721099018981</v>
      </c>
      <c r="D308" s="552">
        <f t="shared" si="17"/>
        <v>48.877057564258536</v>
      </c>
      <c r="E308" s="552">
        <f t="shared" si="18"/>
        <v>9384.3950523376388</v>
      </c>
      <c r="G308" s="552">
        <f t="shared" si="19"/>
        <v>9384.3950523376388</v>
      </c>
    </row>
    <row r="309" spans="2:7" x14ac:dyDescent="0.3">
      <c r="B309" s="554">
        <v>300</v>
      </c>
      <c r="C309" s="552">
        <f t="shared" si="16"/>
        <v>0</v>
      </c>
      <c r="D309" s="552">
        <f t="shared" si="17"/>
        <v>0</v>
      </c>
      <c r="E309" s="552">
        <f t="shared" si="18"/>
        <v>0</v>
      </c>
      <c r="G309" s="552">
        <f t="shared" si="19"/>
        <v>0</v>
      </c>
    </row>
    <row r="310" spans="2:7" x14ac:dyDescent="0.3">
      <c r="B310" s="554">
        <v>301</v>
      </c>
      <c r="C310" s="552">
        <f t="shared" si="16"/>
        <v>0</v>
      </c>
      <c r="D310" s="552">
        <f t="shared" si="17"/>
        <v>0</v>
      </c>
      <c r="E310" s="552">
        <f t="shared" si="18"/>
        <v>0</v>
      </c>
      <c r="G310" s="552">
        <f t="shared" si="19"/>
        <v>0</v>
      </c>
    </row>
    <row r="311" spans="2:7" x14ac:dyDescent="0.3">
      <c r="B311" s="554">
        <v>302</v>
      </c>
      <c r="C311" s="552">
        <f t="shared" si="16"/>
        <v>0</v>
      </c>
      <c r="D311" s="552">
        <f t="shared" si="17"/>
        <v>0</v>
      </c>
      <c r="E311" s="552">
        <f t="shared" si="18"/>
        <v>0</v>
      </c>
      <c r="G311" s="552">
        <f t="shared" si="19"/>
        <v>0</v>
      </c>
    </row>
    <row r="312" spans="2:7" x14ac:dyDescent="0.3">
      <c r="B312" s="554">
        <v>303</v>
      </c>
      <c r="C312" s="552">
        <f t="shared" si="16"/>
        <v>0</v>
      </c>
      <c r="D312" s="552">
        <f t="shared" si="17"/>
        <v>0</v>
      </c>
      <c r="E312" s="552">
        <f t="shared" si="18"/>
        <v>0</v>
      </c>
      <c r="G312" s="552">
        <f t="shared" si="19"/>
        <v>0</v>
      </c>
    </row>
    <row r="313" spans="2:7" x14ac:dyDescent="0.3">
      <c r="B313" s="554">
        <v>304</v>
      </c>
      <c r="C313" s="552">
        <f t="shared" si="16"/>
        <v>0</v>
      </c>
      <c r="D313" s="552">
        <f t="shared" si="17"/>
        <v>0</v>
      </c>
      <c r="E313" s="552">
        <f t="shared" si="18"/>
        <v>0</v>
      </c>
      <c r="G313" s="552">
        <f t="shared" si="19"/>
        <v>0</v>
      </c>
    </row>
    <row r="314" spans="2:7" x14ac:dyDescent="0.3">
      <c r="B314" s="554">
        <v>305</v>
      </c>
      <c r="C314" s="552">
        <f t="shared" si="16"/>
        <v>0</v>
      </c>
      <c r="D314" s="552">
        <f t="shared" si="17"/>
        <v>0</v>
      </c>
      <c r="E314" s="552">
        <f t="shared" si="18"/>
        <v>0</v>
      </c>
      <c r="G314" s="552">
        <f t="shared" si="19"/>
        <v>0</v>
      </c>
    </row>
    <row r="315" spans="2:7" x14ac:dyDescent="0.3">
      <c r="B315" s="554">
        <v>306</v>
      </c>
      <c r="C315" s="552">
        <f t="shared" si="16"/>
        <v>0</v>
      </c>
      <c r="D315" s="552">
        <f t="shared" si="17"/>
        <v>0</v>
      </c>
      <c r="E315" s="552">
        <f t="shared" si="18"/>
        <v>0</v>
      </c>
      <c r="G315" s="552">
        <f t="shared" si="19"/>
        <v>0</v>
      </c>
    </row>
    <row r="316" spans="2:7" x14ac:dyDescent="0.3">
      <c r="B316" s="554">
        <v>307</v>
      </c>
      <c r="C316" s="552">
        <f t="shared" si="16"/>
        <v>0</v>
      </c>
      <c r="D316" s="552">
        <f t="shared" si="17"/>
        <v>0</v>
      </c>
      <c r="E316" s="552">
        <f t="shared" si="18"/>
        <v>0</v>
      </c>
      <c r="G316" s="552">
        <f t="shared" si="19"/>
        <v>0</v>
      </c>
    </row>
    <row r="317" spans="2:7" x14ac:dyDescent="0.3">
      <c r="B317" s="554">
        <v>308</v>
      </c>
      <c r="C317" s="552">
        <f t="shared" si="16"/>
        <v>0</v>
      </c>
      <c r="D317" s="552">
        <f t="shared" si="17"/>
        <v>0</v>
      </c>
      <c r="E317" s="552">
        <f t="shared" si="18"/>
        <v>0</v>
      </c>
      <c r="G317" s="552">
        <f t="shared" si="19"/>
        <v>0</v>
      </c>
    </row>
    <row r="318" spans="2:7" x14ac:dyDescent="0.3">
      <c r="B318" s="554">
        <v>309</v>
      </c>
      <c r="C318" s="552">
        <f t="shared" si="16"/>
        <v>0</v>
      </c>
      <c r="D318" s="552">
        <f t="shared" si="17"/>
        <v>0</v>
      </c>
      <c r="E318" s="552">
        <f t="shared" si="18"/>
        <v>0</v>
      </c>
      <c r="G318" s="552">
        <f t="shared" si="19"/>
        <v>0</v>
      </c>
    </row>
    <row r="319" spans="2:7" x14ac:dyDescent="0.3">
      <c r="B319" s="554">
        <v>310</v>
      </c>
      <c r="C319" s="552">
        <f t="shared" si="16"/>
        <v>0</v>
      </c>
      <c r="D319" s="552">
        <f t="shared" si="17"/>
        <v>0</v>
      </c>
      <c r="E319" s="552">
        <f t="shared" si="18"/>
        <v>0</v>
      </c>
      <c r="G319" s="552">
        <f t="shared" si="19"/>
        <v>0</v>
      </c>
    </row>
    <row r="320" spans="2:7" x14ac:dyDescent="0.3">
      <c r="B320" s="554">
        <v>311</v>
      </c>
      <c r="C320" s="552">
        <f t="shared" si="16"/>
        <v>0</v>
      </c>
      <c r="D320" s="552">
        <f t="shared" si="17"/>
        <v>0</v>
      </c>
      <c r="E320" s="552">
        <f t="shared" si="18"/>
        <v>0</v>
      </c>
      <c r="G320" s="552">
        <f t="shared" si="19"/>
        <v>0</v>
      </c>
    </row>
    <row r="321" spans="2:7" x14ac:dyDescent="0.3">
      <c r="B321" s="554">
        <v>312</v>
      </c>
      <c r="C321" s="552">
        <f t="shared" si="16"/>
        <v>0</v>
      </c>
      <c r="D321" s="552">
        <f t="shared" si="17"/>
        <v>0</v>
      </c>
      <c r="E321" s="552">
        <f t="shared" si="18"/>
        <v>0</v>
      </c>
      <c r="G321" s="552">
        <f t="shared" si="19"/>
        <v>0</v>
      </c>
    </row>
    <row r="322" spans="2:7" x14ac:dyDescent="0.3">
      <c r="B322" s="554">
        <v>313</v>
      </c>
      <c r="C322" s="552">
        <f t="shared" si="16"/>
        <v>0</v>
      </c>
      <c r="D322" s="552">
        <f t="shared" si="17"/>
        <v>0</v>
      </c>
      <c r="E322" s="552">
        <f t="shared" si="18"/>
        <v>0</v>
      </c>
      <c r="G322" s="552">
        <f t="shared" si="19"/>
        <v>0</v>
      </c>
    </row>
    <row r="323" spans="2:7" x14ac:dyDescent="0.3">
      <c r="B323" s="554">
        <v>314</v>
      </c>
      <c r="C323" s="552">
        <f t="shared" si="16"/>
        <v>0</v>
      </c>
      <c r="D323" s="552">
        <f t="shared" si="17"/>
        <v>0</v>
      </c>
      <c r="E323" s="552">
        <f t="shared" si="18"/>
        <v>0</v>
      </c>
      <c r="G323" s="552">
        <f t="shared" si="19"/>
        <v>0</v>
      </c>
    </row>
    <row r="324" spans="2:7" x14ac:dyDescent="0.3">
      <c r="B324" s="554">
        <v>315</v>
      </c>
      <c r="C324" s="552">
        <f t="shared" si="16"/>
        <v>0</v>
      </c>
      <c r="D324" s="552">
        <f t="shared" si="17"/>
        <v>0</v>
      </c>
      <c r="E324" s="552">
        <f t="shared" si="18"/>
        <v>0</v>
      </c>
      <c r="G324" s="552">
        <f t="shared" si="19"/>
        <v>0</v>
      </c>
    </row>
    <row r="325" spans="2:7" x14ac:dyDescent="0.3">
      <c r="B325" s="554">
        <v>316</v>
      </c>
      <c r="C325" s="552">
        <f t="shared" si="16"/>
        <v>0</v>
      </c>
      <c r="D325" s="552">
        <f t="shared" si="17"/>
        <v>0</v>
      </c>
      <c r="E325" s="552">
        <f t="shared" si="18"/>
        <v>0</v>
      </c>
      <c r="G325" s="552">
        <f t="shared" si="19"/>
        <v>0</v>
      </c>
    </row>
    <row r="326" spans="2:7" x14ac:dyDescent="0.3">
      <c r="B326" s="554">
        <v>317</v>
      </c>
      <c r="C326" s="552">
        <f t="shared" si="16"/>
        <v>0</v>
      </c>
      <c r="D326" s="552">
        <f t="shared" si="17"/>
        <v>0</v>
      </c>
      <c r="E326" s="552">
        <f t="shared" si="18"/>
        <v>0</v>
      </c>
      <c r="G326" s="552">
        <f t="shared" si="19"/>
        <v>0</v>
      </c>
    </row>
    <row r="327" spans="2:7" x14ac:dyDescent="0.3">
      <c r="B327" s="554">
        <v>318</v>
      </c>
      <c r="C327" s="552">
        <f t="shared" si="16"/>
        <v>0</v>
      </c>
      <c r="D327" s="552">
        <f t="shared" si="17"/>
        <v>0</v>
      </c>
      <c r="E327" s="552">
        <f t="shared" si="18"/>
        <v>0</v>
      </c>
      <c r="G327" s="552">
        <f t="shared" si="19"/>
        <v>0</v>
      </c>
    </row>
    <row r="328" spans="2:7" x14ac:dyDescent="0.3">
      <c r="B328" s="554">
        <v>319</v>
      </c>
      <c r="C328" s="552">
        <f t="shared" si="16"/>
        <v>0</v>
      </c>
      <c r="D328" s="552">
        <f t="shared" si="17"/>
        <v>0</v>
      </c>
      <c r="E328" s="552">
        <f t="shared" si="18"/>
        <v>0</v>
      </c>
      <c r="G328" s="552">
        <f t="shared" si="19"/>
        <v>0</v>
      </c>
    </row>
    <row r="329" spans="2:7" x14ac:dyDescent="0.3">
      <c r="B329" s="554">
        <v>320</v>
      </c>
      <c r="C329" s="552">
        <f t="shared" si="16"/>
        <v>0</v>
      </c>
      <c r="D329" s="552">
        <f t="shared" si="17"/>
        <v>0</v>
      </c>
      <c r="E329" s="552">
        <f t="shared" si="18"/>
        <v>0</v>
      </c>
      <c r="G329" s="552">
        <f t="shared" si="19"/>
        <v>0</v>
      </c>
    </row>
    <row r="330" spans="2:7" x14ac:dyDescent="0.3">
      <c r="B330" s="554">
        <v>321</v>
      </c>
      <c r="C330" s="552">
        <f t="shared" ref="C330:C371" si="20">IF($C$3&lt;G330+(G330*($C$4/$C$6)),$C$3,G330+(G330*($C$4/$C$6)))</f>
        <v>0</v>
      </c>
      <c r="D330" s="552">
        <f t="shared" ref="D330:D371" si="21">G330*$C$4/$C$6</f>
        <v>0</v>
      </c>
      <c r="E330" s="552">
        <f t="shared" ref="E330:E371" si="22">C330-D330</f>
        <v>0</v>
      </c>
      <c r="G330" s="552">
        <f t="shared" si="19"/>
        <v>0</v>
      </c>
    </row>
    <row r="331" spans="2:7" x14ac:dyDescent="0.3">
      <c r="B331" s="554">
        <v>322</v>
      </c>
      <c r="C331" s="552">
        <f t="shared" si="20"/>
        <v>0</v>
      </c>
      <c r="D331" s="552">
        <f t="shared" si="21"/>
        <v>0</v>
      </c>
      <c r="E331" s="552">
        <f t="shared" si="22"/>
        <v>0</v>
      </c>
      <c r="G331" s="552">
        <f t="shared" ref="G331:G371" si="23">G330-E330-F330</f>
        <v>0</v>
      </c>
    </row>
    <row r="332" spans="2:7" x14ac:dyDescent="0.3">
      <c r="B332" s="554">
        <v>323</v>
      </c>
      <c r="C332" s="552">
        <f t="shared" si="20"/>
        <v>0</v>
      </c>
      <c r="D332" s="552">
        <f t="shared" si="21"/>
        <v>0</v>
      </c>
      <c r="E332" s="552">
        <f t="shared" si="22"/>
        <v>0</v>
      </c>
      <c r="G332" s="552">
        <f t="shared" si="23"/>
        <v>0</v>
      </c>
    </row>
    <row r="333" spans="2:7" x14ac:dyDescent="0.3">
      <c r="B333" s="554">
        <v>324</v>
      </c>
      <c r="C333" s="552">
        <f t="shared" si="20"/>
        <v>0</v>
      </c>
      <c r="D333" s="552">
        <f t="shared" si="21"/>
        <v>0</v>
      </c>
      <c r="E333" s="552">
        <f t="shared" si="22"/>
        <v>0</v>
      </c>
      <c r="G333" s="552">
        <f t="shared" si="23"/>
        <v>0</v>
      </c>
    </row>
    <row r="334" spans="2:7" x14ac:dyDescent="0.3">
      <c r="B334" s="554">
        <v>325</v>
      </c>
      <c r="C334" s="552">
        <f t="shared" si="20"/>
        <v>0</v>
      </c>
      <c r="D334" s="552">
        <f t="shared" si="21"/>
        <v>0</v>
      </c>
      <c r="E334" s="552">
        <f t="shared" si="22"/>
        <v>0</v>
      </c>
      <c r="G334" s="552">
        <f t="shared" si="23"/>
        <v>0</v>
      </c>
    </row>
    <row r="335" spans="2:7" x14ac:dyDescent="0.3">
      <c r="B335" s="554">
        <v>326</v>
      </c>
      <c r="C335" s="552">
        <f t="shared" si="20"/>
        <v>0</v>
      </c>
      <c r="D335" s="552">
        <f t="shared" si="21"/>
        <v>0</v>
      </c>
      <c r="E335" s="552">
        <f t="shared" si="22"/>
        <v>0</v>
      </c>
      <c r="G335" s="552">
        <f t="shared" si="23"/>
        <v>0</v>
      </c>
    </row>
    <row r="336" spans="2:7" x14ac:dyDescent="0.3">
      <c r="B336" s="554">
        <v>327</v>
      </c>
      <c r="C336" s="552">
        <f t="shared" si="20"/>
        <v>0</v>
      </c>
      <c r="D336" s="552">
        <f t="shared" si="21"/>
        <v>0</v>
      </c>
      <c r="E336" s="552">
        <f t="shared" si="22"/>
        <v>0</v>
      </c>
      <c r="G336" s="552">
        <f t="shared" si="23"/>
        <v>0</v>
      </c>
    </row>
    <row r="337" spans="2:7" x14ac:dyDescent="0.3">
      <c r="B337" s="554">
        <v>328</v>
      </c>
      <c r="C337" s="552">
        <f t="shared" si="20"/>
        <v>0</v>
      </c>
      <c r="D337" s="552">
        <f t="shared" si="21"/>
        <v>0</v>
      </c>
      <c r="E337" s="552">
        <f t="shared" si="22"/>
        <v>0</v>
      </c>
      <c r="G337" s="552">
        <f t="shared" si="23"/>
        <v>0</v>
      </c>
    </row>
    <row r="338" spans="2:7" x14ac:dyDescent="0.3">
      <c r="B338" s="554">
        <v>329</v>
      </c>
      <c r="C338" s="552">
        <f t="shared" si="20"/>
        <v>0</v>
      </c>
      <c r="D338" s="552">
        <f t="shared" si="21"/>
        <v>0</v>
      </c>
      <c r="E338" s="552">
        <f t="shared" si="22"/>
        <v>0</v>
      </c>
      <c r="G338" s="552">
        <f t="shared" si="23"/>
        <v>0</v>
      </c>
    </row>
    <row r="339" spans="2:7" x14ac:dyDescent="0.3">
      <c r="B339" s="554">
        <v>330</v>
      </c>
      <c r="C339" s="552">
        <f t="shared" si="20"/>
        <v>0</v>
      </c>
      <c r="D339" s="552">
        <f t="shared" si="21"/>
        <v>0</v>
      </c>
      <c r="E339" s="552">
        <f t="shared" si="22"/>
        <v>0</v>
      </c>
      <c r="G339" s="552">
        <f t="shared" si="23"/>
        <v>0</v>
      </c>
    </row>
    <row r="340" spans="2:7" x14ac:dyDescent="0.3">
      <c r="B340" s="554">
        <v>331</v>
      </c>
      <c r="C340" s="552">
        <f t="shared" si="20"/>
        <v>0</v>
      </c>
      <c r="D340" s="552">
        <f t="shared" si="21"/>
        <v>0</v>
      </c>
      <c r="E340" s="552">
        <f t="shared" si="22"/>
        <v>0</v>
      </c>
      <c r="G340" s="552">
        <f t="shared" si="23"/>
        <v>0</v>
      </c>
    </row>
    <row r="341" spans="2:7" x14ac:dyDescent="0.3">
      <c r="B341" s="554">
        <v>332</v>
      </c>
      <c r="C341" s="552">
        <f t="shared" si="20"/>
        <v>0</v>
      </c>
      <c r="D341" s="552">
        <f t="shared" si="21"/>
        <v>0</v>
      </c>
      <c r="E341" s="552">
        <f t="shared" si="22"/>
        <v>0</v>
      </c>
      <c r="G341" s="552">
        <f t="shared" si="23"/>
        <v>0</v>
      </c>
    </row>
    <row r="342" spans="2:7" x14ac:dyDescent="0.3">
      <c r="B342" s="554">
        <v>333</v>
      </c>
      <c r="C342" s="552">
        <f t="shared" si="20"/>
        <v>0</v>
      </c>
      <c r="D342" s="552">
        <f t="shared" si="21"/>
        <v>0</v>
      </c>
      <c r="E342" s="552">
        <f t="shared" si="22"/>
        <v>0</v>
      </c>
      <c r="G342" s="552">
        <f t="shared" si="23"/>
        <v>0</v>
      </c>
    </row>
    <row r="343" spans="2:7" x14ac:dyDescent="0.3">
      <c r="B343" s="554">
        <v>334</v>
      </c>
      <c r="C343" s="552">
        <f t="shared" si="20"/>
        <v>0</v>
      </c>
      <c r="D343" s="552">
        <f t="shared" si="21"/>
        <v>0</v>
      </c>
      <c r="E343" s="552">
        <f t="shared" si="22"/>
        <v>0</v>
      </c>
      <c r="G343" s="552">
        <f t="shared" si="23"/>
        <v>0</v>
      </c>
    </row>
    <row r="344" spans="2:7" x14ac:dyDescent="0.3">
      <c r="B344" s="554">
        <v>335</v>
      </c>
      <c r="C344" s="552">
        <f t="shared" si="20"/>
        <v>0</v>
      </c>
      <c r="D344" s="552">
        <f t="shared" si="21"/>
        <v>0</v>
      </c>
      <c r="E344" s="552">
        <f t="shared" si="22"/>
        <v>0</v>
      </c>
      <c r="G344" s="552">
        <f t="shared" si="23"/>
        <v>0</v>
      </c>
    </row>
    <row r="345" spans="2:7" x14ac:dyDescent="0.3">
      <c r="B345" s="554">
        <v>336</v>
      </c>
      <c r="C345" s="552">
        <f t="shared" si="20"/>
        <v>0</v>
      </c>
      <c r="D345" s="552">
        <f t="shared" si="21"/>
        <v>0</v>
      </c>
      <c r="E345" s="552">
        <f t="shared" si="22"/>
        <v>0</v>
      </c>
      <c r="G345" s="552">
        <f t="shared" si="23"/>
        <v>0</v>
      </c>
    </row>
    <row r="346" spans="2:7" x14ac:dyDescent="0.3">
      <c r="B346" s="554">
        <v>337</v>
      </c>
      <c r="C346" s="552">
        <f t="shared" si="20"/>
        <v>0</v>
      </c>
      <c r="D346" s="552">
        <f t="shared" si="21"/>
        <v>0</v>
      </c>
      <c r="E346" s="552">
        <f t="shared" si="22"/>
        <v>0</v>
      </c>
      <c r="G346" s="552">
        <f t="shared" si="23"/>
        <v>0</v>
      </c>
    </row>
    <row r="347" spans="2:7" x14ac:dyDescent="0.3">
      <c r="B347" s="554">
        <v>338</v>
      </c>
      <c r="C347" s="552">
        <f t="shared" si="20"/>
        <v>0</v>
      </c>
      <c r="D347" s="552">
        <f t="shared" si="21"/>
        <v>0</v>
      </c>
      <c r="E347" s="552">
        <f t="shared" si="22"/>
        <v>0</v>
      </c>
      <c r="G347" s="552">
        <f t="shared" si="23"/>
        <v>0</v>
      </c>
    </row>
    <row r="348" spans="2:7" x14ac:dyDescent="0.3">
      <c r="B348" s="554">
        <v>339</v>
      </c>
      <c r="C348" s="552">
        <f t="shared" si="20"/>
        <v>0</v>
      </c>
      <c r="D348" s="552">
        <f t="shared" si="21"/>
        <v>0</v>
      </c>
      <c r="E348" s="552">
        <f t="shared" si="22"/>
        <v>0</v>
      </c>
      <c r="G348" s="552">
        <f t="shared" si="23"/>
        <v>0</v>
      </c>
    </row>
    <row r="349" spans="2:7" x14ac:dyDescent="0.3">
      <c r="B349" s="554">
        <v>340</v>
      </c>
      <c r="C349" s="552">
        <f t="shared" si="20"/>
        <v>0</v>
      </c>
      <c r="D349" s="552">
        <f t="shared" si="21"/>
        <v>0</v>
      </c>
      <c r="E349" s="552">
        <f t="shared" si="22"/>
        <v>0</v>
      </c>
      <c r="G349" s="552">
        <f t="shared" si="23"/>
        <v>0</v>
      </c>
    </row>
    <row r="350" spans="2:7" x14ac:dyDescent="0.3">
      <c r="B350" s="554">
        <v>341</v>
      </c>
      <c r="C350" s="552">
        <f t="shared" si="20"/>
        <v>0</v>
      </c>
      <c r="D350" s="552">
        <f t="shared" si="21"/>
        <v>0</v>
      </c>
      <c r="E350" s="552">
        <f t="shared" si="22"/>
        <v>0</v>
      </c>
      <c r="G350" s="552">
        <f t="shared" si="23"/>
        <v>0</v>
      </c>
    </row>
    <row r="351" spans="2:7" x14ac:dyDescent="0.3">
      <c r="B351" s="554">
        <v>342</v>
      </c>
      <c r="C351" s="552">
        <f t="shared" si="20"/>
        <v>0</v>
      </c>
      <c r="D351" s="552">
        <f t="shared" si="21"/>
        <v>0</v>
      </c>
      <c r="E351" s="552">
        <f t="shared" si="22"/>
        <v>0</v>
      </c>
      <c r="G351" s="552">
        <f t="shared" si="23"/>
        <v>0</v>
      </c>
    </row>
    <row r="352" spans="2:7" x14ac:dyDescent="0.3">
      <c r="B352" s="554">
        <v>343</v>
      </c>
      <c r="C352" s="552">
        <f t="shared" si="20"/>
        <v>0</v>
      </c>
      <c r="D352" s="552">
        <f t="shared" si="21"/>
        <v>0</v>
      </c>
      <c r="E352" s="552">
        <f t="shared" si="22"/>
        <v>0</v>
      </c>
      <c r="G352" s="552">
        <f t="shared" si="23"/>
        <v>0</v>
      </c>
    </row>
    <row r="353" spans="2:7" x14ac:dyDescent="0.3">
      <c r="B353" s="554">
        <v>344</v>
      </c>
      <c r="C353" s="552">
        <f t="shared" si="20"/>
        <v>0</v>
      </c>
      <c r="D353" s="552">
        <f t="shared" si="21"/>
        <v>0</v>
      </c>
      <c r="E353" s="552">
        <f t="shared" si="22"/>
        <v>0</v>
      </c>
      <c r="G353" s="552">
        <f t="shared" si="23"/>
        <v>0</v>
      </c>
    </row>
    <row r="354" spans="2:7" x14ac:dyDescent="0.3">
      <c r="B354" s="554">
        <v>345</v>
      </c>
      <c r="C354" s="552">
        <f t="shared" si="20"/>
        <v>0</v>
      </c>
      <c r="D354" s="552">
        <f t="shared" si="21"/>
        <v>0</v>
      </c>
      <c r="E354" s="552">
        <f t="shared" si="22"/>
        <v>0</v>
      </c>
      <c r="G354" s="552">
        <f t="shared" si="23"/>
        <v>0</v>
      </c>
    </row>
    <row r="355" spans="2:7" x14ac:dyDescent="0.3">
      <c r="B355" s="554">
        <v>346</v>
      </c>
      <c r="C355" s="552">
        <f t="shared" si="20"/>
        <v>0</v>
      </c>
      <c r="D355" s="552">
        <f t="shared" si="21"/>
        <v>0</v>
      </c>
      <c r="E355" s="552">
        <f t="shared" si="22"/>
        <v>0</v>
      </c>
      <c r="G355" s="552">
        <f t="shared" si="23"/>
        <v>0</v>
      </c>
    </row>
    <row r="356" spans="2:7" x14ac:dyDescent="0.3">
      <c r="B356" s="554">
        <v>347</v>
      </c>
      <c r="C356" s="552">
        <f t="shared" si="20"/>
        <v>0</v>
      </c>
      <c r="D356" s="552">
        <f t="shared" si="21"/>
        <v>0</v>
      </c>
      <c r="E356" s="552">
        <f t="shared" si="22"/>
        <v>0</v>
      </c>
      <c r="G356" s="552">
        <f t="shared" si="23"/>
        <v>0</v>
      </c>
    </row>
    <row r="357" spans="2:7" x14ac:dyDescent="0.3">
      <c r="B357" s="554">
        <v>348</v>
      </c>
      <c r="C357" s="552">
        <f t="shared" si="20"/>
        <v>0</v>
      </c>
      <c r="D357" s="552">
        <f t="shared" si="21"/>
        <v>0</v>
      </c>
      <c r="E357" s="552">
        <f t="shared" si="22"/>
        <v>0</v>
      </c>
      <c r="G357" s="552">
        <f t="shared" si="23"/>
        <v>0</v>
      </c>
    </row>
    <row r="358" spans="2:7" x14ac:dyDescent="0.3">
      <c r="B358" s="554">
        <v>349</v>
      </c>
      <c r="C358" s="552">
        <f t="shared" si="20"/>
        <v>0</v>
      </c>
      <c r="D358" s="552">
        <f t="shared" si="21"/>
        <v>0</v>
      </c>
      <c r="E358" s="552">
        <f t="shared" si="22"/>
        <v>0</v>
      </c>
      <c r="G358" s="552">
        <f t="shared" si="23"/>
        <v>0</v>
      </c>
    </row>
    <row r="359" spans="2:7" x14ac:dyDescent="0.3">
      <c r="B359" s="554">
        <v>350</v>
      </c>
      <c r="C359" s="552">
        <f t="shared" si="20"/>
        <v>0</v>
      </c>
      <c r="D359" s="552">
        <f t="shared" si="21"/>
        <v>0</v>
      </c>
      <c r="E359" s="552">
        <f t="shared" si="22"/>
        <v>0</v>
      </c>
      <c r="G359" s="552">
        <f t="shared" si="23"/>
        <v>0</v>
      </c>
    </row>
    <row r="360" spans="2:7" x14ac:dyDescent="0.3">
      <c r="B360" s="554">
        <v>351</v>
      </c>
      <c r="C360" s="552">
        <f t="shared" si="20"/>
        <v>0</v>
      </c>
      <c r="D360" s="552">
        <f t="shared" si="21"/>
        <v>0</v>
      </c>
      <c r="E360" s="552">
        <f t="shared" si="22"/>
        <v>0</v>
      </c>
      <c r="G360" s="552">
        <f t="shared" si="23"/>
        <v>0</v>
      </c>
    </row>
    <row r="361" spans="2:7" x14ac:dyDescent="0.3">
      <c r="B361" s="554">
        <v>352</v>
      </c>
      <c r="C361" s="552">
        <f t="shared" si="20"/>
        <v>0</v>
      </c>
      <c r="D361" s="552">
        <f t="shared" si="21"/>
        <v>0</v>
      </c>
      <c r="E361" s="552">
        <f t="shared" si="22"/>
        <v>0</v>
      </c>
      <c r="G361" s="552">
        <f t="shared" si="23"/>
        <v>0</v>
      </c>
    </row>
    <row r="362" spans="2:7" x14ac:dyDescent="0.3">
      <c r="B362" s="554">
        <v>353</v>
      </c>
      <c r="C362" s="552">
        <f t="shared" si="20"/>
        <v>0</v>
      </c>
      <c r="D362" s="552">
        <f t="shared" si="21"/>
        <v>0</v>
      </c>
      <c r="E362" s="552">
        <f t="shared" si="22"/>
        <v>0</v>
      </c>
      <c r="G362" s="552">
        <f t="shared" si="23"/>
        <v>0</v>
      </c>
    </row>
    <row r="363" spans="2:7" x14ac:dyDescent="0.3">
      <c r="B363" s="554">
        <v>354</v>
      </c>
      <c r="C363" s="552">
        <f t="shared" si="20"/>
        <v>0</v>
      </c>
      <c r="D363" s="552">
        <f t="shared" si="21"/>
        <v>0</v>
      </c>
      <c r="E363" s="552">
        <f t="shared" si="22"/>
        <v>0</v>
      </c>
      <c r="G363" s="552">
        <f t="shared" si="23"/>
        <v>0</v>
      </c>
    </row>
    <row r="364" spans="2:7" x14ac:dyDescent="0.3">
      <c r="B364" s="554">
        <v>355</v>
      </c>
      <c r="C364" s="552">
        <f t="shared" si="20"/>
        <v>0</v>
      </c>
      <c r="D364" s="552">
        <f t="shared" si="21"/>
        <v>0</v>
      </c>
      <c r="E364" s="552">
        <f t="shared" si="22"/>
        <v>0</v>
      </c>
      <c r="G364" s="552">
        <f t="shared" si="23"/>
        <v>0</v>
      </c>
    </row>
    <row r="365" spans="2:7" x14ac:dyDescent="0.3">
      <c r="B365" s="554">
        <v>356</v>
      </c>
      <c r="C365" s="552">
        <f t="shared" si="20"/>
        <v>0</v>
      </c>
      <c r="D365" s="552">
        <f t="shared" si="21"/>
        <v>0</v>
      </c>
      <c r="E365" s="552">
        <f t="shared" si="22"/>
        <v>0</v>
      </c>
      <c r="G365" s="552">
        <f t="shared" si="23"/>
        <v>0</v>
      </c>
    </row>
    <row r="366" spans="2:7" x14ac:dyDescent="0.3">
      <c r="B366" s="554">
        <v>357</v>
      </c>
      <c r="C366" s="552">
        <f t="shared" si="20"/>
        <v>0</v>
      </c>
      <c r="D366" s="552">
        <f t="shared" si="21"/>
        <v>0</v>
      </c>
      <c r="E366" s="552">
        <f t="shared" si="22"/>
        <v>0</v>
      </c>
      <c r="G366" s="552">
        <f t="shared" si="23"/>
        <v>0</v>
      </c>
    </row>
    <row r="367" spans="2:7" x14ac:dyDescent="0.3">
      <c r="B367" s="554">
        <v>358</v>
      </c>
      <c r="C367" s="552">
        <f t="shared" si="20"/>
        <v>0</v>
      </c>
      <c r="D367" s="552">
        <f t="shared" si="21"/>
        <v>0</v>
      </c>
      <c r="E367" s="552">
        <f t="shared" si="22"/>
        <v>0</v>
      </c>
      <c r="G367" s="552">
        <f t="shared" si="23"/>
        <v>0</v>
      </c>
    </row>
    <row r="368" spans="2:7" x14ac:dyDescent="0.3">
      <c r="B368" s="554">
        <v>359</v>
      </c>
      <c r="C368" s="552">
        <f t="shared" si="20"/>
        <v>0</v>
      </c>
      <c r="D368" s="552">
        <f t="shared" si="21"/>
        <v>0</v>
      </c>
      <c r="E368" s="552">
        <f t="shared" si="22"/>
        <v>0</v>
      </c>
      <c r="G368" s="552">
        <f t="shared" si="23"/>
        <v>0</v>
      </c>
    </row>
    <row r="369" spans="2:7" x14ac:dyDescent="0.3">
      <c r="B369" s="554">
        <v>360</v>
      </c>
      <c r="C369" s="552">
        <f t="shared" si="20"/>
        <v>0</v>
      </c>
      <c r="D369" s="552">
        <f t="shared" si="21"/>
        <v>0</v>
      </c>
      <c r="E369" s="552">
        <f t="shared" si="22"/>
        <v>0</v>
      </c>
      <c r="G369" s="552">
        <f t="shared" si="23"/>
        <v>0</v>
      </c>
    </row>
    <row r="370" spans="2:7" x14ac:dyDescent="0.3">
      <c r="B370" s="554">
        <v>361</v>
      </c>
      <c r="C370" s="552">
        <f t="shared" si="20"/>
        <v>0</v>
      </c>
      <c r="D370" s="552">
        <f t="shared" si="21"/>
        <v>0</v>
      </c>
      <c r="E370" s="552">
        <f t="shared" si="22"/>
        <v>0</v>
      </c>
      <c r="G370" s="552">
        <f t="shared" si="23"/>
        <v>0</v>
      </c>
    </row>
    <row r="371" spans="2:7" x14ac:dyDescent="0.3">
      <c r="B371" s="554">
        <v>362</v>
      </c>
      <c r="C371" s="552">
        <f t="shared" si="20"/>
        <v>0</v>
      </c>
      <c r="D371" s="552">
        <f t="shared" si="21"/>
        <v>0</v>
      </c>
      <c r="E371" s="552">
        <f t="shared" si="22"/>
        <v>0</v>
      </c>
      <c r="G371" s="552">
        <f t="shared" si="23"/>
        <v>0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9"/>
  </sheetPr>
  <dimension ref="A1:H34"/>
  <sheetViews>
    <sheetView workbookViewId="0">
      <selection activeCell="H21" sqref="H21"/>
    </sheetView>
  </sheetViews>
  <sheetFormatPr defaultColWidth="8.77734375" defaultRowHeight="14.4" x14ac:dyDescent="0.3"/>
  <cols>
    <col min="2" max="2" width="28.44140625" style="555" customWidth="1"/>
    <col min="3" max="3" width="17.88671875" style="556" customWidth="1"/>
    <col min="4" max="4" width="25.5546875" style="555" customWidth="1"/>
    <col min="5" max="5" width="16" style="556" customWidth="1"/>
    <col min="6" max="6" width="12.77734375" style="557" customWidth="1"/>
    <col min="7" max="7" width="13.5546875" style="557" customWidth="1"/>
    <col min="8" max="8" width="26.33203125" customWidth="1"/>
    <col min="9" max="9" width="17.21875" customWidth="1"/>
  </cols>
  <sheetData>
    <row r="1" spans="1:8" x14ac:dyDescent="0.3">
      <c r="A1" s="662" t="s">
        <v>392</v>
      </c>
    </row>
    <row r="2" spans="1:8" x14ac:dyDescent="0.3">
      <c r="B2" s="555" t="s">
        <v>299</v>
      </c>
    </row>
    <row r="3" spans="1:8" ht="15" thickBot="1" x14ac:dyDescent="0.35"/>
    <row r="4" spans="1:8" s="161" customFormat="1" ht="29.4" thickBot="1" x14ac:dyDescent="0.35">
      <c r="B4" s="558" t="s">
        <v>323</v>
      </c>
      <c r="C4" s="559">
        <f>'Principal Recapture'!C3</f>
        <v>9433.2721099051178</v>
      </c>
      <c r="D4" s="558"/>
      <c r="E4" s="559"/>
      <c r="F4" s="560" t="s">
        <v>383</v>
      </c>
      <c r="G4" s="561" t="s">
        <v>384</v>
      </c>
      <c r="H4"/>
    </row>
    <row r="5" spans="1:8" x14ac:dyDescent="0.3">
      <c r="B5" s="562" t="s">
        <v>322</v>
      </c>
      <c r="C5" s="563">
        <f>SUM('Principal Recapture'!E9:E20)</f>
        <v>24518.719631556651</v>
      </c>
      <c r="D5" s="564" t="s">
        <v>353</v>
      </c>
      <c r="E5" s="563">
        <f>SUM('Principal Recapture'!D9:D20)</f>
        <v>88680.545687304766</v>
      </c>
      <c r="F5" s="565">
        <f>C5/(C5+E5)</f>
        <v>0.21659786892160426</v>
      </c>
      <c r="G5" s="566">
        <f>C5/'ROI details'!$I$3</f>
        <v>2.8463802683488103E-2</v>
      </c>
    </row>
    <row r="6" spans="1:8" x14ac:dyDescent="0.3">
      <c r="B6" s="567" t="s">
        <v>324</v>
      </c>
      <c r="C6" s="568">
        <f>SUM('Principal Recapture'!E21:E32)</f>
        <v>26095.808170082695</v>
      </c>
      <c r="D6" s="569" t="s">
        <v>354</v>
      </c>
      <c r="E6" s="568">
        <f>SUM('Principal Recapture'!D21:D32)</f>
        <v>87103.457148778718</v>
      </c>
      <c r="F6" s="570">
        <f t="shared" ref="F6:F34" si="0">C6/(C6+E6)</f>
        <v>0.2305298368905101</v>
      </c>
      <c r="G6" s="571">
        <f>C6/'ROI details'!$I$3</f>
        <v>3.0294646122687133E-2</v>
      </c>
    </row>
    <row r="7" spans="1:8" x14ac:dyDescent="0.3">
      <c r="B7" s="567" t="s">
        <v>325</v>
      </c>
      <c r="C7" s="568">
        <f>SUM('Principal Recapture'!E33:E44)</f>
        <v>27774.337905201628</v>
      </c>
      <c r="D7" s="569" t="s">
        <v>355</v>
      </c>
      <c r="E7" s="568">
        <f>SUM('Principal Recapture'!D33:D44)</f>
        <v>85424.927413659781</v>
      </c>
      <c r="F7" s="570">
        <f t="shared" si="0"/>
        <v>0.24535793432021358</v>
      </c>
      <c r="G7" s="571">
        <f>C7/'ROI details'!$I$3</f>
        <v>3.2243252734155591E-2</v>
      </c>
    </row>
    <row r="8" spans="1:8" x14ac:dyDescent="0.3">
      <c r="B8" s="567" t="s">
        <v>326</v>
      </c>
      <c r="C8" s="568">
        <f>SUM('Principal Recapture'!E45:E56)</f>
        <v>29560.833718754107</v>
      </c>
      <c r="D8" s="569" t="s">
        <v>356</v>
      </c>
      <c r="E8" s="568">
        <f>SUM('Principal Recapture'!D45:D56)</f>
        <v>83638.431600107302</v>
      </c>
      <c r="F8" s="570">
        <f t="shared" si="0"/>
        <v>0.26113980188375518</v>
      </c>
      <c r="G8" s="571">
        <f>C8/'ROI details'!$I$3</f>
        <v>3.4317197258827613E-2</v>
      </c>
    </row>
    <row r="9" spans="1:8" x14ac:dyDescent="0.3">
      <c r="B9" s="567" t="s">
        <v>327</v>
      </c>
      <c r="C9" s="568">
        <f>SUM('Principal Recapture'!E57:E68)</f>
        <v>31462.240184820937</v>
      </c>
      <c r="D9" s="569" t="s">
        <v>357</v>
      </c>
      <c r="E9" s="568">
        <f>SUM('Principal Recapture'!D57:D68)</f>
        <v>81737.025134040465</v>
      </c>
      <c r="F9" s="570">
        <f t="shared" si="0"/>
        <v>0.27793678780686099</v>
      </c>
      <c r="G9" s="571">
        <f>C9/'ROI details'!$I$3</f>
        <v>3.6524541658719455E-2</v>
      </c>
    </row>
    <row r="10" spans="1:8" x14ac:dyDescent="0.3">
      <c r="B10" s="567" t="s">
        <v>328</v>
      </c>
      <c r="C10" s="568">
        <f>SUM('Principal Recapture'!E69:E80)</f>
        <v>33485.948565089449</v>
      </c>
      <c r="D10" s="569" t="s">
        <v>358</v>
      </c>
      <c r="E10" s="568">
        <f>SUM('Principal Recapture'!D69:D80)</f>
        <v>79713.316753771971</v>
      </c>
      <c r="F10" s="570">
        <f t="shared" si="0"/>
        <v>0.29581418634445833</v>
      </c>
      <c r="G10" s="571">
        <f>C10/'ROI details'!$I$3</f>
        <v>3.8873866455873519E-2</v>
      </c>
    </row>
    <row r="11" spans="1:8" x14ac:dyDescent="0.3">
      <c r="B11" s="567" t="s">
        <v>329</v>
      </c>
      <c r="C11" s="568">
        <f>SUM('Principal Recapture'!E81:E92)</f>
        <v>35639.825540610887</v>
      </c>
      <c r="D11" s="569" t="s">
        <v>359</v>
      </c>
      <c r="E11" s="568">
        <f>SUM('Principal Recapture'!D81:D92)</f>
        <v>77559.439778250526</v>
      </c>
      <c r="F11" s="570">
        <f t="shared" si="0"/>
        <v>0.31484149159643471</v>
      </c>
      <c r="G11" s="571">
        <f>C11/'ROI details'!$I$3</f>
        <v>4.1374304087080205E-2</v>
      </c>
    </row>
    <row r="12" spans="1:8" x14ac:dyDescent="0.3">
      <c r="B12" s="567" t="s">
        <v>330</v>
      </c>
      <c r="C12" s="568">
        <f>SUM('Principal Recapture'!E93:E104)</f>
        <v>37932.243791636713</v>
      </c>
      <c r="D12" s="569" t="s">
        <v>360</v>
      </c>
      <c r="E12" s="568">
        <f>SUM('Principal Recapture'!D93:D104)</f>
        <v>75267.021527224671</v>
      </c>
      <c r="F12" s="570">
        <f t="shared" si="0"/>
        <v>0.3350926676492873</v>
      </c>
      <c r="G12" s="571">
        <f>C12/'ROI details'!$I$3</f>
        <v>4.4035574404036118E-2</v>
      </c>
    </row>
    <row r="13" spans="1:8" x14ac:dyDescent="0.3">
      <c r="B13" s="567" t="s">
        <v>331</v>
      </c>
      <c r="C13" s="568">
        <f>SUM('Principal Recapture'!E105:E116)</f>
        <v>40372.114544405245</v>
      </c>
      <c r="D13" s="569" t="s">
        <v>361</v>
      </c>
      <c r="E13" s="568">
        <f>SUM('Principal Recapture'!D105:D116)</f>
        <v>72827.150774456168</v>
      </c>
      <c r="F13" s="570">
        <f t="shared" si="0"/>
        <v>0.356646436093772</v>
      </c>
      <c r="G13" s="571">
        <f>C13/'ROI details'!$I$3</f>
        <v>4.6868022456936664E-2</v>
      </c>
    </row>
    <row r="14" spans="1:8" x14ac:dyDescent="0.3">
      <c r="B14" s="567" t="s">
        <v>332</v>
      </c>
      <c r="C14" s="568">
        <f>SUM('Principal Recapture'!E117:E128)</f>
        <v>42968.922211396806</v>
      </c>
      <c r="D14" s="569" t="s">
        <v>362</v>
      </c>
      <c r="E14" s="568">
        <f>SUM('Principal Recapture'!D117:D128)</f>
        <v>70230.343107464592</v>
      </c>
      <c r="F14" s="570">
        <f t="shared" si="0"/>
        <v>0.37958658203621104</v>
      </c>
      <c r="G14" s="571">
        <f>C14/'ROI details'!$I$3</f>
        <v>4.9882658708377998E-2</v>
      </c>
    </row>
    <row r="15" spans="1:8" x14ac:dyDescent="0.3">
      <c r="B15" s="567" t="s">
        <v>333</v>
      </c>
      <c r="C15" s="568">
        <f>SUM('Principal Recapture'!E129:E140)</f>
        <v>45732.761259712948</v>
      </c>
      <c r="D15" s="569" t="s">
        <v>363</v>
      </c>
      <c r="E15" s="568">
        <f>SUM('Principal Recapture'!D129:D140)</f>
        <v>67466.504059148458</v>
      </c>
      <c r="F15" s="570">
        <f t="shared" si="0"/>
        <v>0.40400227979300229</v>
      </c>
      <c r="G15" s="571">
        <f>C15/'ROI details'!$I$3</f>
        <v>5.3091201833890121E-2</v>
      </c>
    </row>
    <row r="16" spans="1:8" x14ac:dyDescent="0.3">
      <c r="B16" s="567" t="s">
        <v>334</v>
      </c>
      <c r="C16" s="568">
        <f>SUM('Principal Recapture'!E141:E152)</f>
        <v>48674.375450896681</v>
      </c>
      <c r="D16" s="569" t="s">
        <v>364</v>
      </c>
      <c r="E16" s="568">
        <f>SUM('Principal Recapture'!D141:D152)</f>
        <v>64524.889867964732</v>
      </c>
      <c r="F16" s="570">
        <f t="shared" si="0"/>
        <v>0.42998843953439064</v>
      </c>
      <c r="G16" s="571">
        <f>C16/'ROI details'!$I$3</f>
        <v>5.6506124275477923E-2</v>
      </c>
    </row>
    <row r="17" spans="2:7" x14ac:dyDescent="0.3">
      <c r="B17" s="567" t="s">
        <v>335</v>
      </c>
      <c r="C17" s="568">
        <f>SUM('Principal Recapture'!E153:E164)</f>
        <v>51805.19960472911</v>
      </c>
      <c r="D17" s="569" t="s">
        <v>365</v>
      </c>
      <c r="E17" s="568">
        <f>SUM('Principal Recapture'!D153:D164)</f>
        <v>61394.06571413231</v>
      </c>
      <c r="F17" s="570">
        <f t="shared" si="0"/>
        <v>0.4576460762249952</v>
      </c>
      <c r="G17" s="571">
        <f>C17/'ROI details'!$I$3</f>
        <v>6.0140700725248561E-2</v>
      </c>
    </row>
    <row r="18" spans="2:7" x14ac:dyDescent="0.3">
      <c r="B18" s="567" t="s">
        <v>336</v>
      </c>
      <c r="C18" s="568">
        <f>SUM('Principal Recapture'!E165:E176)</f>
        <v>55137.404049349432</v>
      </c>
      <c r="D18" s="569" t="s">
        <v>366</v>
      </c>
      <c r="E18" s="568">
        <f>SUM('Principal Recapture'!D165:D176)</f>
        <v>58061.861269511981</v>
      </c>
      <c r="F18" s="570">
        <f t="shared" si="0"/>
        <v>0.48708270229526274</v>
      </c>
      <c r="G18" s="571">
        <f>C18/'ROI details'!$I$3</f>
        <v>6.400905972759395E-2</v>
      </c>
    </row>
    <row r="19" spans="2:7" x14ac:dyDescent="0.3">
      <c r="B19" s="567" t="s">
        <v>337</v>
      </c>
      <c r="C19" s="568">
        <f>SUM('Principal Recapture'!E177:E188)</f>
        <v>58683.941930487068</v>
      </c>
      <c r="D19" s="569" t="s">
        <v>367</v>
      </c>
      <c r="E19" s="568">
        <f>SUM('Principal Recapture'!D177:D188)</f>
        <v>54515.323388374338</v>
      </c>
      <c r="F19" s="570">
        <f t="shared" si="0"/>
        <v>0.5184127455702584</v>
      </c>
      <c r="G19" s="571">
        <f>C19/'ROI details'!$I$3</f>
        <v>6.8126238600519001E-2</v>
      </c>
    </row>
    <row r="20" spans="2:7" x14ac:dyDescent="0.3">
      <c r="B20" s="567" t="s">
        <v>338</v>
      </c>
      <c r="C20" s="568">
        <f>SUM('Principal Recapture'!E189:E200)</f>
        <v>62458.599563709657</v>
      </c>
      <c r="D20" s="569" t="s">
        <v>368</v>
      </c>
      <c r="E20" s="568">
        <f>SUM('Principal Recapture'!D189:D200)</f>
        <v>50740.665755151764</v>
      </c>
      <c r="F20" s="570">
        <f t="shared" si="0"/>
        <v>0.55175799408039727</v>
      </c>
      <c r="G20" s="571">
        <f>C20/'ROI details'!$I$3</f>
        <v>7.250824188960954E-2</v>
      </c>
    </row>
    <row r="21" spans="2:7" x14ac:dyDescent="0.3">
      <c r="B21" s="567" t="s">
        <v>339</v>
      </c>
      <c r="C21" s="568">
        <f>SUM('Principal Recapture'!E201:E212)</f>
        <v>66476.050025418823</v>
      </c>
      <c r="D21" s="569" t="s">
        <v>369</v>
      </c>
      <c r="E21" s="568">
        <f>SUM('Principal Recapture'!D201:D212)</f>
        <v>46723.215293442583</v>
      </c>
      <c r="F21" s="570">
        <f t="shared" si="0"/>
        <v>0.58724806948320807</v>
      </c>
      <c r="G21" s="571">
        <f>C21/'ROI details'!$I$3</f>
        <v>7.7172103581865367E-2</v>
      </c>
    </row>
    <row r="22" spans="2:7" x14ac:dyDescent="0.3">
      <c r="B22" s="567" t="s">
        <v>340</v>
      </c>
      <c r="C22" s="568">
        <f>SUM('Principal Recapture'!E213:E224)</f>
        <v>70751.910190916256</v>
      </c>
      <c r="D22" s="569" t="s">
        <v>370</v>
      </c>
      <c r="E22" s="568">
        <f>SUM('Principal Recapture'!D213:D224)</f>
        <v>42447.355127945157</v>
      </c>
      <c r="F22" s="570">
        <f t="shared" si="0"/>
        <v>0.62502093093644384</v>
      </c>
      <c r="G22" s="571">
        <f>C22/'ROI details'!$I$3</f>
        <v>8.2135953321240143E-2</v>
      </c>
    </row>
    <row r="23" spans="2:7" x14ac:dyDescent="0.3">
      <c r="B23" s="567" t="s">
        <v>341</v>
      </c>
      <c r="C23" s="568">
        <f>SUM('Principal Recapture'!E225:E236)</f>
        <v>75302.801441261472</v>
      </c>
      <c r="D23" s="569" t="s">
        <v>371</v>
      </c>
      <c r="E23" s="568">
        <f>SUM('Principal Recapture'!D225:D236)</f>
        <v>37896.463877599948</v>
      </c>
      <c r="F23" s="570">
        <f t="shared" si="0"/>
        <v>0.66522341138122576</v>
      </c>
      <c r="G23" s="571">
        <f>C23/'ROI details'!$I$3</f>
        <v>8.741908688328473E-2</v>
      </c>
    </row>
    <row r="24" spans="2:7" x14ac:dyDescent="0.3">
      <c r="B24" s="567" t="s">
        <v>342</v>
      </c>
      <c r="C24" s="568">
        <f>SUM('Principal Recapture'!E237:E248)</f>
        <v>80146.414274905037</v>
      </c>
      <c r="D24" s="569" t="s">
        <v>372</v>
      </c>
      <c r="E24" s="568">
        <f>SUM('Principal Recapture'!D237:D248)</f>
        <v>33052.851043956376</v>
      </c>
      <c r="F24" s="570">
        <f t="shared" si="0"/>
        <v>0.70801178831989242</v>
      </c>
      <c r="G24" s="571">
        <f>C24/'ROI details'!$I$3</f>
        <v>9.3042041182847729E-2</v>
      </c>
    </row>
    <row r="25" spans="2:7" x14ac:dyDescent="0.3">
      <c r="B25" s="567" t="s">
        <v>343</v>
      </c>
      <c r="C25" s="568">
        <f>SUM('Principal Recapture'!E249:E260)</f>
        <v>85301.577075259192</v>
      </c>
      <c r="D25" s="569" t="s">
        <v>373</v>
      </c>
      <c r="E25" s="568">
        <f>SUM('Principal Recapture'!D249:D260)</f>
        <v>27897.688243602232</v>
      </c>
      <c r="F25" s="570">
        <f t="shared" si="0"/>
        <v>0.75355239130731466</v>
      </c>
      <c r="G25" s="571">
        <f>C25/'ROI details'!$I$3</f>
        <v>9.9026674106407239E-2</v>
      </c>
    </row>
    <row r="26" spans="2:7" x14ac:dyDescent="0.3">
      <c r="B26" s="567" t="s">
        <v>344</v>
      </c>
      <c r="C26" s="568">
        <f>SUM('Principal Recapture'!E261:E272)</f>
        <v>90788.329301523234</v>
      </c>
      <c r="D26" s="569" t="s">
        <v>374</v>
      </c>
      <c r="E26" s="568">
        <f>SUM('Principal Recapture'!D261:D272)</f>
        <v>22410.936017338165</v>
      </c>
      <c r="F26" s="570">
        <f t="shared" si="0"/>
        <v>0.80202224851715509</v>
      </c>
      <c r="G26" s="571">
        <f>C26/'ROI details'!$I$3</f>
        <v>0.10539624947936294</v>
      </c>
    </row>
    <row r="27" spans="2:7" x14ac:dyDescent="0.3">
      <c r="B27" s="567" t="s">
        <v>345</v>
      </c>
      <c r="C27" s="568">
        <f>SUM('Principal Recapture'!E273:E284)</f>
        <v>96627.999387276039</v>
      </c>
      <c r="D27" s="569" t="s">
        <v>375</v>
      </c>
      <c r="E27" s="568">
        <f>SUM('Principal Recapture'!D273:D284)</f>
        <v>16571.265931585353</v>
      </c>
      <c r="F27" s="570">
        <f t="shared" si="0"/>
        <v>0.8536097748964433</v>
      </c>
      <c r="G27" s="571">
        <f>C27/'ROI details'!$I$3</f>
        <v>0.11217552749857911</v>
      </c>
    </row>
    <row r="28" spans="2:7" x14ac:dyDescent="0.3">
      <c r="B28" s="567" t="s">
        <v>346</v>
      </c>
      <c r="C28" s="568">
        <f>SUM('Principal Recapture'!E285:E296)</f>
        <v>102843.2876496469</v>
      </c>
      <c r="D28" s="569" t="s">
        <v>376</v>
      </c>
      <c r="E28" s="568">
        <f>SUM('Principal Recapture'!D285:D296)</f>
        <v>10355.977669214513</v>
      </c>
      <c r="F28" s="570">
        <f t="shared" si="0"/>
        <v>0.90851550458350028</v>
      </c>
      <c r="G28" s="571">
        <f>C28/'ROI details'!$I$3</f>
        <v>0.11939086098171221</v>
      </c>
    </row>
    <row r="29" spans="2:7" x14ac:dyDescent="0.3">
      <c r="B29" s="567" t="s">
        <v>347</v>
      </c>
      <c r="C29" s="568">
        <f>SUM('Principal Recapture'!E297:E308)</f>
        <v>109458.35453135177</v>
      </c>
      <c r="D29" s="569" t="s">
        <v>377</v>
      </c>
      <c r="E29" s="568">
        <f>SUM('Principal Recapture'!D297:D308)</f>
        <v>3740.9107875064319</v>
      </c>
      <c r="F29" s="570">
        <f t="shared" si="0"/>
        <v>0.96695287043631351</v>
      </c>
      <c r="G29" s="571">
        <f>C29/'ROI details'!$I$3</f>
        <v>0.12707029780746665</v>
      </c>
    </row>
    <row r="30" spans="2:7" x14ac:dyDescent="0.3">
      <c r="B30" s="567" t="s">
        <v>348</v>
      </c>
      <c r="C30" s="568">
        <f>SUM('Principal Recapture'!E309:E320)</f>
        <v>0</v>
      </c>
      <c r="D30" s="569" t="s">
        <v>378</v>
      </c>
      <c r="E30" s="568">
        <f>SUM('Principal Recapture'!D309:D320)</f>
        <v>0</v>
      </c>
      <c r="F30" s="570" t="e">
        <f t="shared" si="0"/>
        <v>#DIV/0!</v>
      </c>
      <c r="G30" s="571">
        <f>C30/'ROI details'!$I$3</f>
        <v>0</v>
      </c>
    </row>
    <row r="31" spans="2:7" x14ac:dyDescent="0.3">
      <c r="B31" s="567" t="s">
        <v>349</v>
      </c>
      <c r="C31" s="568">
        <f>SUM('Principal Recapture'!E321:E332)</f>
        <v>0</v>
      </c>
      <c r="D31" s="569" t="s">
        <v>379</v>
      </c>
      <c r="E31" s="568">
        <f>SUM('Principal Recapture'!D321:D332)</f>
        <v>0</v>
      </c>
      <c r="F31" s="570" t="e">
        <f t="shared" si="0"/>
        <v>#DIV/0!</v>
      </c>
      <c r="G31" s="571">
        <f>C31/'ROI details'!$I$3</f>
        <v>0</v>
      </c>
    </row>
    <row r="32" spans="2:7" x14ac:dyDescent="0.3">
      <c r="B32" s="567" t="s">
        <v>350</v>
      </c>
      <c r="C32" s="568">
        <f>SUM('Principal Recapture'!E333:E344)</f>
        <v>0</v>
      </c>
      <c r="D32" s="569" t="s">
        <v>380</v>
      </c>
      <c r="E32" s="568">
        <f>SUM('Principal Recapture'!D333:D344)</f>
        <v>0</v>
      </c>
      <c r="F32" s="570" t="e">
        <f t="shared" si="0"/>
        <v>#DIV/0!</v>
      </c>
      <c r="G32" s="571">
        <f>C32/'ROI details'!$I$3</f>
        <v>0</v>
      </c>
    </row>
    <row r="33" spans="2:7" x14ac:dyDescent="0.3">
      <c r="B33" s="567" t="s">
        <v>351</v>
      </c>
      <c r="C33" s="568">
        <f>SUM('Principal Recapture'!E345:E356)</f>
        <v>0</v>
      </c>
      <c r="D33" s="569" t="s">
        <v>381</v>
      </c>
      <c r="E33" s="568">
        <f>SUM('Principal Recapture'!D345:D356)</f>
        <v>0</v>
      </c>
      <c r="F33" s="570" t="e">
        <f t="shared" si="0"/>
        <v>#DIV/0!</v>
      </c>
      <c r="G33" s="571">
        <f>C33/'ROI details'!$I$3</f>
        <v>0</v>
      </c>
    </row>
    <row r="34" spans="2:7" ht="15" thickBot="1" x14ac:dyDescent="0.35">
      <c r="B34" s="572" t="s">
        <v>352</v>
      </c>
      <c r="C34" s="573">
        <f>SUM('Principal Recapture'!E357:E368)</f>
        <v>0</v>
      </c>
      <c r="D34" s="574" t="s">
        <v>382</v>
      </c>
      <c r="E34" s="573">
        <f>SUM('Principal Recapture'!D357:D368)</f>
        <v>0</v>
      </c>
      <c r="F34" s="575" t="e">
        <f t="shared" si="0"/>
        <v>#DIV/0!</v>
      </c>
      <c r="G34" s="576">
        <f>C34/'ROI details'!$I$3</f>
        <v>0</v>
      </c>
    </row>
  </sheetData>
  <phoneticPr fontId="75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/>
  </sheetViews>
  <sheetFormatPr defaultColWidth="8.77734375" defaultRowHeight="14.4" x14ac:dyDescent="0.3"/>
  <cols>
    <col min="1" max="1" width="17.109375" style="3" customWidth="1"/>
    <col min="2" max="2" width="49.44140625" style="361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392</v>
      </c>
      <c r="B1" s="312" t="s">
        <v>0</v>
      </c>
      <c r="D1" s="4"/>
      <c r="H1" s="4"/>
    </row>
    <row r="2" spans="1:8" ht="24" thickBot="1" x14ac:dyDescent="0.35">
      <c r="B2" s="890" t="s">
        <v>1</v>
      </c>
      <c r="C2" s="891"/>
      <c r="F2" s="5"/>
    </row>
    <row r="3" spans="1:8" ht="31.05" customHeight="1" x14ac:dyDescent="0.3">
      <c r="B3" s="313" t="s">
        <v>2</v>
      </c>
      <c r="C3" s="373" t="str">
        <f>'Calculating offering price'!C3</f>
        <v>Commercial</v>
      </c>
      <c r="F3" s="6" t="s">
        <v>4</v>
      </c>
    </row>
    <row r="4" spans="1:8" ht="15.6" x14ac:dyDescent="0.3">
      <c r="B4" s="314" t="s">
        <v>5</v>
      </c>
      <c r="C4" s="372">
        <f>'Calculating offering price'!C4</f>
        <v>6500000</v>
      </c>
      <c r="F4" s="7" t="s">
        <v>6</v>
      </c>
      <c r="H4" s="4"/>
    </row>
    <row r="5" spans="1:8" ht="15.6" x14ac:dyDescent="0.3">
      <c r="B5" s="315" t="s">
        <v>7</v>
      </c>
      <c r="C5" s="374">
        <f>'Calculating offering price'!C5</f>
        <v>2020705.882352941</v>
      </c>
      <c r="D5" s="8" t="s">
        <v>236</v>
      </c>
      <c r="F5" s="3" t="s">
        <v>8</v>
      </c>
      <c r="H5" s="4"/>
    </row>
    <row r="6" spans="1:8" ht="13.5" customHeight="1" x14ac:dyDescent="0.3">
      <c r="B6" s="315" t="s">
        <v>9</v>
      </c>
      <c r="C6" s="375">
        <f>'Calculating offering price'!C6</f>
        <v>0</v>
      </c>
      <c r="F6" s="3" t="s">
        <v>10</v>
      </c>
      <c r="H6" s="4"/>
    </row>
    <row r="7" spans="1:8" ht="15.6" x14ac:dyDescent="0.3">
      <c r="B7" s="315" t="s">
        <v>11</v>
      </c>
      <c r="C7" s="9">
        <f>C5*0.8</f>
        <v>1616564.7058823528</v>
      </c>
      <c r="F7" s="3" t="s">
        <v>12</v>
      </c>
      <c r="H7" s="4"/>
    </row>
    <row r="8" spans="1:8" ht="15" customHeight="1" thickBot="1" x14ac:dyDescent="0.35">
      <c r="B8" s="315" t="s">
        <v>13</v>
      </c>
      <c r="C8" s="9">
        <f>C5*6%</f>
        <v>121242.35294117645</v>
      </c>
      <c r="D8" s="2"/>
      <c r="F8" s="3" t="s">
        <v>14</v>
      </c>
      <c r="H8" s="4"/>
    </row>
    <row r="9" spans="1:8" ht="16.8" thickTop="1" thickBot="1" x14ac:dyDescent="0.35">
      <c r="B9" s="316" t="s">
        <v>15</v>
      </c>
      <c r="C9" s="684">
        <v>45000</v>
      </c>
      <c r="D9" s="4"/>
      <c r="F9" s="3" t="s">
        <v>16</v>
      </c>
      <c r="H9" s="4"/>
    </row>
    <row r="10" spans="1:8" ht="16.8" thickTop="1" thickBot="1" x14ac:dyDescent="0.35">
      <c r="B10" s="315" t="s">
        <v>17</v>
      </c>
      <c r="C10" s="9">
        <f>C37</f>
        <v>8737.9332103328652</v>
      </c>
      <c r="D10" s="4"/>
      <c r="F10" s="3" t="s">
        <v>3</v>
      </c>
      <c r="H10" s="4"/>
    </row>
    <row r="11" spans="1:8" ht="16.8" thickTop="1" thickBot="1" x14ac:dyDescent="0.35">
      <c r="B11" s="315" t="s">
        <v>18</v>
      </c>
      <c r="C11" s="685">
        <v>5</v>
      </c>
      <c r="D11" s="4"/>
      <c r="H11" s="4"/>
    </row>
    <row r="12" spans="1:8" ht="16.2" thickTop="1" x14ac:dyDescent="0.3">
      <c r="B12" s="315" t="s">
        <v>19</v>
      </c>
      <c r="C12" s="9">
        <f>C10*C11</f>
        <v>43689.666051664324</v>
      </c>
      <c r="D12" s="4"/>
      <c r="H12" s="10"/>
    </row>
    <row r="13" spans="1:8" ht="15.6" x14ac:dyDescent="0.3">
      <c r="B13" s="315" t="s">
        <v>20</v>
      </c>
      <c r="C13" s="390">
        <f>'Calculating offering price'!C13</f>
        <v>0.35</v>
      </c>
      <c r="D13" s="4"/>
      <c r="H13" s="4"/>
    </row>
    <row r="14" spans="1:8" ht="16.2" thickBot="1" x14ac:dyDescent="0.35">
      <c r="A14" s="195"/>
      <c r="B14" s="317" t="s">
        <v>214</v>
      </c>
      <c r="C14" s="11">
        <f>C7-C9-C12-C8</f>
        <v>1406632.686889512</v>
      </c>
      <c r="D14" s="4"/>
      <c r="H14" s="4"/>
    </row>
    <row r="15" spans="1:8" ht="16.2" thickBot="1" x14ac:dyDescent="0.35">
      <c r="B15" s="892" t="s">
        <v>21</v>
      </c>
      <c r="C15" s="893"/>
      <c r="D15" s="4"/>
      <c r="H15" s="4"/>
    </row>
    <row r="16" spans="1:8" ht="15.6" x14ac:dyDescent="0.3">
      <c r="B16" s="318" t="s">
        <v>22</v>
      </c>
      <c r="C16" s="238">
        <f>C14*C13</f>
        <v>492321.44041132915</v>
      </c>
      <c r="D16" s="4"/>
      <c r="H16" s="4"/>
    </row>
    <row r="17" spans="2:9" ht="15.6" x14ac:dyDescent="0.3">
      <c r="B17" s="319" t="s">
        <v>234</v>
      </c>
      <c r="C17" s="239">
        <f>C14*4.5%</f>
        <v>63298.470910028038</v>
      </c>
      <c r="D17" s="8" t="s">
        <v>23</v>
      </c>
      <c r="H17" s="4"/>
    </row>
    <row r="18" spans="2:9" ht="15.6" x14ac:dyDescent="0.3">
      <c r="B18" s="319" t="s">
        <v>24</v>
      </c>
      <c r="C18" s="239">
        <f>C9+C16+C17</f>
        <v>600619.91132135724</v>
      </c>
      <c r="D18" s="4"/>
      <c r="H18" s="4"/>
    </row>
    <row r="19" spans="2:9" ht="16.05" customHeight="1" thickBot="1" x14ac:dyDescent="0.35">
      <c r="B19" s="320" t="s">
        <v>232</v>
      </c>
      <c r="C19" s="240">
        <f>'Calculating offering price'!C19</f>
        <v>861400</v>
      </c>
      <c r="D19" s="867" t="s">
        <v>235</v>
      </c>
      <c r="E19" s="868"/>
      <c r="F19" s="868"/>
      <c r="G19" s="868"/>
      <c r="H19" s="868"/>
    </row>
    <row r="20" spans="2:9" ht="21.75" customHeight="1" thickBot="1" x14ac:dyDescent="0.35">
      <c r="B20" s="894" t="s">
        <v>7</v>
      </c>
      <c r="C20" s="895"/>
      <c r="D20" s="8"/>
      <c r="E20" s="8"/>
      <c r="F20" s="8"/>
      <c r="G20" s="4"/>
      <c r="H20" s="4"/>
    </row>
    <row r="21" spans="2:9" ht="27.45" customHeight="1" x14ac:dyDescent="0.3">
      <c r="B21" s="321" t="s">
        <v>242</v>
      </c>
      <c r="C21" s="241" t="e">
        <f>C46*C6</f>
        <v>#DIV/0!</v>
      </c>
      <c r="D21" s="869" t="s">
        <v>25</v>
      </c>
      <c r="E21" s="870"/>
      <c r="F21" s="870"/>
      <c r="G21" s="870"/>
      <c r="H21" s="870"/>
      <c r="I21" s="243"/>
    </row>
    <row r="22" spans="2:9" ht="18.75" customHeight="1" x14ac:dyDescent="0.3">
      <c r="B22" s="322" t="str">
        <f>B66</f>
        <v>Conservative CF Multiplier Evaluation</v>
      </c>
      <c r="C22" s="12">
        <f>C78</f>
        <v>683125</v>
      </c>
      <c r="F22" s="4"/>
      <c r="G22" s="4"/>
      <c r="H22" s="4"/>
    </row>
    <row r="23" spans="2:9" ht="16.2" thickBot="1" x14ac:dyDescent="0.35">
      <c r="B23" s="322" t="str">
        <f>B47</f>
        <v>CF Multiplier Evaluation</v>
      </c>
      <c r="C23" s="12">
        <f>C59</f>
        <v>642941.17647058819</v>
      </c>
      <c r="H23" s="4"/>
    </row>
    <row r="24" spans="2:9" ht="16.2" thickBot="1" x14ac:dyDescent="0.35">
      <c r="B24" s="865" t="s">
        <v>26</v>
      </c>
      <c r="C24" s="866"/>
      <c r="H24" s="4"/>
    </row>
    <row r="25" spans="2:9" ht="15.6" x14ac:dyDescent="0.3">
      <c r="B25" s="323" t="s">
        <v>27</v>
      </c>
      <c r="C25" s="242">
        <f>C14*(100%-C13)</f>
        <v>914311.24647818285</v>
      </c>
      <c r="D25" s="8" t="s">
        <v>28</v>
      </c>
      <c r="H25" s="4"/>
    </row>
    <row r="26" spans="2:9" x14ac:dyDescent="0.3">
      <c r="B26" s="324" t="s">
        <v>29</v>
      </c>
      <c r="C26" s="310">
        <f>'Mortgage Caculator'!F11</f>
        <v>6484.8371618034544</v>
      </c>
      <c r="D26" s="2" t="s">
        <v>30</v>
      </c>
    </row>
    <row r="27" spans="2:9" ht="15.6" x14ac:dyDescent="0.3">
      <c r="B27" s="325" t="s">
        <v>31</v>
      </c>
      <c r="C27" s="13">
        <f>C26*12</f>
        <v>77818.045941641452</v>
      </c>
      <c r="H27" s="4"/>
    </row>
    <row r="28" spans="2:9" ht="15.6" x14ac:dyDescent="0.3">
      <c r="B28" s="326" t="s">
        <v>32</v>
      </c>
      <c r="C28" s="376">
        <f>'Calculating offering price'!C28</f>
        <v>14534.206700000001</v>
      </c>
      <c r="D28" s="3" t="s">
        <v>211</v>
      </c>
      <c r="H28" s="4"/>
    </row>
    <row r="29" spans="2:9" ht="15.6" x14ac:dyDescent="0.3">
      <c r="B29" s="327" t="s">
        <v>33</v>
      </c>
      <c r="C29" s="14">
        <f>C28/12</f>
        <v>1211.1838916666668</v>
      </c>
      <c r="E29" s="15"/>
      <c r="F29" s="15"/>
      <c r="H29" s="4"/>
    </row>
    <row r="30" spans="2:9" ht="27" customHeight="1" thickBot="1" x14ac:dyDescent="0.35">
      <c r="B30" s="328" t="s">
        <v>34</v>
      </c>
      <c r="C30" s="244">
        <f>'Debt payment Calculator'!F6</f>
        <v>0</v>
      </c>
      <c r="D30" s="871" t="s">
        <v>35</v>
      </c>
      <c r="E30" s="870"/>
      <c r="F30" s="870"/>
      <c r="G30" s="870"/>
      <c r="H30" s="870"/>
    </row>
    <row r="31" spans="2:9" ht="16.5" customHeight="1" thickTop="1" thickBot="1" x14ac:dyDescent="0.35">
      <c r="B31" s="329" t="s">
        <v>246</v>
      </c>
      <c r="C31" s="684">
        <v>0</v>
      </c>
      <c r="D31" s="281" t="s">
        <v>30</v>
      </c>
      <c r="E31" s="270"/>
      <c r="F31" s="270"/>
      <c r="G31" s="270"/>
      <c r="H31" s="270"/>
    </row>
    <row r="32" spans="2:9" ht="16.2" thickTop="1" x14ac:dyDescent="0.3">
      <c r="B32" s="330" t="s">
        <v>36</v>
      </c>
      <c r="C32" s="376">
        <f>'Calculating offering price'!C32</f>
        <v>1740</v>
      </c>
      <c r="F32" s="4"/>
      <c r="G32" s="4"/>
      <c r="H32" s="4"/>
    </row>
    <row r="33" spans="2:9" ht="13.5" customHeight="1" x14ac:dyDescent="0.3">
      <c r="B33" s="330" t="s">
        <v>37</v>
      </c>
      <c r="C33" s="16">
        <f>'Calculating offering price'!C33</f>
        <v>6142.9458823529403</v>
      </c>
      <c r="D33" s="2" t="s">
        <v>38</v>
      </c>
      <c r="F33" s="4"/>
      <c r="G33" s="4"/>
      <c r="H33" s="4"/>
    </row>
    <row r="34" spans="2:9" ht="15.6" x14ac:dyDescent="0.3">
      <c r="B34" s="331" t="s">
        <v>39</v>
      </c>
      <c r="C34" s="377">
        <f>'Calculating offering price'!C34</f>
        <v>385</v>
      </c>
      <c r="F34" s="4"/>
      <c r="G34" s="4"/>
      <c r="H34" s="4"/>
    </row>
    <row r="35" spans="2:9" ht="15.6" x14ac:dyDescent="0.3">
      <c r="B35" s="332" t="s">
        <v>40</v>
      </c>
      <c r="C35" s="17">
        <f>C34*12</f>
        <v>4620</v>
      </c>
      <c r="F35" s="4"/>
      <c r="G35" s="4"/>
      <c r="H35" s="4"/>
    </row>
    <row r="36" spans="2:9" ht="15.6" x14ac:dyDescent="0.3">
      <c r="B36" s="333" t="s">
        <v>41</v>
      </c>
      <c r="C36" s="18">
        <f>C27+C28+(C30*12)+C32+C33+C35</f>
        <v>104855.19852399439</v>
      </c>
      <c r="F36" s="4"/>
      <c r="G36" s="4"/>
      <c r="H36" s="4"/>
    </row>
    <row r="37" spans="2:9" ht="16.2" thickBot="1" x14ac:dyDescent="0.35">
      <c r="B37" s="334" t="s">
        <v>42</v>
      </c>
      <c r="C37" s="19">
        <f>C36/12</f>
        <v>8737.9332103328652</v>
      </c>
      <c r="F37" s="4"/>
      <c r="G37" s="4"/>
      <c r="H37" s="4"/>
    </row>
    <row r="38" spans="2:9" ht="18.600000000000001" thickBot="1" x14ac:dyDescent="0.4">
      <c r="B38" s="335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6"/>
      <c r="C39" s="245" t="s">
        <v>45</v>
      </c>
      <c r="D39" s="245" t="s">
        <v>46</v>
      </c>
      <c r="E39" s="246" t="s">
        <v>47</v>
      </c>
      <c r="F39" s="4"/>
      <c r="G39" s="4"/>
      <c r="H39" s="4"/>
    </row>
    <row r="40" spans="2:9" ht="15.6" x14ac:dyDescent="0.3">
      <c r="B40" s="337" t="s">
        <v>48</v>
      </c>
      <c r="C40" s="20" t="str">
        <f>C3</f>
        <v>Commercial</v>
      </c>
      <c r="D40" s="20" t="str">
        <f>C3</f>
        <v>Commercial</v>
      </c>
      <c r="E40" s="247" t="str">
        <f>C3</f>
        <v>Commercial</v>
      </c>
      <c r="F40" s="4"/>
      <c r="G40" s="21" t="s">
        <v>49</v>
      </c>
      <c r="H40" s="22" t="s">
        <v>50</v>
      </c>
    </row>
    <row r="41" spans="2:9" ht="15.6" x14ac:dyDescent="0.3">
      <c r="B41" s="337" t="s">
        <v>51</v>
      </c>
      <c r="C41" s="397">
        <v>0</v>
      </c>
      <c r="D41" s="20">
        <f>C41</f>
        <v>0</v>
      </c>
      <c r="E41" s="247">
        <f>C41</f>
        <v>0</v>
      </c>
      <c r="F41" s="4"/>
      <c r="G41" s="4"/>
      <c r="H41" s="4"/>
    </row>
    <row r="42" spans="2:9" ht="15.6" x14ac:dyDescent="0.3">
      <c r="B42" s="337" t="s">
        <v>52</v>
      </c>
      <c r="C42" s="397">
        <f>'Calculating offering price'!C42</f>
        <v>3</v>
      </c>
      <c r="D42" s="20">
        <f>C42</f>
        <v>3</v>
      </c>
      <c r="E42" s="247">
        <f>C42</f>
        <v>3</v>
      </c>
      <c r="F42" s="4"/>
      <c r="G42" s="4"/>
      <c r="H42" s="4"/>
    </row>
    <row r="43" spans="2:9" ht="15.6" x14ac:dyDescent="0.3">
      <c r="B43" s="337" t="s">
        <v>9</v>
      </c>
      <c r="C43" s="397">
        <f>'Calculating offering price'!C43</f>
        <v>0</v>
      </c>
      <c r="D43" s="20">
        <f>'Calculating offering price'!D43</f>
        <v>0</v>
      </c>
      <c r="E43" s="247">
        <f>'Calculating offering price'!E43</f>
        <v>0</v>
      </c>
      <c r="F43" s="4"/>
      <c r="G43" s="4"/>
      <c r="H43" s="4"/>
    </row>
    <row r="44" spans="2:9" ht="28.95" customHeight="1" x14ac:dyDescent="0.3">
      <c r="B44" s="338" t="s">
        <v>53</v>
      </c>
      <c r="C44" s="398">
        <f>'Calculating offering price'!C44</f>
        <v>0</v>
      </c>
      <c r="D44" s="399">
        <f>'Calculating offering price'!D44</f>
        <v>0</v>
      </c>
      <c r="E44" s="400">
        <f>'Calculating offering price'!E44</f>
        <v>0</v>
      </c>
      <c r="F44" s="4"/>
      <c r="G44" s="868" t="s">
        <v>212</v>
      </c>
      <c r="H44" s="868"/>
      <c r="I44" s="868"/>
    </row>
    <row r="45" spans="2:9" ht="16.2" thickBot="1" x14ac:dyDescent="0.35">
      <c r="B45" s="339" t="s">
        <v>54</v>
      </c>
      <c r="C45" s="251" t="e">
        <f>C44/C43</f>
        <v>#DIV/0!</v>
      </c>
      <c r="D45" s="248" t="e">
        <f>D44/D43</f>
        <v>#DIV/0!</v>
      </c>
      <c r="E45" s="249" t="e">
        <f>E44/E43</f>
        <v>#DIV/0!</v>
      </c>
      <c r="F45" s="4"/>
      <c r="G45" s="4"/>
      <c r="H45" s="4"/>
    </row>
    <row r="46" spans="2:9" ht="16.2" thickBot="1" x14ac:dyDescent="0.35">
      <c r="B46" s="340" t="s">
        <v>55</v>
      </c>
      <c r="C46" s="250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1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63"/>
      <c r="C48" s="664" t="s">
        <v>56</v>
      </c>
      <c r="D48" s="680" t="s">
        <v>57</v>
      </c>
      <c r="E48" s="681" t="s">
        <v>58</v>
      </c>
      <c r="G48" s="4"/>
      <c r="H48" s="4"/>
    </row>
    <row r="49" spans="2:10" ht="16.8" thickTop="1" thickBot="1" x14ac:dyDescent="0.35">
      <c r="B49" s="665" t="s">
        <v>59</v>
      </c>
      <c r="C49" s="687">
        <v>2850</v>
      </c>
      <c r="D49" s="708">
        <v>2850</v>
      </c>
      <c r="E49" s="708">
        <v>0</v>
      </c>
      <c r="F49" s="8" t="s">
        <v>60</v>
      </c>
      <c r="G49" s="4"/>
      <c r="H49" s="4"/>
    </row>
    <row r="50" spans="2:10" ht="15" customHeight="1" thickTop="1" thickBot="1" x14ac:dyDescent="0.35">
      <c r="B50" s="666" t="s">
        <v>61</v>
      </c>
      <c r="C50" s="688">
        <v>1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66" t="s">
        <v>62</v>
      </c>
      <c r="C51" s="667">
        <f>C49*C50</f>
        <v>2850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66" t="s">
        <v>63</v>
      </c>
      <c r="C52" s="667">
        <f>C34</f>
        <v>385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66" t="s">
        <v>64</v>
      </c>
      <c r="C53" s="687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66" t="s">
        <v>65</v>
      </c>
      <c r="C54" s="687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66" t="s">
        <v>66</v>
      </c>
      <c r="C55" s="687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66" t="s">
        <v>67</v>
      </c>
      <c r="C56" s="687">
        <v>150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66" t="s">
        <v>68</v>
      </c>
      <c r="C57" s="667">
        <f>SUM(D49,E49,C51,C53:C56)</f>
        <v>5850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68" t="s">
        <v>69</v>
      </c>
      <c r="C58" s="669">
        <f>C57-C52</f>
        <v>5465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70" t="s">
        <v>7</v>
      </c>
      <c r="C59" s="671">
        <f>C58/0.85%</f>
        <v>642941.17647058819</v>
      </c>
      <c r="D59" s="24" t="s">
        <v>439</v>
      </c>
      <c r="E59" s="24"/>
      <c r="F59" s="24"/>
      <c r="G59" s="24"/>
      <c r="H59" s="24"/>
      <c r="I59" s="25"/>
      <c r="J59" s="25"/>
    </row>
    <row r="60" spans="2:10" ht="15.6" x14ac:dyDescent="0.3">
      <c r="B60" s="670" t="s">
        <v>5</v>
      </c>
      <c r="C60" s="671">
        <f>C4</f>
        <v>6500000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72" t="s">
        <v>72</v>
      </c>
      <c r="C61" s="673">
        <f>C14*0.6%</f>
        <v>8439.7961213370727</v>
      </c>
      <c r="D61" s="858" t="s">
        <v>213</v>
      </c>
      <c r="E61" s="858"/>
      <c r="F61" s="858"/>
      <c r="G61" s="858"/>
      <c r="H61" s="858"/>
      <c r="I61" s="23"/>
      <c r="J61" s="23"/>
    </row>
    <row r="62" spans="2:10" s="32" customFormat="1" ht="15.6" x14ac:dyDescent="0.3">
      <c r="B62" s="674" t="s">
        <v>74</v>
      </c>
      <c r="C62" s="675">
        <f>(C60-C14)/C60</f>
        <v>0.78359497124776734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76" t="s">
        <v>76</v>
      </c>
      <c r="C63" s="677">
        <f>C60*0.6%+C52</f>
        <v>39385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78" t="s">
        <v>78</v>
      </c>
      <c r="C64" s="679">
        <f>(C60-C59)/C60</f>
        <v>0.90108597285067882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2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1" t="s">
        <v>278</v>
      </c>
      <c r="C66" s="4"/>
      <c r="D66" s="4"/>
      <c r="E66" s="4"/>
      <c r="G66" s="4"/>
      <c r="H66" s="4"/>
    </row>
    <row r="67" spans="2:9" ht="21" x14ac:dyDescent="0.4">
      <c r="B67" s="343"/>
      <c r="C67" s="263" t="s">
        <v>56</v>
      </c>
      <c r="D67" s="264" t="s">
        <v>57</v>
      </c>
      <c r="E67" s="252" t="s">
        <v>58</v>
      </c>
      <c r="G67" s="4"/>
      <c r="H67" s="4"/>
    </row>
    <row r="68" spans="2:9" ht="16.2" thickBot="1" x14ac:dyDescent="0.35">
      <c r="B68" s="344" t="s">
        <v>59</v>
      </c>
      <c r="C68" s="265">
        <f>C49</f>
        <v>2850</v>
      </c>
      <c r="D68" s="266">
        <f>D49</f>
        <v>2850</v>
      </c>
      <c r="E68" s="262">
        <f>E49</f>
        <v>0</v>
      </c>
      <c r="G68" s="4"/>
      <c r="H68" s="4"/>
    </row>
    <row r="69" spans="2:9" ht="15.6" x14ac:dyDescent="0.3">
      <c r="B69" s="345" t="s">
        <v>61</v>
      </c>
      <c r="C69" s="253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5" t="s">
        <v>62</v>
      </c>
      <c r="C70" s="254">
        <f>C68*C69</f>
        <v>2850</v>
      </c>
      <c r="D70" s="35"/>
      <c r="E70" s="35"/>
      <c r="F70" s="36"/>
      <c r="G70" s="35"/>
      <c r="H70" s="35"/>
      <c r="I70" s="36"/>
    </row>
    <row r="71" spans="2:9" ht="15.6" x14ac:dyDescent="0.3">
      <c r="B71" s="345" t="s">
        <v>63</v>
      </c>
      <c r="C71" s="254">
        <f>C52</f>
        <v>385</v>
      </c>
      <c r="D71" s="37"/>
      <c r="E71" s="38"/>
      <c r="F71" s="36"/>
      <c r="G71" s="35"/>
      <c r="H71" s="35"/>
      <c r="I71" s="36"/>
    </row>
    <row r="72" spans="2:9" ht="15.6" x14ac:dyDescent="0.3">
      <c r="B72" s="345" t="s">
        <v>64</v>
      </c>
      <c r="C72" s="254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5" t="s">
        <v>65</v>
      </c>
      <c r="C73" s="254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5" t="s">
        <v>66</v>
      </c>
      <c r="C74" s="254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5" t="s">
        <v>67</v>
      </c>
      <c r="C75" s="254">
        <f>C56</f>
        <v>150</v>
      </c>
      <c r="D75" s="37"/>
      <c r="E75" s="38"/>
      <c r="F75" s="36"/>
      <c r="G75" s="36"/>
      <c r="H75" s="36"/>
      <c r="I75" s="36"/>
    </row>
    <row r="76" spans="2:9" ht="15.6" x14ac:dyDescent="0.3">
      <c r="B76" s="345" t="s">
        <v>68</v>
      </c>
      <c r="C76" s="254">
        <f>SUM(D68,E68,C70,C72:C75)</f>
        <v>5850</v>
      </c>
      <c r="D76" s="37"/>
      <c r="E76" s="38"/>
      <c r="F76" s="36"/>
      <c r="G76" s="36"/>
      <c r="H76" s="36"/>
      <c r="I76" s="36"/>
    </row>
    <row r="77" spans="2:9" ht="15.6" x14ac:dyDescent="0.3">
      <c r="B77" s="346" t="s">
        <v>69</v>
      </c>
      <c r="C77" s="255">
        <f>C76-C71</f>
        <v>5465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7" t="s">
        <v>7</v>
      </c>
      <c r="C78" s="256">
        <f>C77/0.8%</f>
        <v>683125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8" t="s">
        <v>5</v>
      </c>
      <c r="C79" s="257">
        <f>C4</f>
        <v>6500000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49" t="s">
        <v>72</v>
      </c>
      <c r="C80" s="258">
        <f>C14*0.8%</f>
        <v>11253.061495116097</v>
      </c>
      <c r="D80" s="872" t="s">
        <v>73</v>
      </c>
      <c r="E80" s="872"/>
      <c r="F80" s="872"/>
      <c r="G80" s="872"/>
      <c r="H80" s="872"/>
      <c r="I80" s="872"/>
    </row>
    <row r="81" spans="2:9" ht="15.6" x14ac:dyDescent="0.3">
      <c r="B81" s="350" t="s">
        <v>74</v>
      </c>
      <c r="C81" s="259">
        <f>(C79-C14)/C79</f>
        <v>0.78359497124776734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1" t="s">
        <v>76</v>
      </c>
      <c r="C82" s="260">
        <f>C79*0.8%+C71</f>
        <v>52385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2" t="s">
        <v>78</v>
      </c>
      <c r="C83" s="261">
        <f>(C79-C78)/C79</f>
        <v>0.89490384615384611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3" t="s">
        <v>80</v>
      </c>
      <c r="C84" s="33"/>
      <c r="D84" s="4"/>
      <c r="E84" s="4"/>
    </row>
    <row r="85" spans="2:9" ht="21.6" thickBot="1" x14ac:dyDescent="0.45">
      <c r="B85" s="354" t="s">
        <v>233</v>
      </c>
      <c r="C85" s="33"/>
      <c r="D85" s="4"/>
      <c r="E85" s="4"/>
    </row>
    <row r="86" spans="2:9" ht="18" x14ac:dyDescent="0.35">
      <c r="B86" s="873" t="s">
        <v>81</v>
      </c>
      <c r="C86" s="874"/>
      <c r="D86" s="2" t="s">
        <v>224</v>
      </c>
    </row>
    <row r="87" spans="2:9" ht="15.6" x14ac:dyDescent="0.3">
      <c r="B87" s="355" t="s">
        <v>82</v>
      </c>
      <c r="C87" s="381">
        <f>'Calculating offering price'!C87</f>
        <v>0.02</v>
      </c>
      <c r="D87" s="2" t="s">
        <v>223</v>
      </c>
    </row>
    <row r="88" spans="2:9" ht="15.6" x14ac:dyDescent="0.3">
      <c r="B88" s="355" t="s">
        <v>83</v>
      </c>
      <c r="C88" s="382">
        <f>'Calculating offering price'!C88</f>
        <v>10</v>
      </c>
      <c r="D88" s="2" t="s">
        <v>84</v>
      </c>
    </row>
    <row r="89" spans="2:9" ht="15.6" x14ac:dyDescent="0.3">
      <c r="B89" s="355" t="s">
        <v>250</v>
      </c>
      <c r="C89" s="286">
        <f ca="1">TODAY()</f>
        <v>44919</v>
      </c>
      <c r="D89" s="2"/>
    </row>
    <row r="90" spans="2:9" ht="15.6" x14ac:dyDescent="0.3">
      <c r="B90" s="355" t="s">
        <v>251</v>
      </c>
      <c r="C90" s="286">
        <f ca="1">C89+C88*366</f>
        <v>48579</v>
      </c>
      <c r="D90" s="2"/>
    </row>
    <row r="91" spans="2:9" ht="15.6" x14ac:dyDescent="0.3">
      <c r="B91" s="355" t="s">
        <v>85</v>
      </c>
      <c r="C91" s="41">
        <f>C4</f>
        <v>6500000</v>
      </c>
      <c r="D91" s="285"/>
    </row>
    <row r="92" spans="2:9" ht="15.6" x14ac:dyDescent="0.3">
      <c r="B92" s="356" t="s">
        <v>86</v>
      </c>
      <c r="C92" s="42">
        <f>FV(C87,C88,,-C91,)</f>
        <v>7923463.7299659215</v>
      </c>
      <c r="D92" s="285"/>
    </row>
    <row r="93" spans="2:9" ht="16.2" thickBot="1" x14ac:dyDescent="0.35">
      <c r="B93" s="357" t="s">
        <v>87</v>
      </c>
      <c r="C93" s="43">
        <f>C92-'ROI Number insert ARV'!E3</f>
        <v>5523463.7299659215</v>
      </c>
    </row>
    <row r="94" spans="2:9" ht="15.6" x14ac:dyDescent="0.3">
      <c r="B94" s="358" t="s">
        <v>88</v>
      </c>
      <c r="C94" s="44">
        <f>'ROI Number insert'!F3</f>
        <v>2200000</v>
      </c>
    </row>
    <row r="95" spans="2:9" ht="15.6" x14ac:dyDescent="0.3">
      <c r="B95" s="359" t="s">
        <v>89</v>
      </c>
      <c r="C95" s="45">
        <f>FV(C87,C88,,-C94)</f>
        <v>2681787.7239884655</v>
      </c>
      <c r="D95" s="3" t="s">
        <v>90</v>
      </c>
    </row>
    <row r="96" spans="2:9" ht="16.2" thickBot="1" x14ac:dyDescent="0.35">
      <c r="B96" s="360" t="s">
        <v>91</v>
      </c>
      <c r="C96" s="46">
        <f>C95-C94</f>
        <v>481787.7239884655</v>
      </c>
      <c r="D96" s="3" t="s">
        <v>92</v>
      </c>
    </row>
    <row r="97" spans="2:4" ht="15" thickBot="1" x14ac:dyDescent="0.35"/>
    <row r="98" spans="2:4" ht="18" x14ac:dyDescent="0.35">
      <c r="B98" s="875" t="s">
        <v>219</v>
      </c>
      <c r="C98" s="876"/>
    </row>
    <row r="99" spans="2:4" ht="15.6" x14ac:dyDescent="0.3">
      <c r="B99" s="362" t="s">
        <v>82</v>
      </c>
      <c r="C99" s="383">
        <f>'Calculating offering price'!C99</f>
        <v>1.4999999999999999E-2</v>
      </c>
      <c r="D99" s="3" t="s">
        <v>221</v>
      </c>
    </row>
    <row r="100" spans="2:4" ht="15.6" x14ac:dyDescent="0.3">
      <c r="B100" s="362" t="s">
        <v>83</v>
      </c>
      <c r="C100" s="206">
        <v>10</v>
      </c>
    </row>
    <row r="101" spans="2:4" ht="15.6" x14ac:dyDescent="0.3">
      <c r="B101" s="362" t="s">
        <v>252</v>
      </c>
      <c r="C101" s="287">
        <f ca="1">C89+10*366</f>
        <v>48579</v>
      </c>
    </row>
    <row r="102" spans="2:4" ht="15.6" x14ac:dyDescent="0.3">
      <c r="B102" s="362" t="s">
        <v>85</v>
      </c>
      <c r="C102" s="47">
        <f>C91</f>
        <v>6500000</v>
      </c>
    </row>
    <row r="103" spans="2:4" ht="15.6" x14ac:dyDescent="0.3">
      <c r="B103" s="362" t="s">
        <v>86</v>
      </c>
      <c r="C103" s="47">
        <f>FV(C99,C100,,-C102)</f>
        <v>7543515.3626634656</v>
      </c>
    </row>
    <row r="104" spans="2:4" ht="16.2" thickBot="1" x14ac:dyDescent="0.35">
      <c r="B104" s="363" t="s">
        <v>87</v>
      </c>
      <c r="C104" s="48">
        <f>C103-'ROI Number insert ARV'!E3</f>
        <v>5143515.3626634656</v>
      </c>
    </row>
    <row r="105" spans="2:4" ht="15.6" x14ac:dyDescent="0.3">
      <c r="B105" s="364" t="s">
        <v>88</v>
      </c>
      <c r="C105" s="49">
        <f>'ROI Number insert'!F3</f>
        <v>2200000</v>
      </c>
    </row>
    <row r="106" spans="2:4" ht="15.6" x14ac:dyDescent="0.3">
      <c r="B106" s="362" t="s">
        <v>89</v>
      </c>
      <c r="C106" s="47">
        <f>FV(C99,C100,,-C105)</f>
        <v>2553189.815055327</v>
      </c>
    </row>
    <row r="107" spans="2:4" ht="16.2" thickBot="1" x14ac:dyDescent="0.35">
      <c r="B107" s="363" t="s">
        <v>91</v>
      </c>
      <c r="C107" s="48">
        <f>C106-C105</f>
        <v>353189.81505532702</v>
      </c>
    </row>
    <row r="108" spans="2:4" ht="15" thickBot="1" x14ac:dyDescent="0.35"/>
    <row r="109" spans="2:4" ht="18" x14ac:dyDescent="0.35">
      <c r="B109" s="856" t="s">
        <v>220</v>
      </c>
      <c r="C109" s="857"/>
    </row>
    <row r="110" spans="2:4" ht="15.6" x14ac:dyDescent="0.3">
      <c r="B110" s="365" t="s">
        <v>82</v>
      </c>
      <c r="C110" s="384">
        <f>'Calculating offering price'!C110</f>
        <v>0.02</v>
      </c>
      <c r="D110" s="3" t="s">
        <v>222</v>
      </c>
    </row>
    <row r="111" spans="2:4" ht="15.6" x14ac:dyDescent="0.3">
      <c r="B111" s="365" t="s">
        <v>83</v>
      </c>
      <c r="C111" s="207">
        <v>15</v>
      </c>
    </row>
    <row r="112" spans="2:4" ht="15.6" x14ac:dyDescent="0.3">
      <c r="B112" s="365" t="s">
        <v>252</v>
      </c>
      <c r="C112" s="288">
        <f ca="1">C89+C111*366</f>
        <v>50409</v>
      </c>
    </row>
    <row r="113" spans="2:3" ht="15.6" x14ac:dyDescent="0.3">
      <c r="B113" s="365" t="s">
        <v>85</v>
      </c>
      <c r="C113" s="192">
        <f>C102</f>
        <v>6500000</v>
      </c>
    </row>
    <row r="114" spans="2:3" ht="15.6" x14ac:dyDescent="0.3">
      <c r="B114" s="365" t="s">
        <v>86</v>
      </c>
      <c r="C114" s="192">
        <f>FV(C110,C111,,-C113)</f>
        <v>8748144.1991068404</v>
      </c>
    </row>
    <row r="115" spans="2:3" ht="16.2" thickBot="1" x14ac:dyDescent="0.35">
      <c r="B115" s="366" t="s">
        <v>87</v>
      </c>
      <c r="C115" s="193">
        <f>C114-'ROI Number insert ARV'!E3</f>
        <v>6348144.1991068404</v>
      </c>
    </row>
    <row r="116" spans="2:3" ht="15.6" x14ac:dyDescent="0.3">
      <c r="B116" s="367" t="s">
        <v>88</v>
      </c>
      <c r="C116" s="194">
        <f>'ROI Number insert'!F3</f>
        <v>2200000</v>
      </c>
    </row>
    <row r="117" spans="2:3" ht="15.6" x14ac:dyDescent="0.3">
      <c r="B117" s="365" t="s">
        <v>89</v>
      </c>
      <c r="C117" s="192">
        <f>FV(C110,C111,,-'ROI Number insert'!F3)</f>
        <v>2960910.3443130841</v>
      </c>
    </row>
    <row r="118" spans="2:3" ht="16.2" thickBot="1" x14ac:dyDescent="0.35">
      <c r="B118" s="366" t="s">
        <v>91</v>
      </c>
      <c r="C118" s="193">
        <f>C117-C116</f>
        <v>760910.34431308415</v>
      </c>
    </row>
  </sheetData>
  <mergeCells count="13">
    <mergeCell ref="B109:C109"/>
    <mergeCell ref="D30:H30"/>
    <mergeCell ref="G44:I44"/>
    <mergeCell ref="D61:H61"/>
    <mergeCell ref="D80:I80"/>
    <mergeCell ref="B86:C86"/>
    <mergeCell ref="B98:C98"/>
    <mergeCell ref="B24:C24"/>
    <mergeCell ref="B2:C2"/>
    <mergeCell ref="B15:C15"/>
    <mergeCell ref="D19:H19"/>
    <mergeCell ref="B20:C20"/>
    <mergeCell ref="D21:H21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E3" sqref="E3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0" customWidth="1"/>
    <col min="6" max="6" width="20.33203125" customWidth="1"/>
    <col min="7" max="7" width="23.21875" style="161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682" t="s">
        <v>392</v>
      </c>
      <c r="D1" s="879" t="s">
        <v>93</v>
      </c>
      <c r="E1" s="879"/>
      <c r="F1" s="879"/>
      <c r="G1" s="879"/>
      <c r="H1" s="879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6500000</v>
      </c>
      <c r="F2" s="52"/>
      <c r="G2" s="880" t="s">
        <v>94</v>
      </c>
      <c r="H2" s="881"/>
      <c r="I2" s="1"/>
      <c r="J2" s="1"/>
      <c r="K2" s="1"/>
      <c r="L2" s="1"/>
      <c r="M2" s="1"/>
    </row>
    <row r="3" spans="1:13" ht="16.2" thickBot="1" x14ac:dyDescent="0.35">
      <c r="D3" s="304" t="s">
        <v>288</v>
      </c>
      <c r="E3" s="379">
        <f>'ROI Number insert'!F18</f>
        <v>2400000</v>
      </c>
      <c r="F3" s="284" t="s">
        <v>248</v>
      </c>
      <c r="G3" s="237" t="s">
        <v>96</v>
      </c>
      <c r="H3" s="385">
        <f>'ROI Number insert'!I3</f>
        <v>0.03</v>
      </c>
      <c r="I3" s="1"/>
      <c r="J3" s="1"/>
      <c r="K3" s="1"/>
      <c r="L3" s="1"/>
      <c r="M3" s="1"/>
    </row>
    <row r="4" spans="1:13" ht="16.8" thickTop="1" thickBot="1" x14ac:dyDescent="0.35">
      <c r="C4" s="305"/>
      <c r="D4" s="301" t="s">
        <v>97</v>
      </c>
      <c r="E4" s="685">
        <v>30</v>
      </c>
      <c r="F4" s="284" t="s">
        <v>249</v>
      </c>
      <c r="G4" s="53" t="s">
        <v>98</v>
      </c>
      <c r="H4" s="54">
        <f>'ROI Number insert'!I4</f>
        <v>66000</v>
      </c>
      <c r="I4" s="1"/>
      <c r="J4" s="1"/>
      <c r="K4" s="1"/>
      <c r="L4" s="1"/>
      <c r="M4" s="1"/>
    </row>
    <row r="5" spans="1:13" ht="16.8" thickTop="1" thickBot="1" x14ac:dyDescent="0.35">
      <c r="C5" s="305"/>
      <c r="D5" s="302" t="s">
        <v>99</v>
      </c>
      <c r="E5" s="732">
        <v>2.8899999999999999E-2</v>
      </c>
      <c r="F5" s="1"/>
      <c r="G5" s="53" t="s">
        <v>100</v>
      </c>
      <c r="H5" s="386">
        <f>'ROI Number insert'!I5</f>
        <v>800</v>
      </c>
      <c r="I5" s="1"/>
      <c r="J5" s="1"/>
      <c r="K5" s="1"/>
      <c r="L5" s="1"/>
      <c r="M5" s="1"/>
    </row>
    <row r="6" spans="1:13" ht="16.8" thickTop="1" thickBot="1" x14ac:dyDescent="0.35">
      <c r="C6" s="305"/>
      <c r="D6" s="302" t="s">
        <v>101</v>
      </c>
      <c r="E6" s="396">
        <f>'ROI Number insert'!F6</f>
        <v>0.02</v>
      </c>
      <c r="F6" s="1"/>
      <c r="G6" s="53" t="s">
        <v>102</v>
      </c>
      <c r="H6" s="386">
        <f>'ROI Number insert'!I6</f>
        <v>800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732">
        <v>0.02</v>
      </c>
      <c r="F7" s="1"/>
      <c r="G7" s="57" t="s">
        <v>103</v>
      </c>
      <c r="H7" s="387">
        <f>'ROI Number insert'!I7</f>
        <v>1800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732">
        <v>5.0000000000000001E-3</v>
      </c>
      <c r="F8" s="1"/>
      <c r="G8" s="57" t="s">
        <v>105</v>
      </c>
      <c r="H8" s="388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0.35</v>
      </c>
      <c r="F9" s="1"/>
      <c r="G9" s="59" t="s">
        <v>106</v>
      </c>
      <c r="H9" s="60">
        <f>'ROI Number insert'!I9</f>
        <v>22000</v>
      </c>
      <c r="I9" s="1"/>
      <c r="J9" s="1"/>
      <c r="K9" s="1"/>
      <c r="L9" s="1"/>
      <c r="M9" s="1"/>
    </row>
    <row r="10" spans="1:13" ht="16.2" thickBot="1" x14ac:dyDescent="0.35">
      <c r="D10" s="55" t="s">
        <v>385</v>
      </c>
      <c r="E10" s="61">
        <v>500</v>
      </c>
      <c r="F10" s="1"/>
      <c r="G10" s="882" t="s">
        <v>26</v>
      </c>
      <c r="H10" s="883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840000</v>
      </c>
      <c r="F11" s="1"/>
      <c r="G11" s="278" t="s">
        <v>27</v>
      </c>
      <c r="H11" s="279">
        <f>E12</f>
        <v>1560000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1560000</v>
      </c>
      <c r="F12" s="1"/>
      <c r="G12" s="197" t="s">
        <v>110</v>
      </c>
      <c r="H12" s="65">
        <f>'Calculating offering price ARV'!C26</f>
        <v>6484.8371618034544</v>
      </c>
      <c r="I12" s="1"/>
      <c r="J12" s="1"/>
      <c r="K12" s="1"/>
      <c r="L12" s="1"/>
      <c r="M12" s="1"/>
    </row>
    <row r="13" spans="1:13" ht="31.2" x14ac:dyDescent="0.3">
      <c r="D13" s="236" t="s">
        <v>15</v>
      </c>
      <c r="E13" s="66">
        <f>'Calculating offering price ARV'!C9</f>
        <v>45000</v>
      </c>
      <c r="F13" s="1"/>
      <c r="G13" s="67" t="s">
        <v>31</v>
      </c>
      <c r="H13" s="68">
        <f>H12*12</f>
        <v>77818.045941641452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0">
        <v>5</v>
      </c>
      <c r="F14" s="1"/>
      <c r="G14" s="70" t="s">
        <v>111</v>
      </c>
      <c r="H14" s="71">
        <f>'Calculating offering price ARV'!C28</f>
        <v>14534.206700000001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>
        <f>E16*E14</f>
        <v>43689.666051664324</v>
      </c>
      <c r="F15" s="1"/>
      <c r="G15" s="70" t="s">
        <v>33</v>
      </c>
      <c r="H15" s="73">
        <f>H14/12</f>
        <v>1211.1838916666668</v>
      </c>
      <c r="I15" s="1"/>
      <c r="J15" s="74"/>
      <c r="K15" s="74"/>
      <c r="L15" s="74"/>
      <c r="M15" s="74"/>
    </row>
    <row r="16" spans="1:13" ht="16.05" customHeight="1" thickBot="1" x14ac:dyDescent="0.35">
      <c r="D16" s="368" t="s">
        <v>216</v>
      </c>
      <c r="E16" s="369">
        <f>H23</f>
        <v>8737.9332103328652</v>
      </c>
      <c r="F16" s="1"/>
      <c r="G16" s="274" t="s">
        <v>112</v>
      </c>
      <c r="H16" s="275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46" t="s">
        <v>209</v>
      </c>
      <c r="E17" s="747">
        <f>'ROI Number insert'!F17</f>
        <v>3500000</v>
      </c>
      <c r="F17" s="76"/>
      <c r="G17" s="280" t="s">
        <v>246</v>
      </c>
      <c r="H17" s="282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48" t="s">
        <v>288</v>
      </c>
      <c r="E18" s="749">
        <f>'ROI Number insert'!F18</f>
        <v>2400000</v>
      </c>
      <c r="F18" s="76"/>
      <c r="G18" s="276" t="s">
        <v>36</v>
      </c>
      <c r="H18" s="277">
        <f>'Calculating offering price ARV'!C32</f>
        <v>1740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0" t="s">
        <v>114</v>
      </c>
      <c r="E19" s="371">
        <f>E11+E13+E15+E10</f>
        <v>929189.66605166427</v>
      </c>
      <c r="F19" s="76"/>
      <c r="G19" s="77" t="s">
        <v>37</v>
      </c>
      <c r="H19" s="75">
        <f>'Calculating offering price ARV'!C33</f>
        <v>6142.9458823529403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840500</v>
      </c>
      <c r="F20" s="76"/>
      <c r="G20" s="80" t="s">
        <v>39</v>
      </c>
      <c r="H20" s="81">
        <f>'Calculating offering price ARV'!C34</f>
        <v>385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6" t="s">
        <v>116</v>
      </c>
      <c r="E21" s="196"/>
      <c r="F21" s="76"/>
      <c r="G21" s="82" t="s">
        <v>40</v>
      </c>
      <c r="H21" s="83">
        <f>H20*12</f>
        <v>4620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886" t="s">
        <v>117</v>
      </c>
      <c r="E22" s="887"/>
      <c r="F22" s="76"/>
      <c r="G22" s="84" t="s">
        <v>41</v>
      </c>
      <c r="H22" s="85">
        <f>H13+H14+H16+H18+H19+H21+H17</f>
        <v>104855.19852399439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5850</v>
      </c>
      <c r="F23" s="1"/>
      <c r="G23" s="87" t="s">
        <v>42</v>
      </c>
      <c r="H23" s="88">
        <f>H22/12</f>
        <v>8737.9332103328652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70200</v>
      </c>
      <c r="F24" s="90"/>
      <c r="G24" s="267" t="s">
        <v>225</v>
      </c>
      <c r="H24" s="283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734">
        <v>0.05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3510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1" t="s">
        <v>240</v>
      </c>
      <c r="E27" s="100">
        <f>E24-E26</f>
        <v>66690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884" t="s">
        <v>187</v>
      </c>
      <c r="E28" s="885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>
        <f>H12</f>
        <v>6484.8371618034544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>
        <f>E29*12</f>
        <v>77818.045941641452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877" t="s">
        <v>239</v>
      </c>
      <c r="E31" s="878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14534.206700000001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8">
        <f>E23*8%</f>
        <v>468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5616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6142.9458823529403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385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4620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1740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8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8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3334.5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666.9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89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2" t="s">
        <v>241</v>
      </c>
      <c r="E44" s="273">
        <f>E32+E34+E35+E37+E38+E39+E40+E41+E42+E43</f>
        <v>36654.552582352946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8" t="s">
        <v>135</v>
      </c>
      <c r="E45" s="229">
        <f>E27-E44</f>
        <v>30035.447417647054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0" t="s">
        <v>138</v>
      </c>
      <c r="E46" s="231">
        <f>E30</f>
        <v>77818.045941641452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2">
        <f>E45-E46</f>
        <v>-47782.598523994398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>
        <f>E47/12</f>
        <v>-3981.8832103328664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241000.00000000003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6"/>
      <c r="G96" s="127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6"/>
      <c r="G97" s="127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7"/>
      <c r="E148" s="158"/>
      <c r="F148" s="157"/>
      <c r="G148" s="159"/>
      <c r="H148" s="157"/>
      <c r="I148" s="157"/>
      <c r="J148" s="157"/>
    </row>
    <row r="149" spans="4:10" x14ac:dyDescent="0.3">
      <c r="D149" s="157"/>
      <c r="E149" s="158"/>
      <c r="F149" s="157"/>
      <c r="G149" s="159"/>
      <c r="H149" s="157"/>
      <c r="I149" s="157"/>
      <c r="J149" s="157"/>
    </row>
    <row r="150" spans="4:10" x14ac:dyDescent="0.3">
      <c r="D150" s="157"/>
      <c r="E150" s="158"/>
      <c r="F150" s="157"/>
      <c r="G150" s="159"/>
      <c r="H150" s="157"/>
      <c r="I150" s="157"/>
      <c r="J150" s="157"/>
    </row>
    <row r="151" spans="4:10" x14ac:dyDescent="0.3">
      <c r="D151" s="157"/>
      <c r="E151" s="158"/>
      <c r="F151" s="157"/>
      <c r="G151" s="159"/>
      <c r="H151" s="157"/>
      <c r="I151" s="157"/>
      <c r="J151" s="157"/>
    </row>
    <row r="152" spans="4:10" x14ac:dyDescent="0.3">
      <c r="D152" s="157"/>
      <c r="E152" s="158"/>
      <c r="F152" s="157"/>
      <c r="G152" s="159"/>
      <c r="H152" s="157"/>
      <c r="I152" s="157"/>
      <c r="J152" s="157"/>
    </row>
    <row r="153" spans="4:10" x14ac:dyDescent="0.3">
      <c r="D153" s="157"/>
      <c r="E153" s="158"/>
      <c r="F153" s="157"/>
      <c r="G153" s="159"/>
      <c r="H153" s="157"/>
      <c r="I153" s="157"/>
      <c r="J153" s="157"/>
    </row>
    <row r="154" spans="4:10" x14ac:dyDescent="0.3">
      <c r="D154" s="157"/>
      <c r="E154" s="158"/>
      <c r="F154" s="157"/>
      <c r="G154" s="159"/>
      <c r="H154" s="157"/>
      <c r="I154" s="157"/>
      <c r="J154" s="157"/>
    </row>
    <row r="155" spans="4:10" x14ac:dyDescent="0.3">
      <c r="D155" s="157"/>
      <c r="E155" s="158"/>
      <c r="F155" s="157"/>
      <c r="G155" s="159"/>
      <c r="H155" s="157"/>
      <c r="I155" s="157"/>
      <c r="J155" s="157"/>
    </row>
    <row r="156" spans="4:10" x14ac:dyDescent="0.3">
      <c r="D156" s="157"/>
      <c r="E156" s="158"/>
      <c r="F156" s="157"/>
      <c r="G156" s="159"/>
      <c r="H156" s="157"/>
      <c r="I156" s="157"/>
      <c r="J156" s="157"/>
    </row>
    <row r="157" spans="4:10" x14ac:dyDescent="0.3">
      <c r="D157" s="157"/>
      <c r="E157" s="158"/>
      <c r="F157" s="157"/>
      <c r="G157" s="159"/>
      <c r="H157" s="157"/>
      <c r="I157" s="157"/>
      <c r="J157" s="157"/>
    </row>
    <row r="158" spans="4:10" x14ac:dyDescent="0.3">
      <c r="D158" s="157"/>
      <c r="E158" s="158"/>
      <c r="F158" s="157"/>
      <c r="G158" s="159"/>
      <c r="H158" s="157"/>
      <c r="I158" s="157"/>
      <c r="J158" s="157"/>
    </row>
    <row r="159" spans="4:10" x14ac:dyDescent="0.3">
      <c r="D159" s="157"/>
      <c r="E159" s="158"/>
      <c r="F159" s="157"/>
      <c r="G159" s="159"/>
      <c r="H159" s="157"/>
      <c r="I159" s="157"/>
      <c r="J159" s="157"/>
    </row>
    <row r="160" spans="4:10" x14ac:dyDescent="0.3">
      <c r="D160" s="157"/>
      <c r="E160" s="158"/>
      <c r="F160" s="157"/>
      <c r="G160" s="159"/>
      <c r="H160" s="157"/>
      <c r="I160" s="157"/>
      <c r="J160" s="157"/>
    </row>
    <row r="161" spans="4:10" x14ac:dyDescent="0.3">
      <c r="D161" s="157"/>
      <c r="E161" s="158"/>
      <c r="F161" s="157"/>
      <c r="G161" s="159"/>
      <c r="H161" s="157"/>
      <c r="I161" s="157"/>
      <c r="J161" s="157"/>
    </row>
    <row r="162" spans="4:10" x14ac:dyDescent="0.3">
      <c r="D162" s="157"/>
      <c r="E162" s="158"/>
      <c r="F162" s="157"/>
      <c r="G162" s="159"/>
      <c r="H162" s="157"/>
      <c r="I162" s="157"/>
      <c r="J162" s="157"/>
    </row>
    <row r="163" spans="4:10" x14ac:dyDescent="0.3">
      <c r="D163" s="157"/>
      <c r="E163" s="158"/>
      <c r="F163" s="157"/>
      <c r="G163" s="159"/>
      <c r="H163" s="157"/>
      <c r="I163" s="157"/>
      <c r="J163" s="157"/>
    </row>
    <row r="164" spans="4:10" x14ac:dyDescent="0.3">
      <c r="D164" s="157"/>
      <c r="E164" s="158"/>
      <c r="F164" s="157"/>
      <c r="G164" s="159"/>
      <c r="H164" s="157"/>
      <c r="I164" s="157"/>
      <c r="J164" s="157"/>
    </row>
    <row r="165" spans="4:10" x14ac:dyDescent="0.3">
      <c r="D165" s="157"/>
      <c r="E165" s="158"/>
      <c r="F165" s="157"/>
      <c r="G165" s="159"/>
      <c r="H165" s="157"/>
      <c r="I165" s="157"/>
      <c r="J165" s="157"/>
    </row>
    <row r="166" spans="4:10" x14ac:dyDescent="0.3">
      <c r="D166" s="157"/>
      <c r="E166" s="158"/>
      <c r="F166" s="157"/>
      <c r="G166" s="159"/>
      <c r="H166" s="157"/>
      <c r="I166" s="157"/>
      <c r="J166" s="157"/>
    </row>
    <row r="167" spans="4:10" x14ac:dyDescent="0.3">
      <c r="D167" s="157"/>
      <c r="E167" s="158"/>
      <c r="F167" s="157"/>
      <c r="G167" s="159"/>
      <c r="H167" s="157"/>
      <c r="I167" s="157"/>
      <c r="J167" s="157"/>
    </row>
    <row r="168" spans="4:10" x14ac:dyDescent="0.3">
      <c r="D168" s="157"/>
      <c r="E168" s="158"/>
      <c r="F168" s="157"/>
      <c r="G168" s="159"/>
      <c r="H168" s="157"/>
      <c r="I168" s="157"/>
      <c r="J168" s="157"/>
    </row>
    <row r="169" spans="4:10" x14ac:dyDescent="0.3">
      <c r="D169" s="157"/>
      <c r="E169" s="158"/>
      <c r="F169" s="157"/>
      <c r="G169" s="159"/>
      <c r="H169" s="157"/>
      <c r="I169" s="157"/>
      <c r="J169" s="157"/>
    </row>
    <row r="170" spans="4:10" x14ac:dyDescent="0.3">
      <c r="D170" s="157"/>
      <c r="E170" s="158"/>
      <c r="F170" s="157"/>
      <c r="G170" s="159"/>
      <c r="H170" s="157"/>
      <c r="I170" s="157"/>
      <c r="J170" s="157"/>
    </row>
    <row r="171" spans="4:10" x14ac:dyDescent="0.3">
      <c r="D171" s="157"/>
      <c r="E171" s="158"/>
      <c r="F171" s="157"/>
      <c r="G171" s="159"/>
      <c r="H171" s="157"/>
      <c r="I171" s="157"/>
      <c r="J171" s="157"/>
    </row>
    <row r="172" spans="4:10" x14ac:dyDescent="0.3">
      <c r="D172" s="157"/>
      <c r="E172" s="158"/>
      <c r="F172" s="157"/>
      <c r="G172" s="159"/>
      <c r="H172" s="157"/>
      <c r="I172" s="157"/>
      <c r="J172" s="157"/>
    </row>
    <row r="173" spans="4:10" x14ac:dyDescent="0.3">
      <c r="D173" s="157"/>
      <c r="E173" s="158"/>
      <c r="F173" s="157"/>
      <c r="G173" s="159"/>
      <c r="H173" s="157"/>
      <c r="I173" s="157"/>
      <c r="J173" s="157"/>
    </row>
    <row r="174" spans="4:10" x14ac:dyDescent="0.3">
      <c r="D174" s="157"/>
      <c r="E174" s="158"/>
      <c r="F174" s="157"/>
      <c r="G174" s="159"/>
      <c r="H174" s="157"/>
      <c r="I174" s="157"/>
      <c r="J174" s="157"/>
    </row>
    <row r="175" spans="4:10" x14ac:dyDescent="0.3">
      <c r="D175" s="157"/>
      <c r="E175" s="158"/>
      <c r="F175" s="157"/>
      <c r="G175" s="159"/>
      <c r="H175" s="157"/>
      <c r="I175" s="157"/>
      <c r="J175" s="157"/>
    </row>
    <row r="176" spans="4:10" x14ac:dyDescent="0.3">
      <c r="D176" s="157"/>
      <c r="E176" s="158"/>
      <c r="F176" s="157"/>
      <c r="G176" s="159"/>
      <c r="H176" s="157"/>
      <c r="I176" s="157"/>
      <c r="J176" s="157"/>
    </row>
    <row r="177" spans="4:10" x14ac:dyDescent="0.3">
      <c r="D177" s="157"/>
      <c r="E177" s="158"/>
      <c r="F177" s="157"/>
      <c r="G177" s="159"/>
      <c r="H177" s="157"/>
      <c r="I177" s="157"/>
      <c r="J177" s="157"/>
    </row>
    <row r="178" spans="4:10" x14ac:dyDescent="0.3">
      <c r="D178" s="157"/>
      <c r="E178" s="158"/>
      <c r="F178" s="157"/>
      <c r="G178" s="159"/>
      <c r="H178" s="157"/>
      <c r="I178" s="157"/>
      <c r="J178" s="157"/>
    </row>
    <row r="179" spans="4:10" x14ac:dyDescent="0.3">
      <c r="D179" s="157"/>
      <c r="E179" s="158"/>
      <c r="F179" s="157"/>
      <c r="G179" s="159"/>
      <c r="H179" s="157"/>
      <c r="I179" s="157"/>
      <c r="J179" s="157"/>
    </row>
    <row r="180" spans="4:10" x14ac:dyDescent="0.3">
      <c r="D180" s="157"/>
      <c r="E180" s="158"/>
      <c r="F180" s="157"/>
      <c r="G180" s="159"/>
      <c r="H180" s="157"/>
      <c r="I180" s="157"/>
      <c r="J180" s="157"/>
    </row>
    <row r="181" spans="4:10" x14ac:dyDescent="0.3">
      <c r="D181" s="157"/>
      <c r="E181" s="158"/>
      <c r="F181" s="157"/>
      <c r="G181" s="159"/>
      <c r="H181" s="157"/>
      <c r="I181" s="157"/>
      <c r="J181" s="157"/>
    </row>
    <row r="182" spans="4:10" x14ac:dyDescent="0.3">
      <c r="D182" s="157"/>
      <c r="E182" s="158"/>
      <c r="F182" s="157"/>
      <c r="G182" s="159"/>
      <c r="H182" s="157"/>
      <c r="I182" s="157"/>
      <c r="J182" s="157"/>
    </row>
    <row r="183" spans="4:10" x14ac:dyDescent="0.3">
      <c r="D183" s="157"/>
      <c r="E183" s="158"/>
      <c r="F183" s="157"/>
      <c r="G183" s="159"/>
      <c r="H183" s="157"/>
      <c r="I183" s="157"/>
      <c r="J183" s="157"/>
    </row>
    <row r="184" spans="4:10" x14ac:dyDescent="0.3">
      <c r="D184" s="157"/>
      <c r="E184" s="158"/>
      <c r="F184" s="157"/>
      <c r="G184" s="159"/>
      <c r="H184" s="157"/>
      <c r="I184" s="157"/>
      <c r="J184" s="157"/>
    </row>
    <row r="185" spans="4:10" x14ac:dyDescent="0.3">
      <c r="D185" s="157"/>
      <c r="E185" s="158"/>
      <c r="F185" s="157"/>
      <c r="G185" s="159"/>
      <c r="H185" s="157"/>
      <c r="I185" s="157"/>
      <c r="J185" s="157"/>
    </row>
    <row r="186" spans="4:10" x14ac:dyDescent="0.3">
      <c r="D186" s="157"/>
      <c r="E186" s="158"/>
      <c r="F186" s="157"/>
      <c r="G186" s="159"/>
      <c r="H186" s="157"/>
      <c r="I186" s="157"/>
      <c r="J186" s="157"/>
    </row>
    <row r="187" spans="4:10" x14ac:dyDescent="0.3">
      <c r="D187" s="157"/>
      <c r="E187" s="158"/>
      <c r="F187" s="157"/>
      <c r="G187" s="159"/>
      <c r="H187" s="157"/>
      <c r="I187" s="157"/>
      <c r="J187" s="157"/>
    </row>
    <row r="188" spans="4:10" x14ac:dyDescent="0.3">
      <c r="D188" s="157"/>
      <c r="E188" s="158"/>
      <c r="F188" s="157"/>
      <c r="G188" s="159"/>
      <c r="H188" s="157"/>
      <c r="I188" s="157"/>
      <c r="J188" s="157"/>
    </row>
    <row r="189" spans="4:10" x14ac:dyDescent="0.3">
      <c r="D189" s="157"/>
      <c r="E189" s="158"/>
      <c r="F189" s="157"/>
      <c r="G189" s="159"/>
      <c r="H189" s="157"/>
      <c r="I189" s="157"/>
      <c r="J189" s="157"/>
    </row>
    <row r="190" spans="4:10" x14ac:dyDescent="0.3">
      <c r="D190" s="157"/>
      <c r="E190" s="158"/>
      <c r="F190" s="157"/>
      <c r="G190" s="159"/>
      <c r="H190" s="157"/>
      <c r="I190" s="157"/>
      <c r="J190" s="157"/>
    </row>
    <row r="191" spans="4:10" x14ac:dyDescent="0.3">
      <c r="D191" s="157"/>
      <c r="E191" s="158"/>
      <c r="F191" s="157"/>
      <c r="G191" s="159"/>
      <c r="H191" s="157"/>
      <c r="I191" s="157"/>
      <c r="J191" s="157"/>
    </row>
    <row r="192" spans="4:10" x14ac:dyDescent="0.3">
      <c r="D192" s="157"/>
      <c r="E192" s="158"/>
      <c r="F192" s="157"/>
      <c r="G192" s="159"/>
      <c r="H192" s="157"/>
      <c r="I192" s="157"/>
      <c r="J192" s="157"/>
    </row>
    <row r="193" spans="4:10" x14ac:dyDescent="0.3">
      <c r="D193" s="157"/>
      <c r="E193" s="158"/>
      <c r="F193" s="157"/>
      <c r="G193" s="159"/>
      <c r="H193" s="157"/>
      <c r="I193" s="157"/>
      <c r="J193" s="157"/>
    </row>
    <row r="194" spans="4:10" x14ac:dyDescent="0.3">
      <c r="D194" s="157"/>
      <c r="E194" s="158"/>
      <c r="F194" s="157"/>
      <c r="G194" s="159"/>
      <c r="H194" s="157"/>
      <c r="I194" s="157"/>
      <c r="J194" s="157"/>
    </row>
    <row r="195" spans="4:10" x14ac:dyDescent="0.3">
      <c r="D195" s="157"/>
      <c r="E195" s="158"/>
      <c r="F195" s="157"/>
      <c r="G195" s="159"/>
      <c r="H195" s="157"/>
      <c r="I195" s="157"/>
      <c r="J195" s="157"/>
    </row>
    <row r="196" spans="4:10" x14ac:dyDescent="0.3">
      <c r="D196" s="157"/>
      <c r="E196" s="158"/>
      <c r="F196" s="157"/>
      <c r="G196" s="159"/>
      <c r="H196" s="157"/>
      <c r="I196" s="157"/>
      <c r="J196" s="157"/>
    </row>
    <row r="197" spans="4:10" x14ac:dyDescent="0.3">
      <c r="D197" s="157"/>
      <c r="E197" s="158"/>
      <c r="F197" s="157"/>
      <c r="G197" s="159"/>
      <c r="H197" s="157"/>
      <c r="I197" s="157"/>
      <c r="J197" s="157"/>
    </row>
    <row r="198" spans="4:10" x14ac:dyDescent="0.3">
      <c r="D198" s="157"/>
      <c r="E198" s="158"/>
      <c r="F198" s="157"/>
      <c r="G198" s="159"/>
      <c r="H198" s="157"/>
      <c r="I198" s="157"/>
      <c r="J198" s="157"/>
    </row>
    <row r="199" spans="4:10" x14ac:dyDescent="0.3">
      <c r="D199" s="157"/>
      <c r="E199" s="158"/>
      <c r="F199" s="157"/>
      <c r="G199" s="159"/>
      <c r="H199" s="157"/>
      <c r="I199" s="157"/>
      <c r="J199" s="157"/>
    </row>
    <row r="200" spans="4:10" x14ac:dyDescent="0.3">
      <c r="D200" s="157"/>
      <c r="E200" s="158"/>
      <c r="F200" s="157"/>
      <c r="G200" s="159"/>
      <c r="H200" s="157"/>
      <c r="I200" s="157"/>
      <c r="J200" s="157"/>
    </row>
    <row r="201" spans="4:10" x14ac:dyDescent="0.3">
      <c r="D201" s="157"/>
      <c r="E201" s="158"/>
      <c r="F201" s="157"/>
      <c r="G201" s="159"/>
      <c r="H201" s="157"/>
      <c r="I201" s="157"/>
      <c r="J201" s="157"/>
    </row>
    <row r="202" spans="4:10" x14ac:dyDescent="0.3">
      <c r="D202" s="157"/>
      <c r="E202" s="158"/>
      <c r="F202" s="157"/>
      <c r="G202" s="159"/>
      <c r="H202" s="157"/>
      <c r="I202" s="157"/>
      <c r="J202" s="157"/>
    </row>
    <row r="203" spans="4:10" x14ac:dyDescent="0.3">
      <c r="D203" s="157"/>
      <c r="E203" s="158"/>
      <c r="F203" s="157"/>
      <c r="G203" s="159"/>
      <c r="H203" s="157"/>
      <c r="I203" s="157"/>
      <c r="J203" s="157"/>
    </row>
    <row r="204" spans="4:10" x14ac:dyDescent="0.3">
      <c r="D204" s="157"/>
      <c r="E204" s="158"/>
      <c r="F204" s="157"/>
      <c r="G204" s="159"/>
      <c r="H204" s="157"/>
      <c r="I204" s="157"/>
      <c r="J204" s="157"/>
    </row>
    <row r="205" spans="4:10" x14ac:dyDescent="0.3">
      <c r="D205" s="157"/>
      <c r="E205" s="158"/>
      <c r="F205" s="157"/>
      <c r="G205" s="159"/>
      <c r="H205" s="157"/>
      <c r="I205" s="157"/>
      <c r="J205" s="157"/>
    </row>
    <row r="206" spans="4:10" x14ac:dyDescent="0.3">
      <c r="D206" s="157"/>
      <c r="E206" s="158"/>
      <c r="F206" s="157"/>
      <c r="G206" s="159"/>
      <c r="H206" s="157"/>
      <c r="I206" s="157"/>
      <c r="J206" s="157"/>
    </row>
    <row r="207" spans="4:10" x14ac:dyDescent="0.3">
      <c r="D207" s="157"/>
      <c r="E207" s="158"/>
      <c r="F207" s="157"/>
      <c r="G207" s="159"/>
      <c r="H207" s="157"/>
      <c r="I207" s="157"/>
      <c r="J207" s="157"/>
    </row>
    <row r="208" spans="4:10" x14ac:dyDescent="0.3">
      <c r="D208" s="157"/>
      <c r="E208" s="158"/>
      <c r="F208" s="157"/>
      <c r="G208" s="159"/>
      <c r="H208" s="157"/>
      <c r="I208" s="157"/>
      <c r="J208" s="157"/>
    </row>
    <row r="209" spans="4:10" x14ac:dyDescent="0.3">
      <c r="D209" s="157"/>
      <c r="E209" s="158"/>
      <c r="F209" s="157"/>
      <c r="G209" s="159"/>
      <c r="H209" s="157"/>
      <c r="I209" s="157"/>
      <c r="J209" s="157"/>
    </row>
    <row r="210" spans="4:10" x14ac:dyDescent="0.3">
      <c r="D210" s="157"/>
      <c r="E210" s="158"/>
      <c r="F210" s="157"/>
      <c r="G210" s="159"/>
      <c r="H210" s="157"/>
      <c r="I210" s="157"/>
      <c r="J210" s="157"/>
    </row>
    <row r="211" spans="4:10" x14ac:dyDescent="0.3">
      <c r="D211" s="157"/>
      <c r="E211" s="158"/>
      <c r="F211" s="157"/>
      <c r="G211" s="159"/>
      <c r="H211" s="157"/>
      <c r="I211" s="157"/>
      <c r="J211" s="157"/>
    </row>
    <row r="212" spans="4:10" x14ac:dyDescent="0.3">
      <c r="D212" s="157"/>
      <c r="E212" s="158"/>
      <c r="F212" s="157"/>
      <c r="G212" s="159"/>
      <c r="H212" s="157"/>
      <c r="I212" s="157"/>
      <c r="J212" s="157"/>
    </row>
    <row r="213" spans="4:10" x14ac:dyDescent="0.3">
      <c r="D213" s="157"/>
      <c r="E213" s="158"/>
      <c r="F213" s="157"/>
      <c r="G213" s="159"/>
      <c r="H213" s="157"/>
      <c r="I213" s="157"/>
      <c r="J213" s="157"/>
    </row>
    <row r="214" spans="4:10" x14ac:dyDescent="0.3">
      <c r="D214" s="157"/>
      <c r="E214" s="158"/>
      <c r="F214" s="157"/>
      <c r="G214" s="159"/>
      <c r="H214" s="157"/>
      <c r="I214" s="157"/>
      <c r="J214" s="157"/>
    </row>
    <row r="215" spans="4:10" x14ac:dyDescent="0.3">
      <c r="D215" s="157"/>
      <c r="E215" s="158"/>
      <c r="F215" s="157"/>
      <c r="G215" s="159"/>
      <c r="H215" s="157"/>
      <c r="I215" s="157"/>
      <c r="J215" s="157"/>
    </row>
    <row r="216" spans="4:10" x14ac:dyDescent="0.3">
      <c r="D216" s="157"/>
      <c r="E216" s="158"/>
      <c r="F216" s="157"/>
      <c r="G216" s="159"/>
      <c r="H216" s="157"/>
      <c r="I216" s="157"/>
      <c r="J216" s="157"/>
    </row>
    <row r="217" spans="4:10" x14ac:dyDescent="0.3">
      <c r="D217" s="157"/>
      <c r="E217" s="158"/>
      <c r="F217" s="157"/>
      <c r="G217" s="159"/>
      <c r="H217" s="157"/>
      <c r="I217" s="157"/>
      <c r="J217" s="157"/>
    </row>
    <row r="218" spans="4:10" x14ac:dyDescent="0.3">
      <c r="D218" s="157"/>
      <c r="E218" s="158"/>
      <c r="F218" s="157"/>
      <c r="G218" s="159"/>
      <c r="H218" s="157"/>
      <c r="I218" s="157"/>
      <c r="J218" s="157"/>
    </row>
    <row r="219" spans="4:10" x14ac:dyDescent="0.3">
      <c r="D219" s="157"/>
      <c r="E219" s="158"/>
      <c r="F219" s="157"/>
      <c r="G219" s="159"/>
      <c r="H219" s="157"/>
      <c r="I219" s="157"/>
      <c r="J219" s="157"/>
    </row>
    <row r="220" spans="4:10" x14ac:dyDescent="0.3">
      <c r="D220" s="157"/>
      <c r="E220" s="158"/>
      <c r="F220" s="157"/>
      <c r="G220" s="159"/>
      <c r="H220" s="157"/>
      <c r="I220" s="157"/>
      <c r="J220" s="157"/>
    </row>
    <row r="221" spans="4:10" x14ac:dyDescent="0.3">
      <c r="D221" s="157"/>
      <c r="E221" s="158"/>
      <c r="F221" s="157"/>
      <c r="G221" s="159"/>
      <c r="H221" s="157"/>
      <c r="I221" s="157"/>
      <c r="J221" s="157"/>
    </row>
    <row r="222" spans="4:10" x14ac:dyDescent="0.3">
      <c r="D222" s="157"/>
      <c r="E222" s="158"/>
      <c r="F222" s="157"/>
      <c r="G222" s="159"/>
      <c r="H222" s="157"/>
      <c r="I222" s="157"/>
      <c r="J222" s="157"/>
    </row>
    <row r="223" spans="4:10" x14ac:dyDescent="0.3">
      <c r="D223" s="157"/>
      <c r="E223" s="158"/>
      <c r="F223" s="157"/>
      <c r="G223" s="159"/>
      <c r="H223" s="157"/>
      <c r="I223" s="157"/>
      <c r="J223" s="157"/>
    </row>
    <row r="224" spans="4:10" x14ac:dyDescent="0.3">
      <c r="D224" s="157"/>
      <c r="E224" s="158"/>
      <c r="F224" s="157"/>
      <c r="G224" s="159"/>
      <c r="H224" s="157"/>
      <c r="I224" s="157"/>
      <c r="J224" s="157"/>
    </row>
    <row r="225" spans="4:10" x14ac:dyDescent="0.3">
      <c r="D225" s="157"/>
      <c r="E225" s="158"/>
      <c r="F225" s="157"/>
      <c r="G225" s="159"/>
      <c r="H225" s="157"/>
      <c r="I225" s="157"/>
      <c r="J225" s="157"/>
    </row>
    <row r="226" spans="4:10" x14ac:dyDescent="0.3">
      <c r="D226" s="157"/>
      <c r="E226" s="158"/>
      <c r="F226" s="157"/>
      <c r="G226" s="159"/>
      <c r="H226" s="157"/>
      <c r="I226" s="157"/>
      <c r="J226" s="157"/>
    </row>
    <row r="227" spans="4:10" x14ac:dyDescent="0.3">
      <c r="D227" s="157"/>
      <c r="E227" s="158"/>
      <c r="F227" s="157"/>
      <c r="G227" s="159"/>
      <c r="H227" s="157"/>
      <c r="I227" s="157"/>
      <c r="J227" s="157"/>
    </row>
    <row r="228" spans="4:10" x14ac:dyDescent="0.3">
      <c r="D228" s="157"/>
      <c r="E228" s="158"/>
      <c r="F228" s="157"/>
      <c r="G228" s="159"/>
      <c r="H228" s="157"/>
      <c r="I228" s="157"/>
      <c r="J228" s="157"/>
    </row>
    <row r="229" spans="4:10" x14ac:dyDescent="0.3">
      <c r="D229" s="157"/>
      <c r="E229" s="158"/>
      <c r="F229" s="157"/>
      <c r="G229" s="159"/>
      <c r="H229" s="157"/>
      <c r="I229" s="157"/>
      <c r="J229" s="157"/>
    </row>
    <row r="230" spans="4:10" x14ac:dyDescent="0.3">
      <c r="D230" s="157"/>
      <c r="E230" s="158"/>
      <c r="F230" s="157"/>
      <c r="G230" s="159"/>
      <c r="H230" s="157"/>
      <c r="I230" s="157"/>
      <c r="J230" s="157"/>
    </row>
    <row r="231" spans="4:10" x14ac:dyDescent="0.3">
      <c r="D231" s="157"/>
      <c r="E231" s="158"/>
      <c r="F231" s="157"/>
      <c r="G231" s="159"/>
      <c r="H231" s="157"/>
      <c r="I231" s="157"/>
      <c r="J231" s="157"/>
    </row>
    <row r="232" spans="4:10" x14ac:dyDescent="0.3">
      <c r="D232" s="157"/>
      <c r="E232" s="158"/>
      <c r="F232" s="157"/>
      <c r="G232" s="159"/>
      <c r="H232" s="157"/>
      <c r="I232" s="157"/>
      <c r="J232" s="157"/>
    </row>
    <row r="233" spans="4:10" x14ac:dyDescent="0.3">
      <c r="D233" s="157"/>
      <c r="E233" s="158"/>
      <c r="F233" s="157"/>
      <c r="G233" s="159"/>
      <c r="H233" s="157"/>
      <c r="I233" s="157"/>
      <c r="J233" s="157"/>
    </row>
    <row r="234" spans="4:10" x14ac:dyDescent="0.3">
      <c r="D234" s="157"/>
      <c r="E234" s="158"/>
      <c r="F234" s="157"/>
      <c r="G234" s="159"/>
      <c r="H234" s="157"/>
      <c r="I234" s="157"/>
      <c r="J234" s="157"/>
    </row>
    <row r="235" spans="4:10" x14ac:dyDescent="0.3">
      <c r="D235" s="157"/>
      <c r="E235" s="158"/>
      <c r="F235" s="157"/>
      <c r="G235" s="159"/>
      <c r="H235" s="157"/>
      <c r="I235" s="157"/>
      <c r="J235" s="157"/>
    </row>
    <row r="236" spans="4:10" x14ac:dyDescent="0.3">
      <c r="D236" s="157"/>
      <c r="E236" s="158"/>
      <c r="F236" s="157"/>
      <c r="G236" s="159"/>
      <c r="H236" s="157"/>
      <c r="I236" s="157"/>
      <c r="J236" s="157"/>
    </row>
    <row r="237" spans="4:10" x14ac:dyDescent="0.3">
      <c r="D237" s="157"/>
      <c r="E237" s="158"/>
      <c r="F237" s="157"/>
      <c r="G237" s="159"/>
      <c r="H237" s="157"/>
      <c r="I237" s="157"/>
      <c r="J237" s="157"/>
    </row>
    <row r="238" spans="4:10" x14ac:dyDescent="0.3">
      <c r="D238" s="157"/>
      <c r="E238" s="158"/>
      <c r="F238" s="157"/>
      <c r="G238" s="159"/>
      <c r="H238" s="157"/>
      <c r="I238" s="157"/>
      <c r="J238" s="157"/>
    </row>
    <row r="239" spans="4:10" x14ac:dyDescent="0.3">
      <c r="D239" s="157"/>
      <c r="E239" s="158"/>
      <c r="F239" s="157"/>
      <c r="G239" s="159"/>
      <c r="H239" s="157"/>
      <c r="I239" s="157"/>
      <c r="J239" s="157"/>
    </row>
    <row r="240" spans="4:10" x14ac:dyDescent="0.3">
      <c r="D240" s="157"/>
      <c r="E240" s="158"/>
      <c r="F240" s="157"/>
      <c r="G240" s="159"/>
      <c r="H240" s="157"/>
      <c r="I240" s="157"/>
      <c r="J240" s="157"/>
    </row>
    <row r="241" spans="4:10" x14ac:dyDescent="0.3">
      <c r="D241" s="157"/>
      <c r="E241" s="158"/>
      <c r="F241" s="157"/>
      <c r="G241" s="159"/>
      <c r="H241" s="157"/>
      <c r="I241" s="157"/>
      <c r="J241" s="157"/>
    </row>
    <row r="242" spans="4:10" x14ac:dyDescent="0.3">
      <c r="D242" s="157"/>
      <c r="E242" s="158"/>
      <c r="F242" s="157"/>
      <c r="G242" s="159"/>
      <c r="H242" s="157"/>
      <c r="I242" s="157"/>
      <c r="J242" s="157"/>
    </row>
    <row r="243" spans="4:10" x14ac:dyDescent="0.3">
      <c r="D243" s="157"/>
      <c r="E243" s="158"/>
      <c r="F243" s="157"/>
      <c r="G243" s="159"/>
      <c r="H243" s="157"/>
      <c r="I243" s="157"/>
      <c r="J243" s="157"/>
    </row>
    <row r="244" spans="4:10" x14ac:dyDescent="0.3">
      <c r="D244" s="157"/>
      <c r="E244" s="158"/>
      <c r="F244" s="157"/>
      <c r="G244" s="159"/>
      <c r="H244" s="157"/>
      <c r="I244" s="157"/>
      <c r="J244" s="157"/>
    </row>
    <row r="245" spans="4:10" x14ac:dyDescent="0.3">
      <c r="D245" s="157"/>
      <c r="E245" s="158"/>
      <c r="F245" s="157"/>
      <c r="G245" s="159"/>
      <c r="H245" s="157"/>
      <c r="I245" s="157"/>
      <c r="J245" s="157"/>
    </row>
    <row r="246" spans="4:10" x14ac:dyDescent="0.3">
      <c r="D246" s="157"/>
      <c r="E246" s="158"/>
      <c r="F246" s="157"/>
      <c r="G246" s="159"/>
      <c r="H246" s="157"/>
      <c r="I246" s="157"/>
      <c r="J246" s="157"/>
    </row>
    <row r="247" spans="4:10" x14ac:dyDescent="0.3">
      <c r="D247" s="157"/>
      <c r="E247" s="158"/>
      <c r="F247" s="157"/>
      <c r="G247" s="159"/>
      <c r="H247" s="157"/>
      <c r="I247" s="157"/>
      <c r="J247" s="157"/>
    </row>
    <row r="248" spans="4:10" x14ac:dyDescent="0.3">
      <c r="D248" s="157"/>
      <c r="E248" s="158"/>
      <c r="F248" s="157"/>
      <c r="G248" s="159"/>
      <c r="H248" s="157"/>
      <c r="I248" s="157"/>
      <c r="J248" s="157"/>
    </row>
    <row r="249" spans="4:10" x14ac:dyDescent="0.3">
      <c r="D249" s="157"/>
      <c r="E249" s="158"/>
      <c r="F249" s="157"/>
      <c r="G249" s="159"/>
      <c r="H249" s="157"/>
      <c r="I249" s="157"/>
      <c r="J249" s="157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62" t="s">
        <v>392</v>
      </c>
    </row>
    <row r="2" spans="1:3" ht="21" x14ac:dyDescent="0.4">
      <c r="B2" s="854" t="s">
        <v>253</v>
      </c>
      <c r="C2" s="854"/>
    </row>
    <row r="3" spans="1:3" x14ac:dyDescent="0.3">
      <c r="B3" s="289" t="s">
        <v>240</v>
      </c>
      <c r="C3" s="297">
        <f>SUM(C4:C6)</f>
        <v>65040</v>
      </c>
    </row>
    <row r="4" spans="1:3" x14ac:dyDescent="0.3">
      <c r="B4" s="294" t="s">
        <v>254</v>
      </c>
      <c r="C4" s="291">
        <f>('Calculating offering price ARV'!C51+'Calculating offering price ARV'!D49+'Calculating offering price ARV'!E49)*12</f>
        <v>68400</v>
      </c>
    </row>
    <row r="5" spans="1:3" x14ac:dyDescent="0.3">
      <c r="B5" s="294" t="s">
        <v>255</v>
      </c>
      <c r="C5" s="292">
        <f>SUM('Calculating offering price ARV'!C53:C56)</f>
        <v>150</v>
      </c>
    </row>
    <row r="6" spans="1:3" x14ac:dyDescent="0.3">
      <c r="B6" s="295" t="s">
        <v>256</v>
      </c>
      <c r="C6" s="293">
        <f>-'ROI Number insert ARV'!E26</f>
        <v>-3510</v>
      </c>
    </row>
    <row r="7" spans="1:3" x14ac:dyDescent="0.3">
      <c r="B7" s="289" t="s">
        <v>241</v>
      </c>
      <c r="C7" s="297">
        <f>SUM(C8:C18)</f>
        <v>36654.552582352946</v>
      </c>
    </row>
    <row r="8" spans="1:3" x14ac:dyDescent="0.3">
      <c r="B8" s="294" t="s">
        <v>257</v>
      </c>
      <c r="C8" s="291">
        <f>'ROI Number insert ARV'!E41</f>
        <v>3334.5</v>
      </c>
    </row>
    <row r="9" spans="1:3" x14ac:dyDescent="0.3">
      <c r="B9" s="294" t="s">
        <v>258</v>
      </c>
      <c r="C9" s="291">
        <f>'ROI Number insert ARV'!E38</f>
        <v>1740</v>
      </c>
    </row>
    <row r="10" spans="1:3" x14ac:dyDescent="0.3">
      <c r="B10" s="294" t="s">
        <v>259</v>
      </c>
      <c r="C10" s="291">
        <f>'ROI Number insert ARV'!E35</f>
        <v>6142.9458823529403</v>
      </c>
    </row>
    <row r="11" spans="1:3" x14ac:dyDescent="0.3">
      <c r="B11" s="294" t="s">
        <v>260</v>
      </c>
      <c r="C11" s="291">
        <f>'ROI Number insert ARV'!E39</f>
        <v>0</v>
      </c>
    </row>
    <row r="12" spans="1:3" x14ac:dyDescent="0.3">
      <c r="B12" s="294" t="s">
        <v>261</v>
      </c>
      <c r="C12" s="291">
        <f>'ROI Number insert ARV'!E40</f>
        <v>0</v>
      </c>
    </row>
    <row r="13" spans="1:3" x14ac:dyDescent="0.3">
      <c r="B13" s="294" t="s">
        <v>262</v>
      </c>
      <c r="C13" s="291">
        <f>'ROI Number insert ARV'!E34</f>
        <v>5616</v>
      </c>
    </row>
    <row r="14" spans="1:3" x14ac:dyDescent="0.3">
      <c r="B14" s="294" t="s">
        <v>39</v>
      </c>
      <c r="C14" s="291">
        <f>'ROI Number insert ARV'!E37</f>
        <v>4620</v>
      </c>
    </row>
    <row r="15" spans="1:3" x14ac:dyDescent="0.3">
      <c r="B15" s="294" t="s">
        <v>190</v>
      </c>
      <c r="C15" s="291">
        <f>'ROI Number insert ARV'!E42</f>
        <v>666.9</v>
      </c>
    </row>
    <row r="16" spans="1:3" x14ac:dyDescent="0.3">
      <c r="B16" s="294" t="s">
        <v>263</v>
      </c>
      <c r="C16" s="291">
        <f>'ROI Number insert ARV'!E43</f>
        <v>0</v>
      </c>
    </row>
    <row r="17" spans="2:3" x14ac:dyDescent="0.3">
      <c r="B17" s="294" t="s">
        <v>267</v>
      </c>
      <c r="C17" s="291">
        <f>'ROI Number insert ARV'!H16</f>
        <v>0</v>
      </c>
    </row>
    <row r="18" spans="2:3" x14ac:dyDescent="0.3">
      <c r="B18" s="295" t="s">
        <v>264</v>
      </c>
      <c r="C18" s="296">
        <f>'ROI Number insert ARV'!E32</f>
        <v>14534.206700000001</v>
      </c>
    </row>
    <row r="19" spans="2:3" x14ac:dyDescent="0.3">
      <c r="B19" s="298" t="s">
        <v>218</v>
      </c>
      <c r="C19" s="299">
        <f>C3-C7</f>
        <v>28385.447417647054</v>
      </c>
    </row>
    <row r="20" spans="2:3" x14ac:dyDescent="0.3">
      <c r="B20" s="1" t="s">
        <v>265</v>
      </c>
      <c r="C20" s="291">
        <f>'ROI Number insert ARV'!E30</f>
        <v>77818.045941641452</v>
      </c>
    </row>
    <row r="21" spans="2:3" x14ac:dyDescent="0.3">
      <c r="B21" s="290" t="s">
        <v>266</v>
      </c>
      <c r="C21" s="296">
        <f>'ROI Number insert ARV'!H17</f>
        <v>0</v>
      </c>
    </row>
    <row r="22" spans="2:3" ht="15.6" x14ac:dyDescent="0.3">
      <c r="B22" s="176" t="s">
        <v>141</v>
      </c>
      <c r="C22" s="300">
        <f>C19-SUM(C20:C21)</f>
        <v>-49432.598523994398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>
      <selection activeCell="H23" sqref="H23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62" t="s">
        <v>392</v>
      </c>
    </row>
    <row r="2" spans="1:11" ht="21.6" thickBot="1" x14ac:dyDescent="0.45">
      <c r="B2" s="424" t="s">
        <v>141</v>
      </c>
      <c r="G2" s="423" t="s">
        <v>142</v>
      </c>
      <c r="I2" s="117"/>
    </row>
    <row r="3" spans="1:11" ht="15.6" x14ac:dyDescent="0.3">
      <c r="B3" s="1" t="s">
        <v>199</v>
      </c>
      <c r="G3" s="177" t="s">
        <v>205</v>
      </c>
      <c r="H3" s="178" t="s">
        <v>21</v>
      </c>
      <c r="I3" s="395">
        <f>C11</f>
        <v>731400</v>
      </c>
    </row>
    <row r="4" spans="1:11" ht="15.6" x14ac:dyDescent="0.3">
      <c r="B4" s="167" t="s">
        <v>140</v>
      </c>
      <c r="C4" s="167" t="s">
        <v>149</v>
      </c>
      <c r="D4" s="167" t="s">
        <v>150</v>
      </c>
      <c r="E4" s="167" t="s">
        <v>151</v>
      </c>
      <c r="G4" s="162"/>
      <c r="H4" s="180" t="s">
        <v>145</v>
      </c>
      <c r="I4" s="181">
        <f>SUM('Principle Recapture ARV'!E9:E69)</f>
        <v>179010.19130045222</v>
      </c>
    </row>
    <row r="5" spans="1:11" ht="15.6" x14ac:dyDescent="0.3">
      <c r="B5" s="168">
        <v>1</v>
      </c>
      <c r="C5" s="169">
        <f>'ROI Number insert ARV'!E47</f>
        <v>-47782.598523994398</v>
      </c>
      <c r="D5" s="170">
        <f>C5/$C$11</f>
        <v>-6.5330323385280831E-2</v>
      </c>
      <c r="E5" s="171">
        <f>C5/12</f>
        <v>-3981.8832103328664</v>
      </c>
      <c r="G5" s="162"/>
      <c r="H5" s="180" t="s">
        <v>146</v>
      </c>
      <c r="I5" s="182">
        <f>I4/I3</f>
        <v>0.24475005646766779</v>
      </c>
    </row>
    <row r="6" spans="1:11" ht="16.2" thickBot="1" x14ac:dyDescent="0.35">
      <c r="B6" s="168">
        <v>2</v>
      </c>
      <c r="C6" s="169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-48182.239575641463</v>
      </c>
      <c r="D6" s="170">
        <f t="shared" ref="D6:D9" si="0">C6/$C$11</f>
        <v>-6.5876728979548077E-2</v>
      </c>
      <c r="E6" s="171">
        <f>C6/12</f>
        <v>-4015.1866313034552</v>
      </c>
      <c r="G6" s="162"/>
      <c r="H6" s="180" t="s">
        <v>147</v>
      </c>
      <c r="I6" s="182">
        <f>I5/10</f>
        <v>2.447500564676678E-2</v>
      </c>
    </row>
    <row r="7" spans="1:11" s="76" customFormat="1" ht="15.6" x14ac:dyDescent="0.3">
      <c r="B7" s="173">
        <v>3</v>
      </c>
      <c r="C7" s="169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-48594.875198321482</v>
      </c>
      <c r="D7" s="170">
        <f t="shared" si="0"/>
        <v>-6.644090128291151E-2</v>
      </c>
      <c r="E7" s="174">
        <f>C7/12</f>
        <v>-4049.5729331934567</v>
      </c>
      <c r="G7" s="120" t="s">
        <v>144</v>
      </c>
      <c r="H7" s="121" t="s">
        <v>21</v>
      </c>
      <c r="I7" s="394">
        <f>C11</f>
        <v>731400</v>
      </c>
      <c r="K7" s="1"/>
    </row>
    <row r="8" spans="1:11" ht="15.6" x14ac:dyDescent="0.3">
      <c r="B8" s="168">
        <v>4</v>
      </c>
      <c r="C8" s="169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-49020.790292205078</v>
      </c>
      <c r="D8" s="170">
        <f t="shared" si="0"/>
        <v>-6.7023229822539068E-2</v>
      </c>
      <c r="E8" s="171">
        <f>C8/12</f>
        <v>-4085.0658576837563</v>
      </c>
      <c r="G8" s="123"/>
      <c r="H8" s="124" t="s">
        <v>145</v>
      </c>
      <c r="I8" s="125">
        <f>SUM('Principle Recapture ARV'!E9:E129)</f>
        <v>382662.31683004339</v>
      </c>
    </row>
    <row r="9" spans="1:11" ht="15.6" x14ac:dyDescent="0.3">
      <c r="B9" s="168">
        <v>5</v>
      </c>
      <c r="C9" s="169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-49460.275580510119</v>
      </c>
      <c r="D9" s="170">
        <f t="shared" si="0"/>
        <v>-6.7624112087107086E-2</v>
      </c>
      <c r="E9" s="171">
        <f>C9/12</f>
        <v>-4121.6896317091769</v>
      </c>
      <c r="G9" s="123"/>
      <c r="H9" s="124" t="s">
        <v>146</v>
      </c>
      <c r="I9" s="128">
        <f>I8/I7</f>
        <v>0.52319157346191325</v>
      </c>
    </row>
    <row r="10" spans="1:11" ht="16.2" thickBot="1" x14ac:dyDescent="0.35">
      <c r="B10" s="168" t="s">
        <v>152</v>
      </c>
      <c r="C10" s="169">
        <f>SUM(C5:C9)</f>
        <v>-243040.77917067255</v>
      </c>
      <c r="G10" s="223"/>
      <c r="H10" s="129" t="s">
        <v>147</v>
      </c>
      <c r="I10" s="224">
        <f>I9/10</f>
        <v>5.2319157346191324E-2</v>
      </c>
    </row>
    <row r="11" spans="1:11" ht="15.6" x14ac:dyDescent="0.3">
      <c r="B11" s="168" t="s">
        <v>21</v>
      </c>
      <c r="C11" s="169">
        <f>'Total Result'!D6</f>
        <v>731400</v>
      </c>
      <c r="G11" s="225" t="s">
        <v>148</v>
      </c>
      <c r="H11" s="226" t="s">
        <v>21</v>
      </c>
      <c r="I11" s="393">
        <f>C11</f>
        <v>731400</v>
      </c>
    </row>
    <row r="12" spans="1:11" s="76" customFormat="1" ht="15.6" x14ac:dyDescent="0.3">
      <c r="B12" s="173" t="s">
        <v>153</v>
      </c>
      <c r="C12" s="175">
        <f>C10/C11/5</f>
        <v>-6.6459059111477314E-2</v>
      </c>
      <c r="G12" s="130"/>
      <c r="H12" s="131" t="s">
        <v>145</v>
      </c>
      <c r="I12" s="132">
        <f>SUM('Principle Recapture ARV'!E9:E189)</f>
        <v>617933.67133045115</v>
      </c>
      <c r="K12" s="1"/>
    </row>
    <row r="13" spans="1:11" ht="31.2" x14ac:dyDescent="0.3">
      <c r="B13" s="172" t="s">
        <v>154</v>
      </c>
      <c r="C13" s="233">
        <f>_xlfn.RRI(10,D5,D9)</f>
        <v>3.456791797733727E-3</v>
      </c>
      <c r="G13" s="130"/>
      <c r="H13" s="131" t="s">
        <v>146</v>
      </c>
      <c r="I13" s="133">
        <f>I12/I11</f>
        <v>0.8448641937796707</v>
      </c>
    </row>
    <row r="14" spans="1:11" ht="16.2" thickBot="1" x14ac:dyDescent="0.35">
      <c r="B14" s="1" t="s">
        <v>198</v>
      </c>
      <c r="D14" s="117"/>
      <c r="G14" s="134"/>
      <c r="H14" s="135" t="s">
        <v>147</v>
      </c>
      <c r="I14" s="136">
        <f>I13/15</f>
        <v>5.6324279585311381E-2</v>
      </c>
    </row>
    <row r="15" spans="1:11" ht="21.6" thickBot="1" x14ac:dyDescent="0.45">
      <c r="B15" s="137" t="s">
        <v>140</v>
      </c>
      <c r="C15" s="137" t="s">
        <v>149</v>
      </c>
      <c r="D15" s="137" t="s">
        <v>150</v>
      </c>
      <c r="E15" s="137" t="s">
        <v>151</v>
      </c>
      <c r="G15" s="423" t="s">
        <v>143</v>
      </c>
    </row>
    <row r="16" spans="1:11" ht="15.6" x14ac:dyDescent="0.3">
      <c r="B16" s="138">
        <v>1</v>
      </c>
      <c r="C16" s="139">
        <f>C5</f>
        <v>-47782.598523994398</v>
      </c>
      <c r="D16" s="140">
        <f>C16/$C$27</f>
        <v>-6.5330323385280831E-2</v>
      </c>
      <c r="E16" s="141">
        <f>C16/12</f>
        <v>-3981.8832103328664</v>
      </c>
      <c r="G16" s="183" t="s">
        <v>95</v>
      </c>
      <c r="H16" s="214">
        <f>'ROI Number insert'!F3</f>
        <v>2200000</v>
      </c>
    </row>
    <row r="17" spans="2:11" ht="16.2" thickBot="1" x14ac:dyDescent="0.35">
      <c r="B17" s="138">
        <v>2</v>
      </c>
      <c r="C17" s="139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-48182.239575641463</v>
      </c>
      <c r="D17" s="140">
        <f t="shared" ref="D17:D25" si="1">C17/$C$27</f>
        <v>-6.5876728979548077E-2</v>
      </c>
      <c r="E17" s="141">
        <f t="shared" ref="E17:E25" si="2">C17/12</f>
        <v>-4015.1866313034552</v>
      </c>
      <c r="G17" s="184" t="s">
        <v>200</v>
      </c>
      <c r="H17" s="215">
        <f>'Calculating offering price'!C5</f>
        <v>2020705.882352941</v>
      </c>
    </row>
    <row r="18" spans="2:11" s="164" customFormat="1" ht="15.6" x14ac:dyDescent="0.3">
      <c r="B18" s="138">
        <v>3</v>
      </c>
      <c r="C18" s="139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-48594.875198321482</v>
      </c>
      <c r="D18" s="140">
        <f t="shared" si="1"/>
        <v>-6.644090128291151E-2</v>
      </c>
      <c r="E18" s="141">
        <f t="shared" si="2"/>
        <v>-4049.5729331934567</v>
      </c>
      <c r="G18" s="185"/>
      <c r="H18" s="186" t="s">
        <v>113</v>
      </c>
      <c r="I18" s="188" t="s">
        <v>87</v>
      </c>
      <c r="J18" s="189" t="s">
        <v>193</v>
      </c>
      <c r="K18" s="190" t="s">
        <v>204</v>
      </c>
    </row>
    <row r="19" spans="2:11" ht="15.6" x14ac:dyDescent="0.3">
      <c r="B19" s="138">
        <v>4</v>
      </c>
      <c r="C19" s="139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-49020.790292205078</v>
      </c>
      <c r="D19" s="140">
        <f t="shared" si="1"/>
        <v>-6.7023229822539068E-2</v>
      </c>
      <c r="E19" s="141">
        <f t="shared" si="2"/>
        <v>-4085.0658576837563</v>
      </c>
      <c r="G19" s="185" t="s">
        <v>201</v>
      </c>
      <c r="H19" s="216">
        <f>'Calculating offering price ARV'!C95</f>
        <v>2681787.7239884655</v>
      </c>
      <c r="I19" s="217">
        <f>H19-H16</f>
        <v>481787.7239884655</v>
      </c>
      <c r="J19" s="220">
        <f>I19/C11</f>
        <v>0.65871988513599333</v>
      </c>
      <c r="K19" s="221">
        <f>_xlfn.RRI(5,H16,H19)</f>
        <v>4.0399999999999991E-2</v>
      </c>
    </row>
    <row r="20" spans="2:11" ht="15.6" x14ac:dyDescent="0.3">
      <c r="B20" s="138">
        <v>5</v>
      </c>
      <c r="C20" s="139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-49460.275580510119</v>
      </c>
      <c r="D20" s="140">
        <f t="shared" si="1"/>
        <v>-6.7624112087107086E-2</v>
      </c>
      <c r="E20" s="141">
        <f t="shared" si="2"/>
        <v>-4121.6896317091769</v>
      </c>
      <c r="G20" s="185" t="s">
        <v>202</v>
      </c>
      <c r="H20" s="391">
        <f>'Calculating offering price ARV'!C106</f>
        <v>2553189.815055327</v>
      </c>
      <c r="I20" s="217">
        <f>H20-H16</f>
        <v>353189.81505532702</v>
      </c>
      <c r="J20" s="220">
        <f>I20/C11</f>
        <v>0.48289556337889938</v>
      </c>
      <c r="K20" s="221">
        <f>_xlfn.RRI(10,H16,H20)</f>
        <v>1.4999999999999902E-2</v>
      </c>
    </row>
    <row r="21" spans="2:11" ht="16.2" thickBot="1" x14ac:dyDescent="0.35">
      <c r="B21" s="138">
        <v>6</v>
      </c>
      <c r="C21" s="139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-49913.627726587736</v>
      </c>
      <c r="D21" s="140">
        <f t="shared" si="1"/>
        <v>-6.8243953686885059E-2</v>
      </c>
      <c r="E21" s="141">
        <f t="shared" si="2"/>
        <v>-4159.4689772156444</v>
      </c>
      <c r="G21" s="187" t="s">
        <v>203</v>
      </c>
      <c r="H21" s="392">
        <f>'Calculating offering price ARV'!C117</f>
        <v>2960910.3443130841</v>
      </c>
      <c r="I21" s="219">
        <f>H21-H16</f>
        <v>760910.34431308415</v>
      </c>
      <c r="J21" s="220">
        <f>I21/C11</f>
        <v>1.0403477499495271</v>
      </c>
      <c r="K21" s="222">
        <f>_xlfn.RRI(15,H16,H21)</f>
        <v>2.0000000000000018E-2</v>
      </c>
    </row>
    <row r="22" spans="2:11" ht="15.6" x14ac:dyDescent="0.3">
      <c r="B22" s="138">
        <v>7</v>
      </c>
      <c r="C22" s="139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-50381.149453353384</v>
      </c>
      <c r="D22" s="140">
        <f t="shared" si="1"/>
        <v>-6.8883168517026777E-2</v>
      </c>
      <c r="E22" s="141">
        <f t="shared" si="2"/>
        <v>-4198.429121112782</v>
      </c>
    </row>
    <row r="23" spans="2:11" ht="21.6" thickBot="1" x14ac:dyDescent="0.45">
      <c r="B23" s="138">
        <v>8</v>
      </c>
      <c r="C23" s="139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-50863.149665109675</v>
      </c>
      <c r="D23" s="140">
        <f t="shared" si="1"/>
        <v>-6.9542178924131351E-2</v>
      </c>
      <c r="E23" s="141">
        <f t="shared" si="2"/>
        <v>-4238.5958054258062</v>
      </c>
      <c r="G23" s="191" t="s">
        <v>206</v>
      </c>
    </row>
    <row r="24" spans="2:11" ht="15.6" x14ac:dyDescent="0.3">
      <c r="B24" s="138">
        <v>9</v>
      </c>
      <c r="C24" s="139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-51359.943571808719</v>
      </c>
      <c r="D24" s="140">
        <f t="shared" si="1"/>
        <v>-7.0221415876139892E-2</v>
      </c>
      <c r="E24" s="141">
        <f t="shared" si="2"/>
        <v>-4279.9952976507266</v>
      </c>
      <c r="G24" s="208" t="s">
        <v>95</v>
      </c>
      <c r="H24" s="209">
        <f>'ROI Number insert'!F3</f>
        <v>2200000</v>
      </c>
    </row>
    <row r="25" spans="2:11" ht="15.6" x14ac:dyDescent="0.3">
      <c r="B25" s="138">
        <v>10</v>
      </c>
      <c r="C25" s="139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-51871.852815802871</v>
      </c>
      <c r="D25" s="140">
        <f t="shared" si="1"/>
        <v>-7.0921319135634223E-2</v>
      </c>
      <c r="E25" s="141">
        <f t="shared" si="2"/>
        <v>-4322.6544013169059</v>
      </c>
      <c r="G25" s="210" t="s">
        <v>94</v>
      </c>
      <c r="H25" s="211">
        <f>'ROI Number insert'!F10</f>
        <v>91400</v>
      </c>
      <c r="I25" s="117"/>
    </row>
    <row r="26" spans="2:11" ht="15.6" x14ac:dyDescent="0.3">
      <c r="B26" s="138" t="s">
        <v>152</v>
      </c>
      <c r="C26" s="139">
        <f>SUM(C16:C25)</f>
        <v>-497430.50240333489</v>
      </c>
      <c r="D26" s="117"/>
      <c r="G26" s="210" t="s">
        <v>17</v>
      </c>
      <c r="H26" s="211">
        <f>'ROI Number insert'!F15</f>
        <v>0</v>
      </c>
      <c r="I26" s="117"/>
    </row>
    <row r="27" spans="2:11" ht="15.6" x14ac:dyDescent="0.3">
      <c r="B27" s="138" t="s">
        <v>21</v>
      </c>
      <c r="C27" s="139">
        <f>C11</f>
        <v>731400</v>
      </c>
      <c r="D27" s="117"/>
      <c r="G27" s="210" t="s">
        <v>207</v>
      </c>
      <c r="H27" s="211">
        <f>'ROI Number insert'!F13</f>
        <v>0</v>
      </c>
      <c r="I27" s="117"/>
    </row>
    <row r="28" spans="2:11" ht="15.6" x14ac:dyDescent="0.3">
      <c r="B28" s="138" t="s">
        <v>153</v>
      </c>
      <c r="C28" s="142">
        <f>C26/C27/10</f>
        <v>-6.801073316972038E-2</v>
      </c>
      <c r="D28" s="117"/>
      <c r="G28" s="210" t="s">
        <v>208</v>
      </c>
      <c r="H28" s="211">
        <f>'ROI Number insert ARV'!E50</f>
        <v>241000.00000000003</v>
      </c>
      <c r="I28" s="163"/>
      <c r="J28" s="164"/>
    </row>
    <row r="29" spans="2:11" ht="31.2" x14ac:dyDescent="0.3">
      <c r="B29" s="143" t="s">
        <v>154</v>
      </c>
      <c r="C29" s="234">
        <f>_xlfn.RRI(10,D16,D25)</f>
        <v>8.2452849082432778E-3</v>
      </c>
      <c r="D29" s="163"/>
      <c r="E29" s="164"/>
      <c r="G29" s="268" t="s">
        <v>209</v>
      </c>
      <c r="H29" s="269">
        <f>'ROI Number insert'!F17</f>
        <v>3500000</v>
      </c>
    </row>
    <row r="30" spans="2:11" ht="15.6" x14ac:dyDescent="0.3">
      <c r="B30" s="1" t="s">
        <v>197</v>
      </c>
      <c r="D30" s="117"/>
      <c r="G30" s="210" t="s">
        <v>210</v>
      </c>
      <c r="H30" s="211">
        <f>H29-SUM(H24:H28)</f>
        <v>967600</v>
      </c>
    </row>
    <row r="31" spans="2:11" ht="15.6" x14ac:dyDescent="0.3">
      <c r="B31" s="144" t="s">
        <v>140</v>
      </c>
      <c r="C31" s="144" t="s">
        <v>149</v>
      </c>
      <c r="D31" s="144" t="s">
        <v>150</v>
      </c>
      <c r="E31" s="144" t="s">
        <v>151</v>
      </c>
      <c r="G31" s="210" t="s">
        <v>21</v>
      </c>
      <c r="H31" s="211">
        <f>'ROI Number insert'!F19</f>
        <v>861400</v>
      </c>
    </row>
    <row r="32" spans="2:11" ht="16.2" thickBot="1" x14ac:dyDescent="0.35">
      <c r="B32" s="145">
        <v>1</v>
      </c>
      <c r="C32" s="146">
        <f>C16</f>
        <v>-47782.598523994398</v>
      </c>
      <c r="D32" s="147">
        <f>C32/$C$48</f>
        <v>-6.5330323385280831E-2</v>
      </c>
      <c r="E32" s="146">
        <f>C32/12</f>
        <v>-3981.8832103328664</v>
      </c>
      <c r="G32" s="212" t="s">
        <v>146</v>
      </c>
      <c r="H32" s="213">
        <f>H30/H31</f>
        <v>1.1232876712328768</v>
      </c>
    </row>
    <row r="33" spans="2:11" ht="21.6" thickBot="1" x14ac:dyDescent="0.45">
      <c r="B33" s="145">
        <v>2</v>
      </c>
      <c r="C33" s="148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-48182.239575641463</v>
      </c>
      <c r="D33" s="147">
        <f t="shared" ref="D33:D46" si="3">C33/$C$48</f>
        <v>-6.5876728979548077E-2</v>
      </c>
      <c r="E33" s="146">
        <f t="shared" ref="E33:E46" si="4">C33/12</f>
        <v>-4015.1866313034552</v>
      </c>
      <c r="G33" s="191" t="s">
        <v>217</v>
      </c>
    </row>
    <row r="34" spans="2:11" s="76" customFormat="1" ht="31.8" thickBot="1" x14ac:dyDescent="0.35">
      <c r="B34" s="198">
        <v>3</v>
      </c>
      <c r="C34" s="148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-48594.875198321482</v>
      </c>
      <c r="D34" s="200">
        <f t="shared" si="3"/>
        <v>-6.644090128291151E-2</v>
      </c>
      <c r="E34" s="201">
        <f t="shared" si="4"/>
        <v>-4049.5729331934567</v>
      </c>
      <c r="G34" s="203" t="s">
        <v>218</v>
      </c>
      <c r="H34" s="205">
        <f>'ROI Number insert ARV'!E45</f>
        <v>30035.447417647054</v>
      </c>
      <c r="I34" s="202"/>
      <c r="J34" s="202"/>
      <c r="K34" s="202"/>
    </row>
    <row r="35" spans="2:11" ht="16.2" thickBot="1" x14ac:dyDescent="0.35">
      <c r="B35" s="145">
        <v>4</v>
      </c>
      <c r="C35" s="148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-49020.790292205078</v>
      </c>
      <c r="D35" s="147">
        <f t="shared" si="3"/>
        <v>-6.7023229822539068E-2</v>
      </c>
      <c r="E35" s="146">
        <f t="shared" si="4"/>
        <v>-4085.0658576837563</v>
      </c>
      <c r="G35" s="204" t="s">
        <v>217</v>
      </c>
      <c r="H35" s="311">
        <f>H34/'ROI Number insert ARV'!E3</f>
        <v>1.2514769757352939E-2</v>
      </c>
    </row>
    <row r="36" spans="2:11" ht="15.6" x14ac:dyDescent="0.3">
      <c r="B36" s="145">
        <v>5</v>
      </c>
      <c r="C36" s="148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-49460.275580510119</v>
      </c>
      <c r="D36" s="147">
        <f t="shared" si="3"/>
        <v>-6.7624112087107086E-2</v>
      </c>
      <c r="E36" s="146">
        <f t="shared" si="4"/>
        <v>-4121.6896317091769</v>
      </c>
    </row>
    <row r="37" spans="2:11" ht="15.6" x14ac:dyDescent="0.3">
      <c r="B37" s="145">
        <v>6</v>
      </c>
      <c r="C37" s="148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-49913.627726587736</v>
      </c>
      <c r="D37" s="147">
        <f t="shared" si="3"/>
        <v>-6.8243953686885059E-2</v>
      </c>
      <c r="E37" s="146">
        <f t="shared" si="4"/>
        <v>-4159.4689772156444</v>
      </c>
      <c r="G37" s="176"/>
    </row>
    <row r="38" spans="2:11" ht="15.6" x14ac:dyDescent="0.3">
      <c r="B38" s="145">
        <v>7</v>
      </c>
      <c r="C38" s="148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-50381.149453353384</v>
      </c>
      <c r="D38" s="147">
        <f t="shared" si="3"/>
        <v>-6.8883168517026777E-2</v>
      </c>
      <c r="E38" s="146">
        <f t="shared" si="4"/>
        <v>-4198.429121112782</v>
      </c>
    </row>
    <row r="39" spans="2:11" s="202" customFormat="1" ht="15.6" x14ac:dyDescent="0.3">
      <c r="B39" s="198">
        <v>8</v>
      </c>
      <c r="C39" s="148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-50863.149665109675</v>
      </c>
      <c r="D39" s="147">
        <f t="shared" si="3"/>
        <v>-6.9542178924131351E-2</v>
      </c>
      <c r="E39" s="201">
        <f t="shared" si="4"/>
        <v>-4238.5958054258062</v>
      </c>
    </row>
    <row r="40" spans="2:11" ht="15.6" x14ac:dyDescent="0.3">
      <c r="B40" s="145">
        <v>9</v>
      </c>
      <c r="C40" s="148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-51359.943571808719</v>
      </c>
      <c r="D40" s="147">
        <f t="shared" si="3"/>
        <v>-7.0221415876139892E-2</v>
      </c>
      <c r="E40" s="146">
        <f t="shared" si="4"/>
        <v>-4279.9952976507266</v>
      </c>
    </row>
    <row r="41" spans="2:11" ht="15.6" x14ac:dyDescent="0.3">
      <c r="B41" s="145">
        <v>10</v>
      </c>
      <c r="C41" s="148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-51871.852815802871</v>
      </c>
      <c r="D41" s="147">
        <f t="shared" si="3"/>
        <v>-7.0921319135634223E-2</v>
      </c>
      <c r="E41" s="146">
        <f t="shared" si="4"/>
        <v>-4322.6544013169059</v>
      </c>
    </row>
    <row r="42" spans="2:11" ht="15.6" x14ac:dyDescent="0.3">
      <c r="B42" s="145">
        <v>11</v>
      </c>
      <c r="C42" s="148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-52399.205601133879</v>
      </c>
      <c r="D42" s="147">
        <f t="shared" si="3"/>
        <v>-7.1642337436606349E-2</v>
      </c>
      <c r="E42" s="146">
        <f t="shared" si="4"/>
        <v>-4366.6004667611569</v>
      </c>
    </row>
    <row r="43" spans="2:11" ht="15.6" x14ac:dyDescent="0.3">
      <c r="B43" s="145">
        <v>12</v>
      </c>
      <c r="C43" s="148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-52942.336825410726</v>
      </c>
      <c r="D43" s="147">
        <f t="shared" si="3"/>
        <v>-7.2384928664767201E-2</v>
      </c>
      <c r="E43" s="146">
        <f t="shared" si="4"/>
        <v>-4411.8614021175608</v>
      </c>
    </row>
    <row r="44" spans="2:11" ht="15.6" x14ac:dyDescent="0.3">
      <c r="B44" s="145">
        <v>13</v>
      </c>
      <c r="C44" s="148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-53501.588214328593</v>
      </c>
      <c r="D44" s="147">
        <f t="shared" si="3"/>
        <v>-7.3149560041466499E-2</v>
      </c>
      <c r="E44" s="146">
        <f t="shared" si="4"/>
        <v>-4458.465684527383</v>
      </c>
    </row>
    <row r="45" spans="2:11" ht="15.6" x14ac:dyDescent="0.3">
      <c r="B45" s="145">
        <v>14</v>
      </c>
      <c r="C45" s="148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-54077.30845888098</v>
      </c>
      <c r="D45" s="147">
        <f t="shared" si="3"/>
        <v>-7.3936708311294744E-2</v>
      </c>
      <c r="E45" s="146">
        <f t="shared" si="4"/>
        <v>-4506.4423715734147</v>
      </c>
    </row>
    <row r="46" spans="2:11" ht="15.6" x14ac:dyDescent="0.3">
      <c r="B46" s="145">
        <v>15</v>
      </c>
      <c r="C46" s="148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-54669.853355319938</v>
      </c>
      <c r="D46" s="147">
        <f t="shared" si="3"/>
        <v>-7.4746859933442628E-2</v>
      </c>
      <c r="E46" s="146">
        <f t="shared" si="4"/>
        <v>-4555.8211129433284</v>
      </c>
    </row>
    <row r="47" spans="2:11" ht="15.6" x14ac:dyDescent="0.3">
      <c r="B47" s="149" t="s">
        <v>152</v>
      </c>
      <c r="C47" s="150">
        <f>SUM(C32:C46)</f>
        <v>-765020.79485840909</v>
      </c>
      <c r="D47" s="151"/>
      <c r="E47" s="152"/>
    </row>
    <row r="48" spans="2:11" ht="15.6" x14ac:dyDescent="0.3">
      <c r="B48" s="153" t="s">
        <v>21</v>
      </c>
      <c r="C48" s="154">
        <f>C11</f>
        <v>731400</v>
      </c>
      <c r="D48" s="151"/>
      <c r="E48" s="152"/>
    </row>
    <row r="49" spans="2:5" ht="15.6" x14ac:dyDescent="0.3">
      <c r="B49" s="153" t="s">
        <v>153</v>
      </c>
      <c r="C49" s="155">
        <f>C47/C48/15</f>
        <v>-6.9731181738985418E-2</v>
      </c>
      <c r="D49" s="151"/>
      <c r="E49" s="152"/>
    </row>
    <row r="50" spans="2:5" ht="31.2" x14ac:dyDescent="0.3">
      <c r="B50" s="156" t="s">
        <v>154</v>
      </c>
      <c r="C50" s="235">
        <f>_xlfn.RRI(15,D33,D46)</f>
        <v>8.4570236708250146E-3</v>
      </c>
      <c r="D50" s="165"/>
      <c r="E50" s="166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54" customWidth="1"/>
    <col min="2" max="2" width="10.6640625" style="554" customWidth="1"/>
    <col min="3" max="3" width="12.21875" style="554" customWidth="1"/>
    <col min="4" max="4" width="16.21875" style="552" customWidth="1"/>
    <col min="5" max="5" width="16.6640625" style="552" customWidth="1"/>
    <col min="6" max="6" width="12.77734375" style="552" customWidth="1"/>
    <col min="7" max="7" width="16.109375" style="554" customWidth="1"/>
    <col min="8" max="8" width="8.77734375" style="554"/>
    <col min="9" max="9" width="28.109375" style="554" customWidth="1"/>
    <col min="10" max="16384" width="8.77734375" style="554"/>
  </cols>
  <sheetData>
    <row r="1" spans="1:9" x14ac:dyDescent="0.3">
      <c r="A1" s="662" t="s">
        <v>392</v>
      </c>
    </row>
    <row r="2" spans="1:9" ht="15.6" x14ac:dyDescent="0.3">
      <c r="A2" s="889" t="s">
        <v>109</v>
      </c>
      <c r="B2" s="889"/>
      <c r="C2" s="552">
        <f>'ROI Number insert ARV'!H11</f>
        <v>1560000</v>
      </c>
    </row>
    <row r="3" spans="1:9" ht="15.6" x14ac:dyDescent="0.3">
      <c r="A3" s="889" t="s">
        <v>161</v>
      </c>
      <c r="B3" s="889"/>
      <c r="C3" s="552">
        <f>'Mortgage Caculator'!F11</f>
        <v>6484.8371618034544</v>
      </c>
      <c r="I3"/>
    </row>
    <row r="4" spans="1:9" ht="15.6" x14ac:dyDescent="0.3">
      <c r="A4" s="889" t="s">
        <v>167</v>
      </c>
      <c r="B4" s="889"/>
      <c r="C4" s="553">
        <f>'ROI Number insert ARV'!E5</f>
        <v>2.8899999999999999E-2</v>
      </c>
      <c r="I4"/>
    </row>
    <row r="5" spans="1:9" ht="15.6" x14ac:dyDescent="0.3">
      <c r="A5" s="889" t="s">
        <v>168</v>
      </c>
      <c r="B5" s="889"/>
      <c r="C5" s="554">
        <f>'ROI Number insert ARV'!E4</f>
        <v>30</v>
      </c>
      <c r="I5"/>
    </row>
    <row r="6" spans="1:9" ht="15.6" x14ac:dyDescent="0.3">
      <c r="A6" s="889" t="s">
        <v>169</v>
      </c>
      <c r="B6" s="889"/>
      <c r="C6" s="554">
        <f>'Mortgage Caculator'!F6</f>
        <v>12</v>
      </c>
      <c r="I6"/>
    </row>
    <row r="7" spans="1:9" ht="18" x14ac:dyDescent="0.35">
      <c r="A7" s="888" t="s">
        <v>170</v>
      </c>
      <c r="B7" s="888"/>
      <c r="C7" s="888"/>
      <c r="D7" s="888"/>
      <c r="E7" s="888"/>
      <c r="F7" s="888"/>
      <c r="G7" s="888"/>
      <c r="I7"/>
    </row>
    <row r="8" spans="1:9" s="579" customFormat="1" ht="31.2" x14ac:dyDescent="0.3">
      <c r="A8" s="577" t="s">
        <v>171</v>
      </c>
      <c r="B8" s="577" t="s">
        <v>172</v>
      </c>
      <c r="C8" s="577" t="s">
        <v>173</v>
      </c>
      <c r="D8" s="578" t="s">
        <v>174</v>
      </c>
      <c r="E8" s="578" t="s">
        <v>175</v>
      </c>
      <c r="F8" s="578" t="s">
        <v>176</v>
      </c>
      <c r="G8" s="577" t="s">
        <v>177</v>
      </c>
      <c r="I8"/>
    </row>
    <row r="9" spans="1:9" x14ac:dyDescent="0.3">
      <c r="B9" s="554">
        <v>0</v>
      </c>
      <c r="C9" s="552">
        <f>IF($C$3&lt;G9+(G9*($C$4/$C$6)),$C$3,G9+(G9*($C$4/$C$6)))</f>
        <v>6484.8371618034544</v>
      </c>
      <c r="D9" s="552">
        <f>G9*$C$4/$C$6</f>
        <v>3757</v>
      </c>
      <c r="E9" s="552">
        <f>C9-D9</f>
        <v>2727.8371618034544</v>
      </c>
      <c r="G9" s="552">
        <f>C2</f>
        <v>1560000</v>
      </c>
      <c r="I9"/>
    </row>
    <row r="10" spans="1:9" x14ac:dyDescent="0.3">
      <c r="B10" s="554">
        <v>1</v>
      </c>
      <c r="C10" s="552">
        <f t="shared" ref="C10:C73" si="0">IF($C$3&lt;G10+(G10*($C$4/$C$6)),$C$3,G10+(G10*($C$4/$C$6)))</f>
        <v>6484.8371618034544</v>
      </c>
      <c r="D10" s="552">
        <f t="shared" ref="D10:D73" si="1">G10*$C$4/$C$6</f>
        <v>3750.430458835323</v>
      </c>
      <c r="E10" s="552">
        <f t="shared" ref="E10:E73" si="2">C10-D10</f>
        <v>2734.4067029681314</v>
      </c>
      <c r="G10" s="552">
        <f>G9-E9-F9</f>
        <v>1557272.1628381966</v>
      </c>
      <c r="I10"/>
    </row>
    <row r="11" spans="1:9" x14ac:dyDescent="0.3">
      <c r="B11" s="554">
        <v>2</v>
      </c>
      <c r="C11" s="552">
        <f t="shared" si="0"/>
        <v>6484.8371618034544</v>
      </c>
      <c r="D11" s="552">
        <f t="shared" si="1"/>
        <v>3743.8450960256755</v>
      </c>
      <c r="E11" s="552">
        <f t="shared" si="2"/>
        <v>2740.9920657777789</v>
      </c>
      <c r="G11" s="552">
        <f t="shared" ref="G11:G74" si="3">G10-E10-F10</f>
        <v>1554537.7561352286</v>
      </c>
      <c r="I11"/>
    </row>
    <row r="12" spans="1:9" x14ac:dyDescent="0.3">
      <c r="B12" s="554">
        <v>3</v>
      </c>
      <c r="C12" s="552">
        <f t="shared" si="0"/>
        <v>6484.8371618034544</v>
      </c>
      <c r="D12" s="552">
        <f t="shared" si="1"/>
        <v>3737.2438734672601</v>
      </c>
      <c r="E12" s="552">
        <f t="shared" si="2"/>
        <v>2747.5932883361943</v>
      </c>
      <c r="G12" s="552">
        <f t="shared" si="3"/>
        <v>1551796.7640694508</v>
      </c>
      <c r="I12"/>
    </row>
    <row r="13" spans="1:9" x14ac:dyDescent="0.3">
      <c r="B13" s="554">
        <v>4</v>
      </c>
      <c r="C13" s="552">
        <f t="shared" si="0"/>
        <v>6484.8371618034544</v>
      </c>
      <c r="D13" s="552">
        <f t="shared" si="1"/>
        <v>3730.6267529645174</v>
      </c>
      <c r="E13" s="552">
        <f t="shared" si="2"/>
        <v>2754.2104088389369</v>
      </c>
      <c r="G13" s="552">
        <f t="shared" si="3"/>
        <v>1549049.1707811146</v>
      </c>
      <c r="I13"/>
    </row>
    <row r="14" spans="1:9" x14ac:dyDescent="0.3">
      <c r="B14" s="554">
        <v>5</v>
      </c>
      <c r="C14" s="552">
        <f t="shared" si="0"/>
        <v>6484.8371618034544</v>
      </c>
      <c r="D14" s="552">
        <f t="shared" si="1"/>
        <v>3723.9936962298966</v>
      </c>
      <c r="E14" s="552">
        <f t="shared" si="2"/>
        <v>2760.8434655735578</v>
      </c>
      <c r="G14" s="552">
        <f t="shared" si="3"/>
        <v>1546294.9603722757</v>
      </c>
      <c r="I14"/>
    </row>
    <row r="15" spans="1:9" x14ac:dyDescent="0.3">
      <c r="B15" s="554">
        <v>6</v>
      </c>
      <c r="C15" s="552">
        <f t="shared" si="0"/>
        <v>6484.8371618034544</v>
      </c>
      <c r="D15" s="552">
        <f t="shared" si="1"/>
        <v>3717.3446648836402</v>
      </c>
      <c r="E15" s="552">
        <f t="shared" si="2"/>
        <v>2767.4924969198141</v>
      </c>
      <c r="G15" s="552">
        <f t="shared" si="3"/>
        <v>1543534.1169067021</v>
      </c>
      <c r="I15"/>
    </row>
    <row r="16" spans="1:9" x14ac:dyDescent="0.3">
      <c r="B16" s="554">
        <v>7</v>
      </c>
      <c r="C16" s="552">
        <f t="shared" si="0"/>
        <v>6484.8371618034544</v>
      </c>
      <c r="D16" s="552">
        <f t="shared" si="1"/>
        <v>3710.6796204535585</v>
      </c>
      <c r="E16" s="552">
        <f t="shared" si="2"/>
        <v>2774.1575413498958</v>
      </c>
      <c r="G16" s="552">
        <f t="shared" si="3"/>
        <v>1540766.6244097822</v>
      </c>
      <c r="I16"/>
    </row>
    <row r="17" spans="2:9" x14ac:dyDescent="0.3">
      <c r="B17" s="554">
        <v>8</v>
      </c>
      <c r="C17" s="552">
        <f t="shared" si="0"/>
        <v>6484.8371618034544</v>
      </c>
      <c r="D17" s="552">
        <f t="shared" si="1"/>
        <v>3703.9985243748074</v>
      </c>
      <c r="E17" s="552">
        <f t="shared" si="2"/>
        <v>2780.838637428647</v>
      </c>
      <c r="G17" s="552">
        <f t="shared" si="3"/>
        <v>1537992.4668684322</v>
      </c>
      <c r="I17"/>
    </row>
    <row r="18" spans="2:9" x14ac:dyDescent="0.3">
      <c r="B18" s="554">
        <v>9</v>
      </c>
      <c r="C18" s="552">
        <f t="shared" si="0"/>
        <v>6484.8371618034544</v>
      </c>
      <c r="D18" s="552">
        <f t="shared" si="1"/>
        <v>3697.301337989667</v>
      </c>
      <c r="E18" s="552">
        <f t="shared" si="2"/>
        <v>2787.5358238137874</v>
      </c>
      <c r="G18" s="552">
        <f t="shared" si="3"/>
        <v>1535211.6282310036</v>
      </c>
    </row>
    <row r="19" spans="2:9" x14ac:dyDescent="0.3">
      <c r="B19" s="554">
        <v>10</v>
      </c>
      <c r="C19" s="552">
        <f t="shared" si="0"/>
        <v>6484.8371618034544</v>
      </c>
      <c r="D19" s="552">
        <f t="shared" si="1"/>
        <v>3690.5880225473152</v>
      </c>
      <c r="E19" s="552">
        <f t="shared" si="2"/>
        <v>2794.2491392561392</v>
      </c>
      <c r="G19" s="552">
        <f t="shared" si="3"/>
        <v>1532424.0924071898</v>
      </c>
    </row>
    <row r="20" spans="2:9" x14ac:dyDescent="0.3">
      <c r="B20" s="554">
        <v>11</v>
      </c>
      <c r="C20" s="552">
        <f t="shared" si="0"/>
        <v>6484.8371618034544</v>
      </c>
      <c r="D20" s="552">
        <f t="shared" si="1"/>
        <v>3683.8585392036071</v>
      </c>
      <c r="E20" s="552">
        <f t="shared" si="2"/>
        <v>2800.9786225998473</v>
      </c>
      <c r="G20" s="552">
        <f t="shared" si="3"/>
        <v>1529629.8432679337</v>
      </c>
    </row>
    <row r="21" spans="2:9" x14ac:dyDescent="0.3">
      <c r="B21" s="554">
        <v>12</v>
      </c>
      <c r="C21" s="552">
        <f t="shared" si="0"/>
        <v>6484.8371618034544</v>
      </c>
      <c r="D21" s="552">
        <f t="shared" si="1"/>
        <v>3677.1128490208462</v>
      </c>
      <c r="E21" s="552">
        <f t="shared" si="2"/>
        <v>2807.7243127826082</v>
      </c>
      <c r="G21" s="552">
        <f t="shared" si="3"/>
        <v>1526828.864645334</v>
      </c>
    </row>
    <row r="22" spans="2:9" x14ac:dyDescent="0.3">
      <c r="B22" s="554">
        <v>13</v>
      </c>
      <c r="C22" s="552">
        <f t="shared" si="0"/>
        <v>6484.8371618034544</v>
      </c>
      <c r="D22" s="552">
        <f t="shared" si="1"/>
        <v>3670.3509129675608</v>
      </c>
      <c r="E22" s="552">
        <f t="shared" si="2"/>
        <v>2814.4862488358935</v>
      </c>
      <c r="G22" s="552">
        <f t="shared" si="3"/>
        <v>1524021.1403325514</v>
      </c>
    </row>
    <row r="23" spans="2:9" x14ac:dyDescent="0.3">
      <c r="B23" s="554">
        <v>14</v>
      </c>
      <c r="C23" s="552">
        <f t="shared" si="0"/>
        <v>6484.8371618034544</v>
      </c>
      <c r="D23" s="552">
        <f t="shared" si="1"/>
        <v>3663.5726919182816</v>
      </c>
      <c r="E23" s="552">
        <f t="shared" si="2"/>
        <v>2821.2644698851727</v>
      </c>
      <c r="G23" s="552">
        <f t="shared" si="3"/>
        <v>1521206.6540837155</v>
      </c>
    </row>
    <row r="24" spans="2:9" x14ac:dyDescent="0.3">
      <c r="B24" s="554">
        <v>15</v>
      </c>
      <c r="C24" s="552">
        <f t="shared" si="0"/>
        <v>6484.8371618034544</v>
      </c>
      <c r="D24" s="552">
        <f t="shared" si="1"/>
        <v>3656.7781466533074</v>
      </c>
      <c r="E24" s="552">
        <f t="shared" si="2"/>
        <v>2828.0590151501469</v>
      </c>
      <c r="G24" s="552">
        <f t="shared" si="3"/>
        <v>1518385.3896138303</v>
      </c>
    </row>
    <row r="25" spans="2:9" x14ac:dyDescent="0.3">
      <c r="B25" s="554">
        <v>16</v>
      </c>
      <c r="C25" s="552">
        <f t="shared" si="0"/>
        <v>6484.8371618034544</v>
      </c>
      <c r="D25" s="552">
        <f t="shared" si="1"/>
        <v>3649.9672378584878</v>
      </c>
      <c r="E25" s="552">
        <f t="shared" si="2"/>
        <v>2834.8699239449666</v>
      </c>
      <c r="G25" s="552">
        <f t="shared" si="3"/>
        <v>1515557.3305986801</v>
      </c>
    </row>
    <row r="26" spans="2:9" x14ac:dyDescent="0.3">
      <c r="B26" s="554">
        <v>17</v>
      </c>
      <c r="C26" s="552">
        <f t="shared" si="0"/>
        <v>6484.8371618034544</v>
      </c>
      <c r="D26" s="552">
        <f t="shared" si="1"/>
        <v>3643.1399261249867</v>
      </c>
      <c r="E26" s="552">
        <f t="shared" si="2"/>
        <v>2841.6972356784677</v>
      </c>
      <c r="G26" s="552">
        <f t="shared" si="3"/>
        <v>1512722.460674735</v>
      </c>
    </row>
    <row r="27" spans="2:9" x14ac:dyDescent="0.3">
      <c r="B27" s="554">
        <v>18</v>
      </c>
      <c r="C27" s="552">
        <f t="shared" si="0"/>
        <v>6484.8371618034544</v>
      </c>
      <c r="D27" s="552">
        <f t="shared" si="1"/>
        <v>3636.2961719490609</v>
      </c>
      <c r="E27" s="552">
        <f t="shared" si="2"/>
        <v>2848.5409898543935</v>
      </c>
      <c r="G27" s="552">
        <f t="shared" si="3"/>
        <v>1509880.7634390565</v>
      </c>
    </row>
    <row r="28" spans="2:9" x14ac:dyDescent="0.3">
      <c r="B28" s="554">
        <v>19</v>
      </c>
      <c r="C28" s="552">
        <f t="shared" si="0"/>
        <v>6484.8371618034544</v>
      </c>
      <c r="D28" s="552">
        <f t="shared" si="1"/>
        <v>3629.4359357318281</v>
      </c>
      <c r="E28" s="552">
        <f t="shared" si="2"/>
        <v>2855.4012260716263</v>
      </c>
      <c r="G28" s="552">
        <f t="shared" si="3"/>
        <v>1507032.2224492021</v>
      </c>
    </row>
    <row r="29" spans="2:9" x14ac:dyDescent="0.3">
      <c r="B29" s="554">
        <v>20</v>
      </c>
      <c r="C29" s="552">
        <f t="shared" si="0"/>
        <v>6484.8371618034544</v>
      </c>
      <c r="D29" s="552">
        <f t="shared" si="1"/>
        <v>3622.5591777790391</v>
      </c>
      <c r="E29" s="552">
        <f t="shared" si="2"/>
        <v>2862.2779840244152</v>
      </c>
      <c r="G29" s="552">
        <f t="shared" si="3"/>
        <v>1504176.8212231304</v>
      </c>
    </row>
    <row r="30" spans="2:9" x14ac:dyDescent="0.3">
      <c r="B30" s="554">
        <v>21</v>
      </c>
      <c r="C30" s="552">
        <f t="shared" si="0"/>
        <v>6484.8371618034544</v>
      </c>
      <c r="D30" s="552">
        <f t="shared" si="1"/>
        <v>3615.6658583008466</v>
      </c>
      <c r="E30" s="552">
        <f t="shared" si="2"/>
        <v>2869.1713035026078</v>
      </c>
      <c r="G30" s="552">
        <f t="shared" si="3"/>
        <v>1501314.543239106</v>
      </c>
    </row>
    <row r="31" spans="2:9" x14ac:dyDescent="0.3">
      <c r="B31" s="554">
        <v>22</v>
      </c>
      <c r="C31" s="552">
        <f t="shared" si="0"/>
        <v>6484.8371618034544</v>
      </c>
      <c r="D31" s="552">
        <f t="shared" si="1"/>
        <v>3608.7559374115785</v>
      </c>
      <c r="E31" s="552">
        <f t="shared" si="2"/>
        <v>2876.0812243918758</v>
      </c>
      <c r="G31" s="552">
        <f t="shared" si="3"/>
        <v>1498445.3719356034</v>
      </c>
    </row>
    <row r="32" spans="2:9" x14ac:dyDescent="0.3">
      <c r="B32" s="554">
        <v>23</v>
      </c>
      <c r="C32" s="552">
        <f t="shared" si="0"/>
        <v>6484.8371618034544</v>
      </c>
      <c r="D32" s="552">
        <f t="shared" si="1"/>
        <v>3601.8293751295009</v>
      </c>
      <c r="E32" s="552">
        <f t="shared" si="2"/>
        <v>2883.0077866739534</v>
      </c>
      <c r="G32" s="552">
        <f t="shared" si="3"/>
        <v>1495569.2907112115</v>
      </c>
    </row>
    <row r="33" spans="2:7" x14ac:dyDescent="0.3">
      <c r="B33" s="554">
        <v>24</v>
      </c>
      <c r="C33" s="552">
        <f t="shared" si="0"/>
        <v>6484.8371618034544</v>
      </c>
      <c r="D33" s="552">
        <f t="shared" si="1"/>
        <v>3594.8861313765942</v>
      </c>
      <c r="E33" s="552">
        <f t="shared" si="2"/>
        <v>2889.9510304268601</v>
      </c>
      <c r="G33" s="552">
        <f t="shared" si="3"/>
        <v>1492686.2829245375</v>
      </c>
    </row>
    <row r="34" spans="2:7" x14ac:dyDescent="0.3">
      <c r="B34" s="554">
        <v>25</v>
      </c>
      <c r="C34" s="552">
        <f t="shared" si="0"/>
        <v>6484.8371618034544</v>
      </c>
      <c r="D34" s="552">
        <f t="shared" si="1"/>
        <v>3587.9261659783165</v>
      </c>
      <c r="E34" s="552">
        <f t="shared" si="2"/>
        <v>2896.9109958251379</v>
      </c>
      <c r="G34" s="552">
        <f t="shared" si="3"/>
        <v>1489796.3318941107</v>
      </c>
    </row>
    <row r="35" spans="2:7" x14ac:dyDescent="0.3">
      <c r="B35" s="554">
        <v>26</v>
      </c>
      <c r="C35" s="552">
        <f t="shared" si="0"/>
        <v>6484.8371618034544</v>
      </c>
      <c r="D35" s="552">
        <f t="shared" si="1"/>
        <v>3580.9494386633705</v>
      </c>
      <c r="E35" s="552">
        <f t="shared" si="2"/>
        <v>2903.8877231400838</v>
      </c>
      <c r="G35" s="552">
        <f t="shared" si="3"/>
        <v>1486899.4208982855</v>
      </c>
    </row>
    <row r="36" spans="2:7" x14ac:dyDescent="0.3">
      <c r="B36" s="554">
        <v>27</v>
      </c>
      <c r="C36" s="552">
        <f t="shared" si="0"/>
        <v>6484.8371618034544</v>
      </c>
      <c r="D36" s="552">
        <f t="shared" si="1"/>
        <v>3573.9559090634743</v>
      </c>
      <c r="E36" s="552">
        <f t="shared" si="2"/>
        <v>2910.88125273998</v>
      </c>
      <c r="G36" s="552">
        <f t="shared" si="3"/>
        <v>1483995.5331751453</v>
      </c>
    </row>
    <row r="37" spans="2:7" x14ac:dyDescent="0.3">
      <c r="B37" s="554">
        <v>28</v>
      </c>
      <c r="C37" s="552">
        <f t="shared" si="0"/>
        <v>6484.8371618034544</v>
      </c>
      <c r="D37" s="552">
        <f t="shared" si="1"/>
        <v>3566.9455367131254</v>
      </c>
      <c r="E37" s="552">
        <f t="shared" si="2"/>
        <v>2917.8916250903289</v>
      </c>
      <c r="G37" s="552">
        <f t="shared" si="3"/>
        <v>1481084.6519224052</v>
      </c>
    </row>
    <row r="38" spans="2:7" x14ac:dyDescent="0.3">
      <c r="B38" s="554">
        <v>29</v>
      </c>
      <c r="C38" s="552">
        <f t="shared" si="0"/>
        <v>6484.8371618034544</v>
      </c>
      <c r="D38" s="552">
        <f t="shared" si="1"/>
        <v>3559.9182810493671</v>
      </c>
      <c r="E38" s="552">
        <f t="shared" si="2"/>
        <v>2924.9188807540872</v>
      </c>
      <c r="G38" s="552">
        <f t="shared" si="3"/>
        <v>1478166.760297315</v>
      </c>
    </row>
    <row r="39" spans="2:7" x14ac:dyDescent="0.3">
      <c r="B39" s="554">
        <v>30</v>
      </c>
      <c r="C39" s="552">
        <f t="shared" si="0"/>
        <v>6484.8371618034544</v>
      </c>
      <c r="D39" s="552">
        <f t="shared" si="1"/>
        <v>3552.8741014115508</v>
      </c>
      <c r="E39" s="552">
        <f t="shared" si="2"/>
        <v>2931.9630603919036</v>
      </c>
      <c r="G39" s="552">
        <f t="shared" si="3"/>
        <v>1475241.8414165608</v>
      </c>
    </row>
    <row r="40" spans="2:7" x14ac:dyDescent="0.3">
      <c r="B40" s="554">
        <v>31</v>
      </c>
      <c r="C40" s="552">
        <f t="shared" si="0"/>
        <v>6484.8371618034544</v>
      </c>
      <c r="D40" s="552">
        <f t="shared" si="1"/>
        <v>3545.812957041107</v>
      </c>
      <c r="E40" s="552">
        <f t="shared" si="2"/>
        <v>2939.0242047623474</v>
      </c>
      <c r="G40" s="552">
        <f t="shared" si="3"/>
        <v>1472309.878356169</v>
      </c>
    </row>
    <row r="41" spans="2:7" x14ac:dyDescent="0.3">
      <c r="B41" s="554">
        <v>32</v>
      </c>
      <c r="C41" s="552">
        <f t="shared" si="0"/>
        <v>6484.8371618034544</v>
      </c>
      <c r="D41" s="552">
        <f t="shared" si="1"/>
        <v>3538.7348070813041</v>
      </c>
      <c r="E41" s="552">
        <f t="shared" si="2"/>
        <v>2946.1023547221503</v>
      </c>
      <c r="G41" s="552">
        <f t="shared" si="3"/>
        <v>1469370.8541514066</v>
      </c>
    </row>
    <row r="42" spans="2:7" x14ac:dyDescent="0.3">
      <c r="B42" s="554">
        <v>33</v>
      </c>
      <c r="C42" s="552">
        <f t="shared" si="0"/>
        <v>6484.8371618034544</v>
      </c>
      <c r="D42" s="552">
        <f t="shared" si="1"/>
        <v>3531.639610577015</v>
      </c>
      <c r="E42" s="552">
        <f t="shared" si="2"/>
        <v>2953.1975512264394</v>
      </c>
      <c r="G42" s="552">
        <f t="shared" si="3"/>
        <v>1466424.7517966845</v>
      </c>
    </row>
    <row r="43" spans="2:7" x14ac:dyDescent="0.3">
      <c r="B43" s="554">
        <v>34</v>
      </c>
      <c r="C43" s="552">
        <f t="shared" si="0"/>
        <v>6484.8371618034544</v>
      </c>
      <c r="D43" s="552">
        <f t="shared" si="1"/>
        <v>3524.5273264744778</v>
      </c>
      <c r="E43" s="552">
        <f t="shared" si="2"/>
        <v>2960.3098353289765</v>
      </c>
      <c r="G43" s="552">
        <f t="shared" si="3"/>
        <v>1463471.554245458</v>
      </c>
    </row>
    <row r="44" spans="2:7" x14ac:dyDescent="0.3">
      <c r="B44" s="554">
        <v>35</v>
      </c>
      <c r="C44" s="552">
        <f t="shared" si="0"/>
        <v>6484.8371618034544</v>
      </c>
      <c r="D44" s="552">
        <f t="shared" si="1"/>
        <v>3517.3979136210605</v>
      </c>
      <c r="E44" s="552">
        <f t="shared" si="2"/>
        <v>2967.4392481823938</v>
      </c>
      <c r="G44" s="552">
        <f t="shared" si="3"/>
        <v>1460511.244410129</v>
      </c>
    </row>
    <row r="45" spans="2:7" x14ac:dyDescent="0.3">
      <c r="B45" s="554">
        <v>36</v>
      </c>
      <c r="C45" s="552">
        <f t="shared" si="0"/>
        <v>6484.8371618034544</v>
      </c>
      <c r="D45" s="552">
        <f t="shared" si="1"/>
        <v>3510.2513307650211</v>
      </c>
      <c r="E45" s="552">
        <f t="shared" si="2"/>
        <v>2974.5858310384333</v>
      </c>
      <c r="G45" s="552">
        <f t="shared" si="3"/>
        <v>1457543.8051619467</v>
      </c>
    </row>
    <row r="46" spans="2:7" x14ac:dyDescent="0.3">
      <c r="B46" s="554">
        <v>37</v>
      </c>
      <c r="C46" s="552">
        <f t="shared" si="0"/>
        <v>6484.8371618034544</v>
      </c>
      <c r="D46" s="552">
        <f t="shared" si="1"/>
        <v>3503.0875365552706</v>
      </c>
      <c r="E46" s="552">
        <f t="shared" si="2"/>
        <v>2981.7496252481837</v>
      </c>
      <c r="G46" s="552">
        <f t="shared" si="3"/>
        <v>1454569.2193309083</v>
      </c>
    </row>
    <row r="47" spans="2:7" x14ac:dyDescent="0.3">
      <c r="B47" s="554">
        <v>38</v>
      </c>
      <c r="C47" s="552">
        <f t="shared" si="0"/>
        <v>6484.8371618034544</v>
      </c>
      <c r="D47" s="552">
        <f t="shared" si="1"/>
        <v>3495.9064895411316</v>
      </c>
      <c r="E47" s="552">
        <f t="shared" si="2"/>
        <v>2988.9306722623228</v>
      </c>
      <c r="G47" s="552">
        <f t="shared" si="3"/>
        <v>1451587.4697056601</v>
      </c>
    </row>
    <row r="48" spans="2:7" x14ac:dyDescent="0.3">
      <c r="B48" s="554">
        <v>39</v>
      </c>
      <c r="C48" s="552">
        <f t="shared" si="0"/>
        <v>6484.8371618034544</v>
      </c>
      <c r="D48" s="552">
        <f t="shared" si="1"/>
        <v>3488.7081481720998</v>
      </c>
      <c r="E48" s="552">
        <f t="shared" si="2"/>
        <v>2996.1290136313546</v>
      </c>
      <c r="G48" s="552">
        <f t="shared" si="3"/>
        <v>1448598.5390333978</v>
      </c>
    </row>
    <row r="49" spans="2:7" x14ac:dyDescent="0.3">
      <c r="B49" s="554">
        <v>40</v>
      </c>
      <c r="C49" s="552">
        <f t="shared" si="0"/>
        <v>6484.8371618034544</v>
      </c>
      <c r="D49" s="552">
        <f t="shared" si="1"/>
        <v>3481.4924707976043</v>
      </c>
      <c r="E49" s="552">
        <f t="shared" si="2"/>
        <v>3003.3446910058501</v>
      </c>
      <c r="G49" s="552">
        <f t="shared" si="3"/>
        <v>1445602.4100197665</v>
      </c>
    </row>
    <row r="50" spans="2:7" x14ac:dyDescent="0.3">
      <c r="B50" s="554">
        <v>41</v>
      </c>
      <c r="C50" s="552">
        <f t="shared" si="0"/>
        <v>6484.8371618034544</v>
      </c>
      <c r="D50" s="552">
        <f t="shared" si="1"/>
        <v>3474.2594156667656</v>
      </c>
      <c r="E50" s="552">
        <f t="shared" si="2"/>
        <v>3010.5777461366888</v>
      </c>
      <c r="G50" s="552">
        <f t="shared" si="3"/>
        <v>1442599.0653287608</v>
      </c>
    </row>
    <row r="51" spans="2:7" x14ac:dyDescent="0.3">
      <c r="B51" s="554">
        <v>42</v>
      </c>
      <c r="C51" s="552">
        <f t="shared" si="0"/>
        <v>6484.8371618034544</v>
      </c>
      <c r="D51" s="552">
        <f t="shared" si="1"/>
        <v>3467.0089409281532</v>
      </c>
      <c r="E51" s="552">
        <f t="shared" si="2"/>
        <v>3017.8282208753012</v>
      </c>
      <c r="G51" s="552">
        <f t="shared" si="3"/>
        <v>1439588.4875826242</v>
      </c>
    </row>
    <row r="52" spans="2:7" x14ac:dyDescent="0.3">
      <c r="B52" s="554">
        <v>43</v>
      </c>
      <c r="C52" s="552">
        <f t="shared" si="0"/>
        <v>6484.8371618034544</v>
      </c>
      <c r="D52" s="552">
        <f t="shared" si="1"/>
        <v>3459.7410046295449</v>
      </c>
      <c r="E52" s="552">
        <f t="shared" si="2"/>
        <v>3025.0961571739094</v>
      </c>
      <c r="G52" s="552">
        <f t="shared" si="3"/>
        <v>1436570.659361749</v>
      </c>
    </row>
    <row r="53" spans="2:7" x14ac:dyDescent="0.3">
      <c r="B53" s="554">
        <v>44</v>
      </c>
      <c r="C53" s="552">
        <f t="shared" si="0"/>
        <v>6484.8371618034544</v>
      </c>
      <c r="D53" s="552">
        <f t="shared" si="1"/>
        <v>3452.4555647176844</v>
      </c>
      <c r="E53" s="552">
        <f t="shared" si="2"/>
        <v>3032.38159708577</v>
      </c>
      <c r="G53" s="552">
        <f t="shared" si="3"/>
        <v>1433545.5632045751</v>
      </c>
    </row>
    <row r="54" spans="2:7" x14ac:dyDescent="0.3">
      <c r="B54" s="554">
        <v>45</v>
      </c>
      <c r="C54" s="552">
        <f t="shared" si="0"/>
        <v>6484.8371618034544</v>
      </c>
      <c r="D54" s="552">
        <f t="shared" si="1"/>
        <v>3445.1525790380365</v>
      </c>
      <c r="E54" s="552">
        <f t="shared" si="2"/>
        <v>3039.6845827654179</v>
      </c>
      <c r="G54" s="552">
        <f t="shared" si="3"/>
        <v>1430513.1816074892</v>
      </c>
    </row>
    <row r="55" spans="2:7" x14ac:dyDescent="0.3">
      <c r="B55" s="554">
        <v>46</v>
      </c>
      <c r="C55" s="552">
        <f t="shared" si="0"/>
        <v>6484.8371618034544</v>
      </c>
      <c r="D55" s="552">
        <f t="shared" si="1"/>
        <v>3437.8320053345428</v>
      </c>
      <c r="E55" s="552">
        <f t="shared" si="2"/>
        <v>3047.0051564689115</v>
      </c>
      <c r="G55" s="552">
        <f t="shared" si="3"/>
        <v>1427473.4970247238</v>
      </c>
    </row>
    <row r="56" spans="2:7" x14ac:dyDescent="0.3">
      <c r="B56" s="554">
        <v>47</v>
      </c>
      <c r="C56" s="552">
        <f t="shared" si="0"/>
        <v>6484.8371618034544</v>
      </c>
      <c r="D56" s="552">
        <f t="shared" si="1"/>
        <v>3430.4938012493803</v>
      </c>
      <c r="E56" s="552">
        <f t="shared" si="2"/>
        <v>3054.343360554074</v>
      </c>
      <c r="G56" s="552">
        <f t="shared" si="3"/>
        <v>1424426.491868255</v>
      </c>
    </row>
    <row r="57" spans="2:7" x14ac:dyDescent="0.3">
      <c r="B57" s="554">
        <v>48</v>
      </c>
      <c r="C57" s="552">
        <f t="shared" si="0"/>
        <v>6484.8371618034544</v>
      </c>
      <c r="D57" s="552">
        <f t="shared" si="1"/>
        <v>3423.1379243227129</v>
      </c>
      <c r="E57" s="552">
        <f t="shared" si="2"/>
        <v>3061.6992374807414</v>
      </c>
      <c r="G57" s="552">
        <f t="shared" si="3"/>
        <v>1421372.148507701</v>
      </c>
    </row>
    <row r="58" spans="2:7" x14ac:dyDescent="0.3">
      <c r="B58" s="554">
        <v>49</v>
      </c>
      <c r="C58" s="552">
        <f t="shared" si="0"/>
        <v>6484.8371618034544</v>
      </c>
      <c r="D58" s="552">
        <f t="shared" si="1"/>
        <v>3415.7643319924468</v>
      </c>
      <c r="E58" s="552">
        <f t="shared" si="2"/>
        <v>3069.0728298110075</v>
      </c>
      <c r="G58" s="552">
        <f t="shared" si="3"/>
        <v>1418310.4492702202</v>
      </c>
    </row>
    <row r="59" spans="2:7" x14ac:dyDescent="0.3">
      <c r="B59" s="554">
        <v>50</v>
      </c>
      <c r="C59" s="552">
        <f t="shared" si="0"/>
        <v>6484.8371618034544</v>
      </c>
      <c r="D59" s="552">
        <f t="shared" si="1"/>
        <v>3408.3729815939855</v>
      </c>
      <c r="E59" s="552">
        <f t="shared" si="2"/>
        <v>3076.4641802094689</v>
      </c>
      <c r="G59" s="552">
        <f t="shared" si="3"/>
        <v>1415241.3764404093</v>
      </c>
    </row>
    <row r="60" spans="2:7" x14ac:dyDescent="0.3">
      <c r="B60" s="554">
        <v>51</v>
      </c>
      <c r="C60" s="552">
        <f t="shared" si="0"/>
        <v>6484.8371618034544</v>
      </c>
      <c r="D60" s="552">
        <f t="shared" si="1"/>
        <v>3400.9638303599809</v>
      </c>
      <c r="E60" s="552">
        <f t="shared" si="2"/>
        <v>3083.8733314434735</v>
      </c>
      <c r="G60" s="552">
        <f t="shared" si="3"/>
        <v>1412164.9122601999</v>
      </c>
    </row>
    <row r="61" spans="2:7" x14ac:dyDescent="0.3">
      <c r="B61" s="554">
        <v>52</v>
      </c>
      <c r="C61" s="552">
        <f t="shared" si="0"/>
        <v>6484.8371618034544</v>
      </c>
      <c r="D61" s="552">
        <f t="shared" si="1"/>
        <v>3393.5368354200887</v>
      </c>
      <c r="E61" s="552">
        <f t="shared" si="2"/>
        <v>3091.3003263833657</v>
      </c>
      <c r="G61" s="552">
        <f t="shared" si="3"/>
        <v>1409081.0389287565</v>
      </c>
    </row>
    <row r="62" spans="2:7" x14ac:dyDescent="0.3">
      <c r="B62" s="554">
        <v>53</v>
      </c>
      <c r="C62" s="552">
        <f t="shared" si="0"/>
        <v>6484.8371618034544</v>
      </c>
      <c r="D62" s="552">
        <f t="shared" si="1"/>
        <v>3386.0919538007147</v>
      </c>
      <c r="E62" s="552">
        <f t="shared" si="2"/>
        <v>3098.7452080027397</v>
      </c>
      <c r="G62" s="552">
        <f t="shared" si="3"/>
        <v>1405989.7386023731</v>
      </c>
    </row>
    <row r="63" spans="2:7" x14ac:dyDescent="0.3">
      <c r="B63" s="554">
        <v>54</v>
      </c>
      <c r="C63" s="552">
        <f t="shared" si="0"/>
        <v>6484.8371618034544</v>
      </c>
      <c r="D63" s="552">
        <f t="shared" si="1"/>
        <v>3378.6291424247752</v>
      </c>
      <c r="E63" s="552">
        <f t="shared" si="2"/>
        <v>3106.2080193786792</v>
      </c>
      <c r="G63" s="552">
        <f t="shared" si="3"/>
        <v>1402890.9933943704</v>
      </c>
    </row>
    <row r="64" spans="2:7" x14ac:dyDescent="0.3">
      <c r="B64" s="554">
        <v>55</v>
      </c>
      <c r="C64" s="552">
        <f t="shared" si="0"/>
        <v>6484.8371618034544</v>
      </c>
      <c r="D64" s="552">
        <f t="shared" si="1"/>
        <v>3371.1483581114385</v>
      </c>
      <c r="E64" s="552">
        <f t="shared" si="2"/>
        <v>3113.6888036920159</v>
      </c>
      <c r="G64" s="552">
        <f t="shared" si="3"/>
        <v>1399784.7853749918</v>
      </c>
    </row>
    <row r="65" spans="2:7" x14ac:dyDescent="0.3">
      <c r="B65" s="554">
        <v>56</v>
      </c>
      <c r="C65" s="552">
        <f t="shared" si="0"/>
        <v>6484.8371618034544</v>
      </c>
      <c r="D65" s="552">
        <f t="shared" si="1"/>
        <v>3363.64955757588</v>
      </c>
      <c r="E65" s="552">
        <f t="shared" si="2"/>
        <v>3121.1876042275744</v>
      </c>
      <c r="G65" s="552">
        <f t="shared" si="3"/>
        <v>1396671.0965712997</v>
      </c>
    </row>
    <row r="66" spans="2:7" x14ac:dyDescent="0.3">
      <c r="B66" s="554">
        <v>57</v>
      </c>
      <c r="C66" s="552">
        <f t="shared" si="0"/>
        <v>6484.8371618034544</v>
      </c>
      <c r="D66" s="552">
        <f t="shared" si="1"/>
        <v>3356.1326974290319</v>
      </c>
      <c r="E66" s="552">
        <f t="shared" si="2"/>
        <v>3128.7044643744225</v>
      </c>
      <c r="G66" s="552">
        <f t="shared" si="3"/>
        <v>1393549.9089670721</v>
      </c>
    </row>
    <row r="67" spans="2:7" x14ac:dyDescent="0.3">
      <c r="B67" s="554">
        <v>58</v>
      </c>
      <c r="C67" s="552">
        <f t="shared" si="0"/>
        <v>6484.8371618034544</v>
      </c>
      <c r="D67" s="552">
        <f t="shared" si="1"/>
        <v>3348.5977341773305</v>
      </c>
      <c r="E67" s="552">
        <f t="shared" si="2"/>
        <v>3136.2394276261239</v>
      </c>
      <c r="G67" s="552">
        <f t="shared" si="3"/>
        <v>1390421.2045026978</v>
      </c>
    </row>
    <row r="68" spans="2:7" x14ac:dyDescent="0.3">
      <c r="B68" s="554">
        <v>59</v>
      </c>
      <c r="C68" s="552">
        <f t="shared" si="0"/>
        <v>6484.8371618034544</v>
      </c>
      <c r="D68" s="552">
        <f t="shared" si="1"/>
        <v>3341.0446242224643</v>
      </c>
      <c r="E68" s="552">
        <f t="shared" si="2"/>
        <v>3143.79253758099</v>
      </c>
      <c r="G68" s="552">
        <f t="shared" si="3"/>
        <v>1387284.9650750717</v>
      </c>
    </row>
    <row r="69" spans="2:7" x14ac:dyDescent="0.3">
      <c r="B69" s="554">
        <v>60</v>
      </c>
      <c r="C69" s="552">
        <f t="shared" si="0"/>
        <v>6484.8371618034544</v>
      </c>
      <c r="D69" s="552">
        <f t="shared" si="1"/>
        <v>3333.4733238611229</v>
      </c>
      <c r="E69" s="552">
        <f t="shared" si="2"/>
        <v>3151.3638379423314</v>
      </c>
      <c r="G69" s="552">
        <f t="shared" si="3"/>
        <v>1384141.1725374907</v>
      </c>
    </row>
    <row r="70" spans="2:7" x14ac:dyDescent="0.3">
      <c r="B70" s="554">
        <v>61</v>
      </c>
      <c r="C70" s="552">
        <f t="shared" si="0"/>
        <v>6484.8371618034544</v>
      </c>
      <c r="D70" s="552">
        <f t="shared" si="1"/>
        <v>3325.8837892847459</v>
      </c>
      <c r="E70" s="552">
        <f t="shared" si="2"/>
        <v>3158.9533725187084</v>
      </c>
      <c r="G70" s="552">
        <f t="shared" si="3"/>
        <v>1380989.8086995485</v>
      </c>
    </row>
    <row r="71" spans="2:7" x14ac:dyDescent="0.3">
      <c r="B71" s="554">
        <v>62</v>
      </c>
      <c r="C71" s="552">
        <f t="shared" si="0"/>
        <v>6484.8371618034544</v>
      </c>
      <c r="D71" s="552">
        <f t="shared" si="1"/>
        <v>3318.275976579263</v>
      </c>
      <c r="E71" s="552">
        <f t="shared" si="2"/>
        <v>3166.5611852241914</v>
      </c>
      <c r="G71" s="552">
        <f t="shared" si="3"/>
        <v>1377830.8553270297</v>
      </c>
    </row>
    <row r="72" spans="2:7" x14ac:dyDescent="0.3">
      <c r="B72" s="554">
        <v>63</v>
      </c>
      <c r="C72" s="552">
        <f t="shared" si="0"/>
        <v>6484.8371618034544</v>
      </c>
      <c r="D72" s="552">
        <f t="shared" si="1"/>
        <v>3310.6498417248481</v>
      </c>
      <c r="E72" s="552">
        <f t="shared" si="2"/>
        <v>3174.1873200786063</v>
      </c>
      <c r="G72" s="552">
        <f t="shared" si="3"/>
        <v>1374664.2941418055</v>
      </c>
    </row>
    <row r="73" spans="2:7" x14ac:dyDescent="0.3">
      <c r="B73" s="554">
        <v>64</v>
      </c>
      <c r="C73" s="552">
        <f t="shared" si="0"/>
        <v>6484.8371618034544</v>
      </c>
      <c r="D73" s="552">
        <f t="shared" si="1"/>
        <v>3303.0053405956592</v>
      </c>
      <c r="E73" s="552">
        <f t="shared" si="2"/>
        <v>3181.8318212077952</v>
      </c>
      <c r="G73" s="552">
        <f t="shared" si="3"/>
        <v>1371490.106821727</v>
      </c>
    </row>
    <row r="74" spans="2:7" x14ac:dyDescent="0.3">
      <c r="B74" s="554">
        <v>65</v>
      </c>
      <c r="C74" s="552">
        <f t="shared" ref="C74:C137" si="4">IF($C$3&lt;G74+(G74*($C$4/$C$6)),$C$3,G74+(G74*($C$4/$C$6)))</f>
        <v>6484.8371618034544</v>
      </c>
      <c r="D74" s="552">
        <f t="shared" ref="D74:D137" si="5">G74*$C$4/$C$6</f>
        <v>3295.3424289595837</v>
      </c>
      <c r="E74" s="552">
        <f t="shared" ref="E74:E137" si="6">C74-D74</f>
        <v>3189.4947328438707</v>
      </c>
      <c r="G74" s="552">
        <f t="shared" si="3"/>
        <v>1368308.2750005191</v>
      </c>
    </row>
    <row r="75" spans="2:7" x14ac:dyDescent="0.3">
      <c r="B75" s="554">
        <v>66</v>
      </c>
      <c r="C75" s="552">
        <f t="shared" si="4"/>
        <v>6484.8371618034544</v>
      </c>
      <c r="D75" s="552">
        <f t="shared" si="5"/>
        <v>3287.6610624779842</v>
      </c>
      <c r="E75" s="552">
        <f t="shared" si="6"/>
        <v>3197.1760993254702</v>
      </c>
      <c r="G75" s="552">
        <f t="shared" ref="G75:G138" si="7">G74-E74-F74</f>
        <v>1365118.7802676752</v>
      </c>
    </row>
    <row r="76" spans="2:7" x14ac:dyDescent="0.3">
      <c r="B76" s="554">
        <v>67</v>
      </c>
      <c r="C76" s="552">
        <f t="shared" si="4"/>
        <v>6484.8371618034544</v>
      </c>
      <c r="D76" s="552">
        <f t="shared" si="5"/>
        <v>3279.961196705442</v>
      </c>
      <c r="E76" s="552">
        <f t="shared" si="6"/>
        <v>3204.8759650980123</v>
      </c>
      <c r="G76" s="552">
        <f t="shared" si="7"/>
        <v>1361921.6041683496</v>
      </c>
    </row>
    <row r="77" spans="2:7" x14ac:dyDescent="0.3">
      <c r="B77" s="554">
        <v>68</v>
      </c>
      <c r="C77" s="552">
        <f t="shared" si="4"/>
        <v>6484.8371618034544</v>
      </c>
      <c r="D77" s="552">
        <f t="shared" si="5"/>
        <v>3272.2427870894976</v>
      </c>
      <c r="E77" s="552">
        <f t="shared" si="6"/>
        <v>3212.5943747139568</v>
      </c>
      <c r="G77" s="552">
        <f t="shared" si="7"/>
        <v>1358716.7282032517</v>
      </c>
    </row>
    <row r="78" spans="2:7" x14ac:dyDescent="0.3">
      <c r="B78" s="554">
        <v>69</v>
      </c>
      <c r="C78" s="552">
        <f t="shared" si="4"/>
        <v>6484.8371618034544</v>
      </c>
      <c r="D78" s="552">
        <f t="shared" si="5"/>
        <v>3264.5057889703949</v>
      </c>
      <c r="E78" s="552">
        <f t="shared" si="6"/>
        <v>3220.3313728330595</v>
      </c>
      <c r="G78" s="552">
        <f t="shared" si="7"/>
        <v>1355504.1338285378</v>
      </c>
    </row>
    <row r="79" spans="2:7" x14ac:dyDescent="0.3">
      <c r="B79" s="554">
        <v>70</v>
      </c>
      <c r="C79" s="552">
        <f t="shared" si="4"/>
        <v>6484.8371618034544</v>
      </c>
      <c r="D79" s="552">
        <f t="shared" si="5"/>
        <v>3256.7501575808219</v>
      </c>
      <c r="E79" s="552">
        <f t="shared" si="6"/>
        <v>3228.0870042226325</v>
      </c>
      <c r="G79" s="552">
        <f t="shared" si="7"/>
        <v>1352283.8024557047</v>
      </c>
    </row>
    <row r="80" spans="2:7" x14ac:dyDescent="0.3">
      <c r="B80" s="554">
        <v>71</v>
      </c>
      <c r="C80" s="552">
        <f t="shared" si="4"/>
        <v>6484.8371618034544</v>
      </c>
      <c r="D80" s="552">
        <f t="shared" si="5"/>
        <v>3248.9758480456526</v>
      </c>
      <c r="E80" s="552">
        <f t="shared" si="6"/>
        <v>3235.8613137578018</v>
      </c>
      <c r="G80" s="552">
        <f t="shared" si="7"/>
        <v>1349055.715451482</v>
      </c>
    </row>
    <row r="81" spans="2:7" x14ac:dyDescent="0.3">
      <c r="B81" s="554">
        <v>72</v>
      </c>
      <c r="C81" s="552">
        <f t="shared" si="4"/>
        <v>6484.8371618034544</v>
      </c>
      <c r="D81" s="552">
        <f t="shared" si="5"/>
        <v>3241.1828153816859</v>
      </c>
      <c r="E81" s="552">
        <f t="shared" si="6"/>
        <v>3243.6543464217684</v>
      </c>
      <c r="G81" s="552">
        <f t="shared" si="7"/>
        <v>1345819.8541377243</v>
      </c>
    </row>
    <row r="82" spans="2:7" x14ac:dyDescent="0.3">
      <c r="B82" s="554">
        <v>73</v>
      </c>
      <c r="C82" s="552">
        <f t="shared" si="4"/>
        <v>6484.8371618034544</v>
      </c>
      <c r="D82" s="552">
        <f t="shared" si="5"/>
        <v>3233.3710144973866</v>
      </c>
      <c r="E82" s="552">
        <f t="shared" si="6"/>
        <v>3251.4661473060678</v>
      </c>
      <c r="G82" s="552">
        <f t="shared" si="7"/>
        <v>1342576.1997913024</v>
      </c>
    </row>
    <row r="83" spans="2:7" x14ac:dyDescent="0.3">
      <c r="B83" s="554">
        <v>74</v>
      </c>
      <c r="C83" s="552">
        <f t="shared" si="4"/>
        <v>6484.8371618034544</v>
      </c>
      <c r="D83" s="552">
        <f t="shared" si="5"/>
        <v>3225.540400192624</v>
      </c>
      <c r="E83" s="552">
        <f t="shared" si="6"/>
        <v>3259.2967616108303</v>
      </c>
      <c r="G83" s="552">
        <f t="shared" si="7"/>
        <v>1339324.7336439963</v>
      </c>
    </row>
    <row r="84" spans="2:7" x14ac:dyDescent="0.3">
      <c r="B84" s="554">
        <v>75</v>
      </c>
      <c r="C84" s="552">
        <f t="shared" si="4"/>
        <v>6484.8371618034544</v>
      </c>
      <c r="D84" s="552">
        <f t="shared" si="5"/>
        <v>3217.6909271584118</v>
      </c>
      <c r="E84" s="552">
        <f t="shared" si="6"/>
        <v>3267.1462346450426</v>
      </c>
      <c r="G84" s="552">
        <f t="shared" si="7"/>
        <v>1336065.4368823855</v>
      </c>
    </row>
    <row r="85" spans="2:7" x14ac:dyDescent="0.3">
      <c r="B85" s="554">
        <v>76</v>
      </c>
      <c r="C85" s="552">
        <f t="shared" si="4"/>
        <v>6484.8371618034544</v>
      </c>
      <c r="D85" s="552">
        <f t="shared" si="5"/>
        <v>3209.8225499766413</v>
      </c>
      <c r="E85" s="552">
        <f t="shared" si="6"/>
        <v>3275.0146118268131</v>
      </c>
      <c r="G85" s="552">
        <f t="shared" si="7"/>
        <v>1332798.2906477405</v>
      </c>
    </row>
    <row r="86" spans="2:7" x14ac:dyDescent="0.3">
      <c r="B86" s="554">
        <v>77</v>
      </c>
      <c r="C86" s="552">
        <f t="shared" si="4"/>
        <v>6484.8371618034544</v>
      </c>
      <c r="D86" s="552">
        <f t="shared" si="5"/>
        <v>3201.935223119825</v>
      </c>
      <c r="E86" s="552">
        <f t="shared" si="6"/>
        <v>3282.9019386836294</v>
      </c>
      <c r="G86" s="552">
        <f t="shared" si="7"/>
        <v>1329523.2760359137</v>
      </c>
    </row>
    <row r="87" spans="2:7" x14ac:dyDescent="0.3">
      <c r="B87" s="554">
        <v>78</v>
      </c>
      <c r="C87" s="552">
        <f t="shared" si="4"/>
        <v>6484.8371618034544</v>
      </c>
      <c r="D87" s="552">
        <f t="shared" si="5"/>
        <v>3194.0289009508292</v>
      </c>
      <c r="E87" s="552">
        <f t="shared" si="6"/>
        <v>3290.8082608526252</v>
      </c>
      <c r="G87" s="552">
        <f t="shared" si="7"/>
        <v>1326240.3740972301</v>
      </c>
    </row>
    <row r="88" spans="2:7" x14ac:dyDescent="0.3">
      <c r="B88" s="554">
        <v>79</v>
      </c>
      <c r="C88" s="552">
        <f t="shared" si="4"/>
        <v>6484.8371618034544</v>
      </c>
      <c r="D88" s="552">
        <f t="shared" si="5"/>
        <v>3186.103537722609</v>
      </c>
      <c r="E88" s="552">
        <f t="shared" si="6"/>
        <v>3298.7336240808454</v>
      </c>
      <c r="G88" s="552">
        <f t="shared" si="7"/>
        <v>1322949.5658363774</v>
      </c>
    </row>
    <row r="89" spans="2:7" x14ac:dyDescent="0.3">
      <c r="B89" s="554">
        <v>80</v>
      </c>
      <c r="C89" s="552">
        <f t="shared" si="4"/>
        <v>6484.8371618034544</v>
      </c>
      <c r="D89" s="552">
        <f t="shared" si="5"/>
        <v>3178.1590875779475</v>
      </c>
      <c r="E89" s="552">
        <f t="shared" si="6"/>
        <v>3306.6780742255069</v>
      </c>
      <c r="G89" s="552">
        <f t="shared" si="7"/>
        <v>1319650.8322122965</v>
      </c>
    </row>
    <row r="90" spans="2:7" x14ac:dyDescent="0.3">
      <c r="B90" s="554">
        <v>81</v>
      </c>
      <c r="C90" s="552">
        <f t="shared" si="4"/>
        <v>6484.8371618034544</v>
      </c>
      <c r="D90" s="552">
        <f t="shared" si="5"/>
        <v>3170.1955045491873</v>
      </c>
      <c r="E90" s="552">
        <f t="shared" si="6"/>
        <v>3314.6416572542671</v>
      </c>
      <c r="G90" s="552">
        <f t="shared" si="7"/>
        <v>1316344.154138071</v>
      </c>
    </row>
    <row r="91" spans="2:7" x14ac:dyDescent="0.3">
      <c r="B91" s="554">
        <v>82</v>
      </c>
      <c r="C91" s="552">
        <f t="shared" si="4"/>
        <v>6484.8371618034544</v>
      </c>
      <c r="D91" s="552">
        <f t="shared" si="5"/>
        <v>3162.212742557967</v>
      </c>
      <c r="E91" s="552">
        <f t="shared" si="6"/>
        <v>3322.6244192454874</v>
      </c>
      <c r="G91" s="552">
        <f t="shared" si="7"/>
        <v>1313029.5124808168</v>
      </c>
    </row>
    <row r="92" spans="2:7" x14ac:dyDescent="0.3">
      <c r="B92" s="554">
        <v>83</v>
      </c>
      <c r="C92" s="552">
        <f t="shared" si="4"/>
        <v>6484.8371618034544</v>
      </c>
      <c r="D92" s="552">
        <f t="shared" si="5"/>
        <v>3154.2107554149511</v>
      </c>
      <c r="E92" s="552">
        <f t="shared" si="6"/>
        <v>3330.6264063885033</v>
      </c>
      <c r="G92" s="552">
        <f t="shared" si="7"/>
        <v>1309706.8880615714</v>
      </c>
    </row>
    <row r="93" spans="2:7" x14ac:dyDescent="0.3">
      <c r="B93" s="554">
        <v>84</v>
      </c>
      <c r="C93" s="552">
        <f t="shared" si="4"/>
        <v>6484.8371618034544</v>
      </c>
      <c r="D93" s="552">
        <f t="shared" si="5"/>
        <v>3146.1894968195652</v>
      </c>
      <c r="E93" s="552">
        <f t="shared" si="6"/>
        <v>3338.6476649838892</v>
      </c>
      <c r="G93" s="552">
        <f t="shared" si="7"/>
        <v>1306376.2616551828</v>
      </c>
    </row>
    <row r="94" spans="2:7" x14ac:dyDescent="0.3">
      <c r="B94" s="554">
        <v>85</v>
      </c>
      <c r="C94" s="552">
        <f t="shared" si="4"/>
        <v>6484.8371618034544</v>
      </c>
      <c r="D94" s="552">
        <f t="shared" si="5"/>
        <v>3138.1489203597284</v>
      </c>
      <c r="E94" s="552">
        <f t="shared" si="6"/>
        <v>3346.6882414437259</v>
      </c>
      <c r="G94" s="552">
        <f t="shared" si="7"/>
        <v>1303037.6139901988</v>
      </c>
    </row>
    <row r="95" spans="2:7" x14ac:dyDescent="0.3">
      <c r="B95" s="554">
        <v>86</v>
      </c>
      <c r="C95" s="552">
        <f t="shared" si="4"/>
        <v>6484.8371618034544</v>
      </c>
      <c r="D95" s="552">
        <f t="shared" si="5"/>
        <v>3130.088979511585</v>
      </c>
      <c r="E95" s="552">
        <f t="shared" si="6"/>
        <v>3354.7481822918694</v>
      </c>
      <c r="G95" s="552">
        <f t="shared" si="7"/>
        <v>1299690.925748755</v>
      </c>
    </row>
    <row r="96" spans="2:7" x14ac:dyDescent="0.3">
      <c r="B96" s="554">
        <v>87</v>
      </c>
      <c r="C96" s="552">
        <f t="shared" si="4"/>
        <v>6484.8371618034544</v>
      </c>
      <c r="D96" s="552">
        <f t="shared" si="5"/>
        <v>3122.0096276392319</v>
      </c>
      <c r="E96" s="552">
        <f t="shared" si="6"/>
        <v>3362.8275341642225</v>
      </c>
      <c r="G96" s="552">
        <f t="shared" si="7"/>
        <v>1296336.1775664631</v>
      </c>
    </row>
    <row r="97" spans="2:7" x14ac:dyDescent="0.3">
      <c r="B97" s="554">
        <v>88</v>
      </c>
      <c r="C97" s="552">
        <f t="shared" si="4"/>
        <v>6484.8371618034544</v>
      </c>
      <c r="D97" s="552">
        <f t="shared" si="5"/>
        <v>3113.9108179944528</v>
      </c>
      <c r="E97" s="552">
        <f t="shared" si="6"/>
        <v>3370.9263438090015</v>
      </c>
      <c r="G97" s="552">
        <f t="shared" si="7"/>
        <v>1292973.3500322988</v>
      </c>
    </row>
    <row r="98" spans="2:7" x14ac:dyDescent="0.3">
      <c r="B98" s="554">
        <v>89</v>
      </c>
      <c r="C98" s="552">
        <f t="shared" si="4"/>
        <v>6484.8371618034544</v>
      </c>
      <c r="D98" s="552">
        <f t="shared" si="5"/>
        <v>3105.7925037164459</v>
      </c>
      <c r="E98" s="552">
        <f t="shared" si="6"/>
        <v>3379.0446580870084</v>
      </c>
      <c r="G98" s="552">
        <f t="shared" si="7"/>
        <v>1289602.4236884897</v>
      </c>
    </row>
    <row r="99" spans="2:7" x14ac:dyDescent="0.3">
      <c r="B99" s="554">
        <v>90</v>
      </c>
      <c r="C99" s="552">
        <f t="shared" si="4"/>
        <v>6484.8371618034544</v>
      </c>
      <c r="D99" s="552">
        <f t="shared" si="5"/>
        <v>3097.6546378315529</v>
      </c>
      <c r="E99" s="552">
        <f t="shared" si="6"/>
        <v>3387.1825239719014</v>
      </c>
      <c r="G99" s="552">
        <f t="shared" si="7"/>
        <v>1286223.3790304027</v>
      </c>
    </row>
    <row r="100" spans="2:7" x14ac:dyDescent="0.3">
      <c r="B100" s="554">
        <v>91</v>
      </c>
      <c r="C100" s="552">
        <f t="shared" si="4"/>
        <v>6484.8371618034544</v>
      </c>
      <c r="D100" s="552">
        <f t="shared" si="5"/>
        <v>3089.4971732529871</v>
      </c>
      <c r="E100" s="552">
        <f t="shared" si="6"/>
        <v>3395.3399885504673</v>
      </c>
      <c r="G100" s="552">
        <f t="shared" si="7"/>
        <v>1282836.1965064309</v>
      </c>
    </row>
    <row r="101" spans="2:7" x14ac:dyDescent="0.3">
      <c r="B101" s="554">
        <v>92</v>
      </c>
      <c r="C101" s="552">
        <f t="shared" si="4"/>
        <v>6484.8371618034544</v>
      </c>
      <c r="D101" s="552">
        <f t="shared" si="5"/>
        <v>3081.3200627805618</v>
      </c>
      <c r="E101" s="552">
        <f t="shared" si="6"/>
        <v>3403.5170990228926</v>
      </c>
      <c r="G101" s="552">
        <f t="shared" si="7"/>
        <v>1279440.8565178805</v>
      </c>
    </row>
    <row r="102" spans="2:7" x14ac:dyDescent="0.3">
      <c r="B102" s="554">
        <v>93</v>
      </c>
      <c r="C102" s="552">
        <f t="shared" si="4"/>
        <v>6484.8371618034544</v>
      </c>
      <c r="D102" s="552">
        <f t="shared" si="5"/>
        <v>3073.1232591004155</v>
      </c>
      <c r="E102" s="552">
        <f t="shared" si="6"/>
        <v>3411.7139027030389</v>
      </c>
      <c r="G102" s="552">
        <f t="shared" si="7"/>
        <v>1276037.3394188576</v>
      </c>
    </row>
    <row r="103" spans="2:7" x14ac:dyDescent="0.3">
      <c r="B103" s="554">
        <v>94</v>
      </c>
      <c r="C103" s="552">
        <f t="shared" si="4"/>
        <v>6484.8371618034544</v>
      </c>
      <c r="D103" s="552">
        <f t="shared" si="5"/>
        <v>3064.9067147847386</v>
      </c>
      <c r="E103" s="552">
        <f t="shared" si="6"/>
        <v>3419.9304470187158</v>
      </c>
      <c r="G103" s="552">
        <f t="shared" si="7"/>
        <v>1272625.6255161546</v>
      </c>
    </row>
    <row r="104" spans="2:7" x14ac:dyDescent="0.3">
      <c r="B104" s="554">
        <v>95</v>
      </c>
      <c r="C104" s="552">
        <f t="shared" si="4"/>
        <v>6484.8371618034544</v>
      </c>
      <c r="D104" s="552">
        <f t="shared" si="5"/>
        <v>3056.6703822915019</v>
      </c>
      <c r="E104" s="552">
        <f t="shared" si="6"/>
        <v>3428.1667795119524</v>
      </c>
      <c r="G104" s="552">
        <f t="shared" si="7"/>
        <v>1269205.6950691359</v>
      </c>
    </row>
    <row r="105" spans="2:7" x14ac:dyDescent="0.3">
      <c r="B105" s="554">
        <v>96</v>
      </c>
      <c r="C105" s="552">
        <f t="shared" si="4"/>
        <v>6484.8371618034544</v>
      </c>
      <c r="D105" s="552">
        <f t="shared" si="5"/>
        <v>3048.4142139641776</v>
      </c>
      <c r="E105" s="552">
        <f t="shared" si="6"/>
        <v>3436.4229478392767</v>
      </c>
      <c r="G105" s="552">
        <f t="shared" si="7"/>
        <v>1265777.528289624</v>
      </c>
    </row>
    <row r="106" spans="2:7" x14ac:dyDescent="0.3">
      <c r="B106" s="554">
        <v>97</v>
      </c>
      <c r="C106" s="552">
        <f t="shared" si="4"/>
        <v>6484.8371618034544</v>
      </c>
      <c r="D106" s="552">
        <f t="shared" si="5"/>
        <v>3040.1381620314646</v>
      </c>
      <c r="E106" s="552">
        <f t="shared" si="6"/>
        <v>3444.6989997719897</v>
      </c>
      <c r="G106" s="552">
        <f t="shared" si="7"/>
        <v>1262341.1053417847</v>
      </c>
    </row>
    <row r="107" spans="2:7" x14ac:dyDescent="0.3">
      <c r="B107" s="554">
        <v>98</v>
      </c>
      <c r="C107" s="552">
        <f t="shared" si="4"/>
        <v>6484.8371618034544</v>
      </c>
      <c r="D107" s="552">
        <f t="shared" si="5"/>
        <v>3031.8421786070135</v>
      </c>
      <c r="E107" s="552">
        <f t="shared" si="6"/>
        <v>3452.9949831964409</v>
      </c>
      <c r="G107" s="552">
        <f t="shared" si="7"/>
        <v>1258896.4063420126</v>
      </c>
    </row>
    <row r="108" spans="2:7" x14ac:dyDescent="0.3">
      <c r="B108" s="554">
        <v>99</v>
      </c>
      <c r="C108" s="552">
        <f t="shared" si="4"/>
        <v>6484.8371618034544</v>
      </c>
      <c r="D108" s="552">
        <f t="shared" si="5"/>
        <v>3023.526215689149</v>
      </c>
      <c r="E108" s="552">
        <f t="shared" si="6"/>
        <v>3461.3109461143054</v>
      </c>
      <c r="G108" s="552">
        <f t="shared" si="7"/>
        <v>1255443.4113588161</v>
      </c>
    </row>
    <row r="109" spans="2:7" x14ac:dyDescent="0.3">
      <c r="B109" s="554">
        <v>100</v>
      </c>
      <c r="C109" s="552">
        <f t="shared" si="4"/>
        <v>6484.8371618034544</v>
      </c>
      <c r="D109" s="552">
        <f t="shared" si="5"/>
        <v>3015.1902251605898</v>
      </c>
      <c r="E109" s="552">
        <f t="shared" si="6"/>
        <v>3469.6469366428646</v>
      </c>
      <c r="G109" s="552">
        <f t="shared" si="7"/>
        <v>1251982.1004127017</v>
      </c>
    </row>
    <row r="110" spans="2:7" x14ac:dyDescent="0.3">
      <c r="B110" s="554">
        <v>101</v>
      </c>
      <c r="C110" s="552">
        <f t="shared" si="4"/>
        <v>6484.8371618034544</v>
      </c>
      <c r="D110" s="552">
        <f t="shared" si="5"/>
        <v>3006.834158788175</v>
      </c>
      <c r="E110" s="552">
        <f t="shared" si="6"/>
        <v>3478.0030030152793</v>
      </c>
      <c r="G110" s="552">
        <f t="shared" si="7"/>
        <v>1248512.4534760588</v>
      </c>
    </row>
    <row r="111" spans="2:7" x14ac:dyDescent="0.3">
      <c r="B111" s="554">
        <v>102</v>
      </c>
      <c r="C111" s="552">
        <f t="shared" si="4"/>
        <v>6484.8371618034544</v>
      </c>
      <c r="D111" s="552">
        <f t="shared" si="5"/>
        <v>2998.4579682225799</v>
      </c>
      <c r="E111" s="552">
        <f t="shared" si="6"/>
        <v>3486.3791935808745</v>
      </c>
      <c r="G111" s="552">
        <f t="shared" si="7"/>
        <v>1245034.4504730436</v>
      </c>
    </row>
    <row r="112" spans="2:7" x14ac:dyDescent="0.3">
      <c r="B112" s="554">
        <v>103</v>
      </c>
      <c r="C112" s="552">
        <f t="shared" si="4"/>
        <v>6484.8371618034544</v>
      </c>
      <c r="D112" s="552">
        <f t="shared" si="5"/>
        <v>2990.0616049980395</v>
      </c>
      <c r="E112" s="552">
        <f t="shared" si="6"/>
        <v>3494.7755568054149</v>
      </c>
      <c r="G112" s="552">
        <f t="shared" si="7"/>
        <v>1241548.0712794627</v>
      </c>
    </row>
    <row r="113" spans="2:7" x14ac:dyDescent="0.3">
      <c r="B113" s="554">
        <v>104</v>
      </c>
      <c r="C113" s="552">
        <f t="shared" si="4"/>
        <v>6484.8371618034544</v>
      </c>
      <c r="D113" s="552">
        <f t="shared" si="5"/>
        <v>2981.6450205320666</v>
      </c>
      <c r="E113" s="552">
        <f t="shared" si="6"/>
        <v>3503.1921412713878</v>
      </c>
      <c r="G113" s="552">
        <f t="shared" si="7"/>
        <v>1238053.2957226573</v>
      </c>
    </row>
    <row r="114" spans="2:7" x14ac:dyDescent="0.3">
      <c r="B114" s="554">
        <v>105</v>
      </c>
      <c r="C114" s="552">
        <f t="shared" si="4"/>
        <v>6484.8371618034544</v>
      </c>
      <c r="D114" s="552">
        <f t="shared" si="5"/>
        <v>2973.2081661251709</v>
      </c>
      <c r="E114" s="552">
        <f t="shared" si="6"/>
        <v>3511.6289956782834</v>
      </c>
      <c r="G114" s="552">
        <f t="shared" si="7"/>
        <v>1234550.1035813859</v>
      </c>
    </row>
    <row r="115" spans="2:7" x14ac:dyDescent="0.3">
      <c r="B115" s="554">
        <v>106</v>
      </c>
      <c r="C115" s="552">
        <f t="shared" si="4"/>
        <v>6484.8371618034544</v>
      </c>
      <c r="D115" s="552">
        <f t="shared" si="5"/>
        <v>2964.750992960579</v>
      </c>
      <c r="E115" s="552">
        <f t="shared" si="6"/>
        <v>3520.0861688428754</v>
      </c>
      <c r="G115" s="552">
        <f t="shared" si="7"/>
        <v>1231038.4745857075</v>
      </c>
    </row>
    <row r="116" spans="2:7" x14ac:dyDescent="0.3">
      <c r="B116" s="554">
        <v>107</v>
      </c>
      <c r="C116" s="552">
        <f t="shared" si="4"/>
        <v>6484.8371618034544</v>
      </c>
      <c r="D116" s="552">
        <f t="shared" si="5"/>
        <v>2956.2734521039492</v>
      </c>
      <c r="E116" s="552">
        <f t="shared" si="6"/>
        <v>3528.5637096995051</v>
      </c>
      <c r="G116" s="552">
        <f t="shared" si="7"/>
        <v>1227518.3884168647</v>
      </c>
    </row>
    <row r="117" spans="2:7" x14ac:dyDescent="0.3">
      <c r="B117" s="554">
        <v>108</v>
      </c>
      <c r="C117" s="552">
        <f t="shared" si="4"/>
        <v>6484.8371618034544</v>
      </c>
      <c r="D117" s="552">
        <f t="shared" si="5"/>
        <v>2947.7754945030888</v>
      </c>
      <c r="E117" s="552">
        <f t="shared" si="6"/>
        <v>3537.0616673003656</v>
      </c>
      <c r="G117" s="552">
        <f t="shared" si="7"/>
        <v>1223989.8247071651</v>
      </c>
    </row>
    <row r="118" spans="2:7" x14ac:dyDescent="0.3">
      <c r="B118" s="554">
        <v>109</v>
      </c>
      <c r="C118" s="552">
        <f t="shared" si="4"/>
        <v>6484.8371618034544</v>
      </c>
      <c r="D118" s="552">
        <f t="shared" si="5"/>
        <v>2939.2570709876745</v>
      </c>
      <c r="E118" s="552">
        <f t="shared" si="6"/>
        <v>3545.5800908157798</v>
      </c>
      <c r="G118" s="552">
        <f t="shared" si="7"/>
        <v>1220452.7630398648</v>
      </c>
    </row>
    <row r="119" spans="2:7" x14ac:dyDescent="0.3">
      <c r="B119" s="554">
        <v>110</v>
      </c>
      <c r="C119" s="552">
        <f t="shared" si="4"/>
        <v>6484.8371618034544</v>
      </c>
      <c r="D119" s="552">
        <f t="shared" si="5"/>
        <v>2930.7181322689598</v>
      </c>
      <c r="E119" s="552">
        <f t="shared" si="6"/>
        <v>3554.1190295344945</v>
      </c>
      <c r="G119" s="552">
        <f t="shared" si="7"/>
        <v>1216907.1829490492</v>
      </c>
    </row>
    <row r="120" spans="2:7" x14ac:dyDescent="0.3">
      <c r="B120" s="554">
        <v>111</v>
      </c>
      <c r="C120" s="552">
        <f t="shared" si="4"/>
        <v>6484.8371618034544</v>
      </c>
      <c r="D120" s="552">
        <f t="shared" si="5"/>
        <v>2922.1586289394977</v>
      </c>
      <c r="E120" s="552">
        <f t="shared" si="6"/>
        <v>3562.6785328639567</v>
      </c>
      <c r="G120" s="552">
        <f t="shared" si="7"/>
        <v>1213353.0639195147</v>
      </c>
    </row>
    <row r="121" spans="2:7" x14ac:dyDescent="0.3">
      <c r="B121" s="554">
        <v>112</v>
      </c>
      <c r="C121" s="552">
        <f t="shared" si="4"/>
        <v>6484.8371618034544</v>
      </c>
      <c r="D121" s="552">
        <f t="shared" si="5"/>
        <v>2913.5785114728501</v>
      </c>
      <c r="E121" s="552">
        <f t="shared" si="6"/>
        <v>3571.2586503306043</v>
      </c>
      <c r="G121" s="552">
        <f t="shared" si="7"/>
        <v>1209790.3853866507</v>
      </c>
    </row>
    <row r="122" spans="2:7" x14ac:dyDescent="0.3">
      <c r="B122" s="554">
        <v>113</v>
      </c>
      <c r="C122" s="552">
        <f t="shared" si="4"/>
        <v>6484.8371618034544</v>
      </c>
      <c r="D122" s="552">
        <f t="shared" si="5"/>
        <v>2904.9777302233038</v>
      </c>
      <c r="E122" s="552">
        <f t="shared" si="6"/>
        <v>3579.8594315801506</v>
      </c>
      <c r="G122" s="552">
        <f t="shared" si="7"/>
        <v>1206219.1267363201</v>
      </c>
    </row>
    <row r="123" spans="2:7" x14ac:dyDescent="0.3">
      <c r="B123" s="554">
        <v>114</v>
      </c>
      <c r="C123" s="552">
        <f t="shared" si="4"/>
        <v>6484.8371618034544</v>
      </c>
      <c r="D123" s="552">
        <f t="shared" si="5"/>
        <v>2896.3562354255814</v>
      </c>
      <c r="E123" s="552">
        <f t="shared" si="6"/>
        <v>3588.4809263778729</v>
      </c>
      <c r="G123" s="552">
        <f t="shared" si="7"/>
        <v>1202639.2673047399</v>
      </c>
    </row>
    <row r="124" spans="2:7" x14ac:dyDescent="0.3">
      <c r="B124" s="554">
        <v>115</v>
      </c>
      <c r="C124" s="552">
        <f t="shared" si="4"/>
        <v>6484.8371618034544</v>
      </c>
      <c r="D124" s="552">
        <f t="shared" si="5"/>
        <v>2887.7139771945549</v>
      </c>
      <c r="E124" s="552">
        <f t="shared" si="6"/>
        <v>3597.1231846088995</v>
      </c>
      <c r="G124" s="552">
        <f t="shared" si="7"/>
        <v>1199050.786378362</v>
      </c>
    </row>
    <row r="125" spans="2:7" x14ac:dyDescent="0.3">
      <c r="B125" s="554">
        <v>116</v>
      </c>
      <c r="C125" s="552">
        <f t="shared" si="4"/>
        <v>6484.8371618034544</v>
      </c>
      <c r="D125" s="552">
        <f t="shared" si="5"/>
        <v>2879.0509055249549</v>
      </c>
      <c r="E125" s="552">
        <f t="shared" si="6"/>
        <v>3605.7862562784994</v>
      </c>
      <c r="G125" s="552">
        <f t="shared" si="7"/>
        <v>1195453.663193753</v>
      </c>
    </row>
    <row r="126" spans="2:7" x14ac:dyDescent="0.3">
      <c r="B126" s="554">
        <v>117</v>
      </c>
      <c r="C126" s="552">
        <f t="shared" si="4"/>
        <v>6484.8371618034544</v>
      </c>
      <c r="D126" s="552">
        <f t="shared" si="5"/>
        <v>2870.3669702910847</v>
      </c>
      <c r="E126" s="552">
        <f t="shared" si="6"/>
        <v>3614.4701915123696</v>
      </c>
      <c r="G126" s="552">
        <f t="shared" si="7"/>
        <v>1191847.8769374746</v>
      </c>
    </row>
    <row r="127" spans="2:7" x14ac:dyDescent="0.3">
      <c r="B127" s="554">
        <v>118</v>
      </c>
      <c r="C127" s="552">
        <f t="shared" si="4"/>
        <v>6484.8371618034544</v>
      </c>
      <c r="D127" s="552">
        <f t="shared" si="5"/>
        <v>2861.6621212465257</v>
      </c>
      <c r="E127" s="552">
        <f t="shared" si="6"/>
        <v>3623.1750405569287</v>
      </c>
      <c r="G127" s="552">
        <f t="shared" si="7"/>
        <v>1188233.4067459623</v>
      </c>
    </row>
    <row r="128" spans="2:7" x14ac:dyDescent="0.3">
      <c r="B128" s="554">
        <v>119</v>
      </c>
      <c r="C128" s="552">
        <f t="shared" si="4"/>
        <v>6484.8371618034544</v>
      </c>
      <c r="D128" s="552">
        <f t="shared" si="5"/>
        <v>2852.9363080238513</v>
      </c>
      <c r="E128" s="552">
        <f t="shared" si="6"/>
        <v>3631.900853779603</v>
      </c>
      <c r="G128" s="552">
        <f t="shared" si="7"/>
        <v>1184610.2317054055</v>
      </c>
    </row>
    <row r="129" spans="2:7" x14ac:dyDescent="0.3">
      <c r="B129" s="554">
        <v>120</v>
      </c>
      <c r="C129" s="552">
        <f t="shared" si="4"/>
        <v>6484.8371618034544</v>
      </c>
      <c r="D129" s="552">
        <f t="shared" si="5"/>
        <v>2844.1894801343319</v>
      </c>
      <c r="E129" s="552">
        <f t="shared" si="6"/>
        <v>3640.6476816691224</v>
      </c>
      <c r="G129" s="552">
        <f t="shared" si="7"/>
        <v>1180978.3308516259</v>
      </c>
    </row>
    <row r="130" spans="2:7" x14ac:dyDescent="0.3">
      <c r="B130" s="554">
        <v>121</v>
      </c>
      <c r="C130" s="552">
        <f t="shared" si="4"/>
        <v>6484.8371618034544</v>
      </c>
      <c r="D130" s="552">
        <f t="shared" si="5"/>
        <v>2835.4215869676459</v>
      </c>
      <c r="E130" s="552">
        <f t="shared" si="6"/>
        <v>3649.4155748358085</v>
      </c>
      <c r="G130" s="552">
        <f t="shared" si="7"/>
        <v>1177337.6831699568</v>
      </c>
    </row>
    <row r="131" spans="2:7" x14ac:dyDescent="0.3">
      <c r="B131" s="554">
        <v>122</v>
      </c>
      <c r="C131" s="552">
        <f t="shared" si="4"/>
        <v>6484.8371618034544</v>
      </c>
      <c r="D131" s="552">
        <f t="shared" si="5"/>
        <v>2826.6325777915827</v>
      </c>
      <c r="E131" s="552">
        <f t="shared" si="6"/>
        <v>3658.2045840118717</v>
      </c>
      <c r="G131" s="552">
        <f t="shared" si="7"/>
        <v>1173688.2675951209</v>
      </c>
    </row>
    <row r="132" spans="2:7" x14ac:dyDescent="0.3">
      <c r="B132" s="554">
        <v>123</v>
      </c>
      <c r="C132" s="552">
        <f t="shared" si="4"/>
        <v>6484.8371618034544</v>
      </c>
      <c r="D132" s="552">
        <f t="shared" si="5"/>
        <v>2817.8224017517546</v>
      </c>
      <c r="E132" s="552">
        <f t="shared" si="6"/>
        <v>3667.0147600516998</v>
      </c>
      <c r="G132" s="552">
        <f t="shared" si="7"/>
        <v>1170030.0630111091</v>
      </c>
    </row>
    <row r="133" spans="2:7" x14ac:dyDescent="0.3">
      <c r="B133" s="554">
        <v>124</v>
      </c>
      <c r="C133" s="552">
        <f t="shared" si="4"/>
        <v>6484.8371618034544</v>
      </c>
      <c r="D133" s="552">
        <f t="shared" si="5"/>
        <v>2808.9910078712965</v>
      </c>
      <c r="E133" s="552">
        <f t="shared" si="6"/>
        <v>3675.8461539321579</v>
      </c>
      <c r="G133" s="552">
        <f t="shared" si="7"/>
        <v>1166363.0482510575</v>
      </c>
    </row>
    <row r="134" spans="2:7" x14ac:dyDescent="0.3">
      <c r="B134" s="554">
        <v>125</v>
      </c>
      <c r="C134" s="552">
        <f t="shared" si="4"/>
        <v>6484.8371618034544</v>
      </c>
      <c r="D134" s="552">
        <f t="shared" si="5"/>
        <v>2800.1383450505768</v>
      </c>
      <c r="E134" s="552">
        <f t="shared" si="6"/>
        <v>3684.6988167528775</v>
      </c>
      <c r="G134" s="552">
        <f t="shared" si="7"/>
        <v>1162687.2020971254</v>
      </c>
    </row>
    <row r="135" spans="2:7" x14ac:dyDescent="0.3">
      <c r="B135" s="554">
        <v>126</v>
      </c>
      <c r="C135" s="552">
        <f t="shared" si="4"/>
        <v>6484.8371618034544</v>
      </c>
      <c r="D135" s="552">
        <f t="shared" si="5"/>
        <v>2791.2643620668969</v>
      </c>
      <c r="E135" s="552">
        <f t="shared" si="6"/>
        <v>3693.5727997365575</v>
      </c>
      <c r="G135" s="552">
        <f t="shared" si="7"/>
        <v>1159002.5032803724</v>
      </c>
    </row>
    <row r="136" spans="2:7" x14ac:dyDescent="0.3">
      <c r="B136" s="554">
        <v>127</v>
      </c>
      <c r="C136" s="552">
        <f t="shared" si="4"/>
        <v>6484.8371618034544</v>
      </c>
      <c r="D136" s="552">
        <f t="shared" si="5"/>
        <v>2782.3690075741974</v>
      </c>
      <c r="E136" s="552">
        <f t="shared" si="6"/>
        <v>3702.4681542292569</v>
      </c>
      <c r="G136" s="552">
        <f t="shared" si="7"/>
        <v>1155308.9304806357</v>
      </c>
    </row>
    <row r="137" spans="2:7" x14ac:dyDescent="0.3">
      <c r="B137" s="554">
        <v>128</v>
      </c>
      <c r="C137" s="552">
        <f t="shared" si="4"/>
        <v>6484.8371618034544</v>
      </c>
      <c r="D137" s="552">
        <f t="shared" si="5"/>
        <v>2773.4522301027623</v>
      </c>
      <c r="E137" s="552">
        <f t="shared" si="6"/>
        <v>3711.3849317006921</v>
      </c>
      <c r="G137" s="552">
        <f t="shared" si="7"/>
        <v>1151606.4623264065</v>
      </c>
    </row>
    <row r="138" spans="2:7" x14ac:dyDescent="0.3">
      <c r="B138" s="554">
        <v>129</v>
      </c>
      <c r="C138" s="552">
        <f t="shared" ref="C138:C201" si="8">IF($C$3&lt;G138+(G138*($C$4/$C$6)),$C$3,G138+(G138*($C$4/$C$6)))</f>
        <v>6484.8371618034544</v>
      </c>
      <c r="D138" s="552">
        <f t="shared" ref="D138:D201" si="9">G138*$C$4/$C$6</f>
        <v>2764.5139780589161</v>
      </c>
      <c r="E138" s="552">
        <f t="shared" ref="E138:E201" si="10">C138-D138</f>
        <v>3720.3231837445383</v>
      </c>
      <c r="G138" s="552">
        <f t="shared" si="7"/>
        <v>1147895.0773947057</v>
      </c>
    </row>
    <row r="139" spans="2:7" x14ac:dyDescent="0.3">
      <c r="B139" s="554">
        <v>130</v>
      </c>
      <c r="C139" s="552">
        <f t="shared" si="8"/>
        <v>6484.8371618034544</v>
      </c>
      <c r="D139" s="552">
        <f t="shared" si="9"/>
        <v>2755.5541997247315</v>
      </c>
      <c r="E139" s="552">
        <f t="shared" si="10"/>
        <v>3729.2829620787229</v>
      </c>
      <c r="G139" s="552">
        <f t="shared" ref="G139:G202" si="11">G138-E138-F138</f>
        <v>1144174.7542109613</v>
      </c>
    </row>
    <row r="140" spans="2:7" x14ac:dyDescent="0.3">
      <c r="B140" s="554">
        <v>131</v>
      </c>
      <c r="C140" s="552">
        <f t="shared" si="8"/>
        <v>6484.8371618034544</v>
      </c>
      <c r="D140" s="552">
        <f t="shared" si="9"/>
        <v>2746.5728432577253</v>
      </c>
      <c r="E140" s="552">
        <f t="shared" si="10"/>
        <v>3738.2643185457291</v>
      </c>
      <c r="G140" s="552">
        <f t="shared" si="11"/>
        <v>1140445.4712488826</v>
      </c>
    </row>
    <row r="141" spans="2:7" x14ac:dyDescent="0.3">
      <c r="B141" s="554">
        <v>132</v>
      </c>
      <c r="C141" s="552">
        <f t="shared" si="8"/>
        <v>6484.8371618034544</v>
      </c>
      <c r="D141" s="552">
        <f t="shared" si="9"/>
        <v>2737.5698566905612</v>
      </c>
      <c r="E141" s="552">
        <f t="shared" si="10"/>
        <v>3747.2673051128932</v>
      </c>
      <c r="G141" s="552">
        <f t="shared" si="11"/>
        <v>1136707.2069303368</v>
      </c>
    </row>
    <row r="142" spans="2:7" x14ac:dyDescent="0.3">
      <c r="B142" s="554">
        <v>133</v>
      </c>
      <c r="C142" s="552">
        <f t="shared" si="8"/>
        <v>6484.8371618034544</v>
      </c>
      <c r="D142" s="552">
        <f t="shared" si="9"/>
        <v>2728.5451879307475</v>
      </c>
      <c r="E142" s="552">
        <f t="shared" si="10"/>
        <v>3756.2919738727069</v>
      </c>
      <c r="G142" s="552">
        <f t="shared" si="11"/>
        <v>1132959.9396252239</v>
      </c>
    </row>
    <row r="143" spans="2:7" x14ac:dyDescent="0.3">
      <c r="B143" s="554">
        <v>134</v>
      </c>
      <c r="C143" s="552">
        <f t="shared" si="8"/>
        <v>6484.8371618034544</v>
      </c>
      <c r="D143" s="552">
        <f t="shared" si="9"/>
        <v>2719.498784760337</v>
      </c>
      <c r="E143" s="552">
        <f t="shared" si="10"/>
        <v>3765.3383770431174</v>
      </c>
      <c r="G143" s="552">
        <f t="shared" si="11"/>
        <v>1129203.6476513511</v>
      </c>
    </row>
    <row r="144" spans="2:7" x14ac:dyDescent="0.3">
      <c r="B144" s="554">
        <v>135</v>
      </c>
      <c r="C144" s="552">
        <f t="shared" si="8"/>
        <v>6484.8371618034544</v>
      </c>
      <c r="D144" s="552">
        <f t="shared" si="9"/>
        <v>2710.4305948356246</v>
      </c>
      <c r="E144" s="552">
        <f t="shared" si="10"/>
        <v>3774.4065669678298</v>
      </c>
      <c r="G144" s="552">
        <f t="shared" si="11"/>
        <v>1125438.3092743079</v>
      </c>
    </row>
    <row r="145" spans="2:7" x14ac:dyDescent="0.3">
      <c r="B145" s="554">
        <v>136</v>
      </c>
      <c r="C145" s="552">
        <f t="shared" si="8"/>
        <v>6484.8371618034544</v>
      </c>
      <c r="D145" s="552">
        <f t="shared" si="9"/>
        <v>2701.340565686844</v>
      </c>
      <c r="E145" s="552">
        <f t="shared" si="10"/>
        <v>3783.4965961166104</v>
      </c>
      <c r="G145" s="552">
        <f t="shared" si="11"/>
        <v>1121663.9027073402</v>
      </c>
    </row>
    <row r="146" spans="2:7" x14ac:dyDescent="0.3">
      <c r="B146" s="554">
        <v>137</v>
      </c>
      <c r="C146" s="552">
        <f t="shared" si="8"/>
        <v>6484.8371618034544</v>
      </c>
      <c r="D146" s="552">
        <f t="shared" si="9"/>
        <v>2692.2286447178635</v>
      </c>
      <c r="E146" s="552">
        <f t="shared" si="10"/>
        <v>3792.6085170855908</v>
      </c>
      <c r="G146" s="552">
        <f t="shared" si="11"/>
        <v>1117880.4061112236</v>
      </c>
    </row>
    <row r="147" spans="2:7" x14ac:dyDescent="0.3">
      <c r="B147" s="554">
        <v>138</v>
      </c>
      <c r="C147" s="552">
        <f t="shared" si="8"/>
        <v>6484.8371618034544</v>
      </c>
      <c r="D147" s="552">
        <f t="shared" si="9"/>
        <v>2683.0947792058819</v>
      </c>
      <c r="E147" s="552">
        <f t="shared" si="10"/>
        <v>3801.7423825975725</v>
      </c>
      <c r="G147" s="552">
        <f t="shared" si="11"/>
        <v>1114087.797594138</v>
      </c>
    </row>
    <row r="148" spans="2:7" x14ac:dyDescent="0.3">
      <c r="B148" s="554">
        <v>139</v>
      </c>
      <c r="C148" s="552">
        <f t="shared" si="8"/>
        <v>6484.8371618034544</v>
      </c>
      <c r="D148" s="552">
        <f t="shared" si="9"/>
        <v>2673.938916301126</v>
      </c>
      <c r="E148" s="552">
        <f t="shared" si="10"/>
        <v>3810.8982455023283</v>
      </c>
      <c r="G148" s="552">
        <f t="shared" si="11"/>
        <v>1110286.0552115403</v>
      </c>
    </row>
    <row r="149" spans="2:7" x14ac:dyDescent="0.3">
      <c r="B149" s="554">
        <v>140</v>
      </c>
      <c r="C149" s="552">
        <f t="shared" si="8"/>
        <v>6484.8371618034544</v>
      </c>
      <c r="D149" s="552">
        <f t="shared" si="9"/>
        <v>2664.7610030265414</v>
      </c>
      <c r="E149" s="552">
        <f t="shared" si="10"/>
        <v>3820.076158776913</v>
      </c>
      <c r="G149" s="552">
        <f t="shared" si="11"/>
        <v>1106475.156966038</v>
      </c>
    </row>
    <row r="150" spans="2:7" x14ac:dyDescent="0.3">
      <c r="B150" s="554">
        <v>141</v>
      </c>
      <c r="C150" s="552">
        <f t="shared" si="8"/>
        <v>6484.8371618034544</v>
      </c>
      <c r="D150" s="552">
        <f t="shared" si="9"/>
        <v>2655.5609862774872</v>
      </c>
      <c r="E150" s="552">
        <f t="shared" si="10"/>
        <v>3829.2761755259671</v>
      </c>
      <c r="G150" s="552">
        <f t="shared" si="11"/>
        <v>1102655.0808072612</v>
      </c>
    </row>
    <row r="151" spans="2:7" x14ac:dyDescent="0.3">
      <c r="B151" s="554">
        <v>142</v>
      </c>
      <c r="C151" s="552">
        <f t="shared" si="8"/>
        <v>6484.8371618034544</v>
      </c>
      <c r="D151" s="552">
        <f t="shared" si="9"/>
        <v>2646.3388128214287</v>
      </c>
      <c r="E151" s="552">
        <f t="shared" si="10"/>
        <v>3838.4983489820256</v>
      </c>
      <c r="G151" s="552">
        <f t="shared" si="11"/>
        <v>1098825.8046317352</v>
      </c>
    </row>
    <row r="152" spans="2:7" x14ac:dyDescent="0.3">
      <c r="B152" s="554">
        <v>143</v>
      </c>
      <c r="C152" s="552">
        <f t="shared" si="8"/>
        <v>6484.8371618034544</v>
      </c>
      <c r="D152" s="552">
        <f t="shared" si="9"/>
        <v>2637.0944292976305</v>
      </c>
      <c r="E152" s="552">
        <f t="shared" si="10"/>
        <v>3847.7427325058238</v>
      </c>
      <c r="G152" s="552">
        <f t="shared" si="11"/>
        <v>1094987.3062827531</v>
      </c>
    </row>
    <row r="153" spans="2:7" x14ac:dyDescent="0.3">
      <c r="B153" s="554">
        <v>144</v>
      </c>
      <c r="C153" s="552">
        <f t="shared" si="8"/>
        <v>6484.8371618034544</v>
      </c>
      <c r="D153" s="552">
        <f t="shared" si="9"/>
        <v>2627.8277822168457</v>
      </c>
      <c r="E153" s="552">
        <f t="shared" si="10"/>
        <v>3857.0093795866087</v>
      </c>
      <c r="G153" s="552">
        <f t="shared" si="11"/>
        <v>1091139.5635502473</v>
      </c>
    </row>
    <row r="154" spans="2:7" x14ac:dyDescent="0.3">
      <c r="B154" s="554">
        <v>145</v>
      </c>
      <c r="C154" s="552">
        <f t="shared" si="8"/>
        <v>6484.8371618034544</v>
      </c>
      <c r="D154" s="552">
        <f t="shared" si="9"/>
        <v>2618.5388179610077</v>
      </c>
      <c r="E154" s="552">
        <f t="shared" si="10"/>
        <v>3866.2983438424467</v>
      </c>
      <c r="G154" s="552">
        <f t="shared" si="11"/>
        <v>1087282.5541706607</v>
      </c>
    </row>
    <row r="155" spans="2:7" x14ac:dyDescent="0.3">
      <c r="B155" s="554">
        <v>146</v>
      </c>
      <c r="C155" s="552">
        <f t="shared" si="8"/>
        <v>6484.8371618034544</v>
      </c>
      <c r="D155" s="552">
        <f t="shared" si="9"/>
        <v>2609.2274827829206</v>
      </c>
      <c r="E155" s="552">
        <f t="shared" si="10"/>
        <v>3875.6096790205338</v>
      </c>
      <c r="G155" s="552">
        <f t="shared" si="11"/>
        <v>1083416.2558268183</v>
      </c>
    </row>
    <row r="156" spans="2:7" x14ac:dyDescent="0.3">
      <c r="B156" s="554">
        <v>147</v>
      </c>
      <c r="C156" s="552">
        <f t="shared" si="8"/>
        <v>6484.8371618034544</v>
      </c>
      <c r="D156" s="552">
        <f t="shared" si="9"/>
        <v>2599.8937228059463</v>
      </c>
      <c r="E156" s="552">
        <f t="shared" si="10"/>
        <v>3884.9434389975081</v>
      </c>
      <c r="G156" s="552">
        <f t="shared" si="11"/>
        <v>1079540.6461477978</v>
      </c>
    </row>
    <row r="157" spans="2:7" x14ac:dyDescent="0.3">
      <c r="B157" s="554">
        <v>148</v>
      </c>
      <c r="C157" s="552">
        <f t="shared" si="8"/>
        <v>6484.8371618034544</v>
      </c>
      <c r="D157" s="552">
        <f t="shared" si="9"/>
        <v>2590.5374840236941</v>
      </c>
      <c r="E157" s="552">
        <f t="shared" si="10"/>
        <v>3894.2996777797603</v>
      </c>
      <c r="G157" s="552">
        <f t="shared" si="11"/>
        <v>1075655.7027088003</v>
      </c>
    </row>
    <row r="158" spans="2:7" x14ac:dyDescent="0.3">
      <c r="B158" s="554">
        <v>149</v>
      </c>
      <c r="C158" s="552">
        <f t="shared" si="8"/>
        <v>6484.8371618034544</v>
      </c>
      <c r="D158" s="552">
        <f t="shared" si="9"/>
        <v>2581.158712299708</v>
      </c>
      <c r="E158" s="552">
        <f t="shared" si="10"/>
        <v>3903.6784495037464</v>
      </c>
      <c r="G158" s="552">
        <f t="shared" si="11"/>
        <v>1071761.4030310207</v>
      </c>
    </row>
    <row r="159" spans="2:7" x14ac:dyDescent="0.3">
      <c r="B159" s="554">
        <v>150</v>
      </c>
      <c r="C159" s="552">
        <f t="shared" si="8"/>
        <v>6484.8371618034544</v>
      </c>
      <c r="D159" s="552">
        <f t="shared" si="9"/>
        <v>2571.757353367153</v>
      </c>
      <c r="E159" s="552">
        <f t="shared" si="10"/>
        <v>3913.0798084363014</v>
      </c>
      <c r="G159" s="552">
        <f t="shared" si="11"/>
        <v>1067857.7245815168</v>
      </c>
    </row>
    <row r="160" spans="2:7" x14ac:dyDescent="0.3">
      <c r="B160" s="554">
        <v>151</v>
      </c>
      <c r="C160" s="552">
        <f t="shared" si="8"/>
        <v>6484.8371618034544</v>
      </c>
      <c r="D160" s="552">
        <f t="shared" si="9"/>
        <v>2562.333352828502</v>
      </c>
      <c r="E160" s="552">
        <f t="shared" si="10"/>
        <v>3922.5038089749523</v>
      </c>
      <c r="G160" s="552">
        <f t="shared" si="11"/>
        <v>1063944.6447730805</v>
      </c>
    </row>
    <row r="161" spans="2:7" x14ac:dyDescent="0.3">
      <c r="B161" s="554">
        <v>152</v>
      </c>
      <c r="C161" s="552">
        <f t="shared" si="8"/>
        <v>6484.8371618034544</v>
      </c>
      <c r="D161" s="552">
        <f t="shared" si="9"/>
        <v>2552.8866561552209</v>
      </c>
      <c r="E161" s="552">
        <f t="shared" si="10"/>
        <v>3931.9505056482335</v>
      </c>
      <c r="G161" s="552">
        <f t="shared" si="11"/>
        <v>1060022.1409641055</v>
      </c>
    </row>
    <row r="162" spans="2:7" x14ac:dyDescent="0.3">
      <c r="B162" s="554">
        <v>153</v>
      </c>
      <c r="C162" s="552">
        <f t="shared" si="8"/>
        <v>6484.8371618034544</v>
      </c>
      <c r="D162" s="552">
        <f t="shared" si="9"/>
        <v>2543.417208687451</v>
      </c>
      <c r="E162" s="552">
        <f t="shared" si="10"/>
        <v>3941.4199531160034</v>
      </c>
      <c r="G162" s="552">
        <f t="shared" si="11"/>
        <v>1056090.1904584572</v>
      </c>
    </row>
    <row r="163" spans="2:7" x14ac:dyDescent="0.3">
      <c r="B163" s="554">
        <v>154</v>
      </c>
      <c r="C163" s="552">
        <f t="shared" si="8"/>
        <v>6484.8371618034544</v>
      </c>
      <c r="D163" s="552">
        <f t="shared" si="9"/>
        <v>2533.9249556336968</v>
      </c>
      <c r="E163" s="552">
        <f t="shared" si="10"/>
        <v>3950.9122061697576</v>
      </c>
      <c r="G163" s="552">
        <f t="shared" si="11"/>
        <v>1052148.7705053412</v>
      </c>
    </row>
    <row r="164" spans="2:7" x14ac:dyDescent="0.3">
      <c r="B164" s="554">
        <v>155</v>
      </c>
      <c r="C164" s="552">
        <f t="shared" si="8"/>
        <v>6484.8371618034544</v>
      </c>
      <c r="D164" s="552">
        <f t="shared" si="9"/>
        <v>2524.4098420705045</v>
      </c>
      <c r="E164" s="552">
        <f t="shared" si="10"/>
        <v>3960.4273197329499</v>
      </c>
      <c r="G164" s="552">
        <f t="shared" si="11"/>
        <v>1048197.8582991714</v>
      </c>
    </row>
    <row r="165" spans="2:7" x14ac:dyDescent="0.3">
      <c r="B165" s="554">
        <v>156</v>
      </c>
      <c r="C165" s="552">
        <f t="shared" si="8"/>
        <v>6484.8371618034544</v>
      </c>
      <c r="D165" s="552">
        <f t="shared" si="9"/>
        <v>2514.8718129421472</v>
      </c>
      <c r="E165" s="552">
        <f t="shared" si="10"/>
        <v>3969.9653488613071</v>
      </c>
      <c r="G165" s="552">
        <f t="shared" si="11"/>
        <v>1044237.4309794385</v>
      </c>
    </row>
    <row r="166" spans="2:7" x14ac:dyDescent="0.3">
      <c r="B166" s="554">
        <v>157</v>
      </c>
      <c r="C166" s="552">
        <f t="shared" si="8"/>
        <v>6484.8371618034544</v>
      </c>
      <c r="D166" s="552">
        <f t="shared" si="9"/>
        <v>2505.3108130603064</v>
      </c>
      <c r="E166" s="552">
        <f t="shared" si="10"/>
        <v>3979.526348743148</v>
      </c>
      <c r="G166" s="552">
        <f t="shared" si="11"/>
        <v>1040267.4656305772</v>
      </c>
    </row>
    <row r="167" spans="2:7" x14ac:dyDescent="0.3">
      <c r="B167" s="554">
        <v>158</v>
      </c>
      <c r="C167" s="552">
        <f t="shared" si="8"/>
        <v>6484.8371618034544</v>
      </c>
      <c r="D167" s="552">
        <f t="shared" si="9"/>
        <v>2495.7267871037502</v>
      </c>
      <c r="E167" s="552">
        <f t="shared" si="10"/>
        <v>3989.1103746997042</v>
      </c>
      <c r="G167" s="552">
        <f t="shared" si="11"/>
        <v>1036287.9392818341</v>
      </c>
    </row>
    <row r="168" spans="2:7" x14ac:dyDescent="0.3">
      <c r="B168" s="554">
        <v>159</v>
      </c>
      <c r="C168" s="552">
        <f t="shared" si="8"/>
        <v>6484.8371618034544</v>
      </c>
      <c r="D168" s="552">
        <f t="shared" si="9"/>
        <v>2486.1196796180152</v>
      </c>
      <c r="E168" s="552">
        <f t="shared" si="10"/>
        <v>3998.7174821854392</v>
      </c>
      <c r="G168" s="552">
        <f t="shared" si="11"/>
        <v>1032298.8289071344</v>
      </c>
    </row>
    <row r="169" spans="2:7" x14ac:dyDescent="0.3">
      <c r="B169" s="554">
        <v>160</v>
      </c>
      <c r="C169" s="552">
        <f t="shared" si="8"/>
        <v>6484.8371618034544</v>
      </c>
      <c r="D169" s="552">
        <f t="shared" si="9"/>
        <v>2476.4894350150853</v>
      </c>
      <c r="E169" s="552">
        <f t="shared" si="10"/>
        <v>4008.3477267883691</v>
      </c>
      <c r="G169" s="552">
        <f t="shared" si="11"/>
        <v>1028300.1114249489</v>
      </c>
    </row>
    <row r="170" spans="2:7" x14ac:dyDescent="0.3">
      <c r="B170" s="554">
        <v>161</v>
      </c>
      <c r="C170" s="552">
        <f t="shared" si="8"/>
        <v>6484.8371618034544</v>
      </c>
      <c r="D170" s="552">
        <f t="shared" si="9"/>
        <v>2466.8359975730696</v>
      </c>
      <c r="E170" s="552">
        <f t="shared" si="10"/>
        <v>4018.0011642303848</v>
      </c>
      <c r="G170" s="552">
        <f t="shared" si="11"/>
        <v>1024291.7636981605</v>
      </c>
    </row>
    <row r="171" spans="2:7" x14ac:dyDescent="0.3">
      <c r="B171" s="554">
        <v>162</v>
      </c>
      <c r="C171" s="552">
        <f t="shared" si="8"/>
        <v>6484.8371618034544</v>
      </c>
      <c r="D171" s="552">
        <f t="shared" si="9"/>
        <v>2457.1593114358816</v>
      </c>
      <c r="E171" s="552">
        <f t="shared" si="10"/>
        <v>4027.6778503675728</v>
      </c>
      <c r="G171" s="552">
        <f t="shared" si="11"/>
        <v>1020273.7625339301</v>
      </c>
    </row>
    <row r="172" spans="2:7" x14ac:dyDescent="0.3">
      <c r="B172" s="554">
        <v>163</v>
      </c>
      <c r="C172" s="552">
        <f t="shared" si="8"/>
        <v>6484.8371618034544</v>
      </c>
      <c r="D172" s="552">
        <f t="shared" si="9"/>
        <v>2447.459320612913</v>
      </c>
      <c r="E172" s="552">
        <f t="shared" si="10"/>
        <v>4037.3778411905414</v>
      </c>
      <c r="G172" s="552">
        <f t="shared" si="11"/>
        <v>1016246.0846835625</v>
      </c>
    </row>
    <row r="173" spans="2:7" x14ac:dyDescent="0.3">
      <c r="B173" s="554">
        <v>164</v>
      </c>
      <c r="C173" s="552">
        <f t="shared" si="8"/>
        <v>6484.8371618034544</v>
      </c>
      <c r="D173" s="552">
        <f t="shared" si="9"/>
        <v>2437.7359689787122</v>
      </c>
      <c r="E173" s="552">
        <f t="shared" si="10"/>
        <v>4047.1011928247422</v>
      </c>
      <c r="G173" s="552">
        <f t="shared" si="11"/>
        <v>1012208.706842372</v>
      </c>
    </row>
    <row r="174" spans="2:7" x14ac:dyDescent="0.3">
      <c r="B174" s="554">
        <v>165</v>
      </c>
      <c r="C174" s="552">
        <f t="shared" si="8"/>
        <v>6484.8371618034544</v>
      </c>
      <c r="D174" s="552">
        <f t="shared" si="9"/>
        <v>2427.9892002726592</v>
      </c>
      <c r="E174" s="552">
        <f t="shared" si="10"/>
        <v>4056.8479615307951</v>
      </c>
      <c r="G174" s="552">
        <f t="shared" si="11"/>
        <v>1008161.6056495472</v>
      </c>
    </row>
    <row r="175" spans="2:7" x14ac:dyDescent="0.3">
      <c r="B175" s="554">
        <v>166</v>
      </c>
      <c r="C175" s="552">
        <f t="shared" si="8"/>
        <v>6484.8371618034544</v>
      </c>
      <c r="D175" s="552">
        <f t="shared" si="9"/>
        <v>2418.2189580986392</v>
      </c>
      <c r="E175" s="552">
        <f t="shared" si="10"/>
        <v>4066.6182037048152</v>
      </c>
      <c r="G175" s="552">
        <f t="shared" si="11"/>
        <v>1004104.7576880164</v>
      </c>
    </row>
    <row r="176" spans="2:7" x14ac:dyDescent="0.3">
      <c r="B176" s="554">
        <v>167</v>
      </c>
      <c r="C176" s="552">
        <f t="shared" si="8"/>
        <v>6484.8371618034544</v>
      </c>
      <c r="D176" s="552">
        <f t="shared" si="9"/>
        <v>2408.425185924717</v>
      </c>
      <c r="E176" s="552">
        <f t="shared" si="10"/>
        <v>4076.4119758787374</v>
      </c>
      <c r="G176" s="552">
        <f t="shared" si="11"/>
        <v>1000038.1394843116</v>
      </c>
    </row>
    <row r="177" spans="2:7" x14ac:dyDescent="0.3">
      <c r="B177" s="554">
        <v>168</v>
      </c>
      <c r="C177" s="552">
        <f t="shared" si="8"/>
        <v>6484.8371618034544</v>
      </c>
      <c r="D177" s="552">
        <f t="shared" si="9"/>
        <v>2398.6078270828089</v>
      </c>
      <c r="E177" s="552">
        <f t="shared" si="10"/>
        <v>4086.2293347206455</v>
      </c>
      <c r="G177" s="552">
        <f t="shared" si="11"/>
        <v>995961.72750843281</v>
      </c>
    </row>
    <row r="178" spans="2:7" x14ac:dyDescent="0.3">
      <c r="B178" s="554">
        <v>169</v>
      </c>
      <c r="C178" s="552">
        <f t="shared" si="8"/>
        <v>6484.8371618034544</v>
      </c>
      <c r="D178" s="552">
        <f t="shared" si="9"/>
        <v>2388.7668247683564</v>
      </c>
      <c r="E178" s="552">
        <f t="shared" si="10"/>
        <v>4096.0703370350984</v>
      </c>
      <c r="G178" s="552">
        <f t="shared" si="11"/>
        <v>991875.49817371217</v>
      </c>
    </row>
    <row r="179" spans="2:7" x14ac:dyDescent="0.3">
      <c r="B179" s="554">
        <v>170</v>
      </c>
      <c r="C179" s="552">
        <f t="shared" si="8"/>
        <v>6484.8371618034544</v>
      </c>
      <c r="D179" s="552">
        <f t="shared" si="9"/>
        <v>2378.9021220399973</v>
      </c>
      <c r="E179" s="552">
        <f t="shared" si="10"/>
        <v>4105.9350397634571</v>
      </c>
      <c r="G179" s="552">
        <f t="shared" si="11"/>
        <v>987779.42783667706</v>
      </c>
    </row>
    <row r="180" spans="2:7" x14ac:dyDescent="0.3">
      <c r="B180" s="554">
        <v>171</v>
      </c>
      <c r="C180" s="552">
        <f t="shared" si="8"/>
        <v>6484.8371618034544</v>
      </c>
      <c r="D180" s="552">
        <f t="shared" si="9"/>
        <v>2369.0136618192332</v>
      </c>
      <c r="E180" s="552">
        <f t="shared" si="10"/>
        <v>4115.8234999842207</v>
      </c>
      <c r="G180" s="552">
        <f t="shared" si="11"/>
        <v>983673.4927969136</v>
      </c>
    </row>
    <row r="181" spans="2:7" x14ac:dyDescent="0.3">
      <c r="B181" s="554">
        <v>172</v>
      </c>
      <c r="C181" s="552">
        <f t="shared" si="8"/>
        <v>6484.8371618034544</v>
      </c>
      <c r="D181" s="552">
        <f t="shared" si="9"/>
        <v>2359.101386890105</v>
      </c>
      <c r="E181" s="552">
        <f t="shared" si="10"/>
        <v>4125.7357749133498</v>
      </c>
      <c r="G181" s="552">
        <f t="shared" si="11"/>
        <v>979557.66929692938</v>
      </c>
    </row>
    <row r="182" spans="2:7" x14ac:dyDescent="0.3">
      <c r="B182" s="554">
        <v>173</v>
      </c>
      <c r="C182" s="552">
        <f t="shared" si="8"/>
        <v>6484.8371618034544</v>
      </c>
      <c r="D182" s="552">
        <f t="shared" si="9"/>
        <v>2349.1652398988549</v>
      </c>
      <c r="E182" s="552">
        <f t="shared" si="10"/>
        <v>4135.671921904599</v>
      </c>
      <c r="G182" s="552">
        <f t="shared" si="11"/>
        <v>975431.93352201604</v>
      </c>
    </row>
    <row r="183" spans="2:7" x14ac:dyDescent="0.3">
      <c r="B183" s="554">
        <v>174</v>
      </c>
      <c r="C183" s="552">
        <f t="shared" si="8"/>
        <v>6484.8371618034544</v>
      </c>
      <c r="D183" s="552">
        <f t="shared" si="9"/>
        <v>2339.2051633536016</v>
      </c>
      <c r="E183" s="552">
        <f t="shared" si="10"/>
        <v>4145.6319984498532</v>
      </c>
      <c r="G183" s="552">
        <f t="shared" si="11"/>
        <v>971296.26160011149</v>
      </c>
    </row>
    <row r="184" spans="2:7" x14ac:dyDescent="0.3">
      <c r="B184" s="554">
        <v>175</v>
      </c>
      <c r="C184" s="552">
        <f t="shared" si="8"/>
        <v>6484.8371618034544</v>
      </c>
      <c r="D184" s="552">
        <f t="shared" si="9"/>
        <v>2329.2210996240019</v>
      </c>
      <c r="E184" s="552">
        <f t="shared" si="10"/>
        <v>4155.6160621794525</v>
      </c>
      <c r="G184" s="552">
        <f t="shared" si="11"/>
        <v>967150.6296016617</v>
      </c>
    </row>
    <row r="185" spans="2:7" x14ac:dyDescent="0.3">
      <c r="B185" s="554">
        <v>176</v>
      </c>
      <c r="C185" s="552">
        <f t="shared" si="8"/>
        <v>6484.8371618034544</v>
      </c>
      <c r="D185" s="552">
        <f t="shared" si="9"/>
        <v>2319.2129909409196</v>
      </c>
      <c r="E185" s="552">
        <f t="shared" si="10"/>
        <v>4165.6241708625348</v>
      </c>
      <c r="G185" s="552">
        <f t="shared" si="11"/>
        <v>962995.01353948226</v>
      </c>
    </row>
    <row r="186" spans="2:7" x14ac:dyDescent="0.3">
      <c r="B186" s="554">
        <v>177</v>
      </c>
      <c r="C186" s="552">
        <f t="shared" si="8"/>
        <v>6484.8371618034544</v>
      </c>
      <c r="D186" s="552">
        <f t="shared" si="9"/>
        <v>2309.1807793960925</v>
      </c>
      <c r="E186" s="552">
        <f t="shared" si="10"/>
        <v>4175.6563824073619</v>
      </c>
      <c r="G186" s="552">
        <f t="shared" si="11"/>
        <v>958829.38936861977</v>
      </c>
    </row>
    <row r="187" spans="2:7" x14ac:dyDescent="0.3">
      <c r="B187" s="554">
        <v>178</v>
      </c>
      <c r="C187" s="552">
        <f t="shared" si="8"/>
        <v>6484.8371618034544</v>
      </c>
      <c r="D187" s="552">
        <f t="shared" si="9"/>
        <v>2299.1244069417949</v>
      </c>
      <c r="E187" s="552">
        <f t="shared" si="10"/>
        <v>4185.7127548616591</v>
      </c>
      <c r="G187" s="552">
        <f t="shared" si="11"/>
        <v>954653.73298621236</v>
      </c>
    </row>
    <row r="188" spans="2:7" x14ac:dyDescent="0.3">
      <c r="B188" s="554">
        <v>179</v>
      </c>
      <c r="C188" s="552">
        <f t="shared" si="8"/>
        <v>6484.8371618034544</v>
      </c>
      <c r="D188" s="552">
        <f t="shared" si="9"/>
        <v>2289.0438153905029</v>
      </c>
      <c r="E188" s="552">
        <f t="shared" si="10"/>
        <v>4195.793346412951</v>
      </c>
      <c r="G188" s="552">
        <f t="shared" si="11"/>
        <v>950468.02023135067</v>
      </c>
    </row>
    <row r="189" spans="2:7" x14ac:dyDescent="0.3">
      <c r="B189" s="554">
        <v>180</v>
      </c>
      <c r="C189" s="552">
        <f t="shared" si="8"/>
        <v>6484.8371618034544</v>
      </c>
      <c r="D189" s="552">
        <f t="shared" si="9"/>
        <v>2278.9389464145584</v>
      </c>
      <c r="E189" s="552">
        <f t="shared" si="10"/>
        <v>4205.8982153888956</v>
      </c>
      <c r="G189" s="552">
        <f t="shared" si="11"/>
        <v>946272.22688493773</v>
      </c>
    </row>
    <row r="190" spans="2:7" x14ac:dyDescent="0.3">
      <c r="B190" s="554">
        <v>181</v>
      </c>
      <c r="C190" s="552">
        <f t="shared" si="8"/>
        <v>6484.8371618034544</v>
      </c>
      <c r="D190" s="552">
        <f t="shared" si="9"/>
        <v>2268.8097415458301</v>
      </c>
      <c r="E190" s="552">
        <f t="shared" si="10"/>
        <v>4216.0274202576238</v>
      </c>
      <c r="G190" s="552">
        <f t="shared" si="11"/>
        <v>942066.32866954885</v>
      </c>
    </row>
    <row r="191" spans="2:7" x14ac:dyDescent="0.3">
      <c r="B191" s="554">
        <v>182</v>
      </c>
      <c r="C191" s="552">
        <f t="shared" si="8"/>
        <v>6484.8371618034544</v>
      </c>
      <c r="D191" s="552">
        <f t="shared" si="9"/>
        <v>2258.6561421753763</v>
      </c>
      <c r="E191" s="552">
        <f t="shared" si="10"/>
        <v>4226.1810196280785</v>
      </c>
      <c r="G191" s="552">
        <f t="shared" si="11"/>
        <v>937850.30124929128</v>
      </c>
    </row>
    <row r="192" spans="2:7" x14ac:dyDescent="0.3">
      <c r="B192" s="554">
        <v>183</v>
      </c>
      <c r="C192" s="552">
        <f t="shared" si="8"/>
        <v>6484.8371618034544</v>
      </c>
      <c r="D192" s="552">
        <f t="shared" si="9"/>
        <v>2248.4780895531053</v>
      </c>
      <c r="E192" s="552">
        <f t="shared" si="10"/>
        <v>4236.3590722503486</v>
      </c>
      <c r="G192" s="552">
        <f t="shared" si="11"/>
        <v>933624.12022966321</v>
      </c>
    </row>
    <row r="193" spans="2:7" x14ac:dyDescent="0.3">
      <c r="B193" s="554">
        <v>184</v>
      </c>
      <c r="C193" s="552">
        <f t="shared" si="8"/>
        <v>6484.8371618034544</v>
      </c>
      <c r="D193" s="552">
        <f t="shared" si="9"/>
        <v>2238.2755247874361</v>
      </c>
      <c r="E193" s="552">
        <f t="shared" si="10"/>
        <v>4246.5616370160187</v>
      </c>
      <c r="G193" s="552">
        <f t="shared" si="11"/>
        <v>929387.7611574129</v>
      </c>
    </row>
    <row r="194" spans="2:7" x14ac:dyDescent="0.3">
      <c r="B194" s="554">
        <v>185</v>
      </c>
      <c r="C194" s="552">
        <f t="shared" si="8"/>
        <v>6484.8371618034544</v>
      </c>
      <c r="D194" s="552">
        <f t="shared" si="9"/>
        <v>2228.0483888449558</v>
      </c>
      <c r="E194" s="552">
        <f t="shared" si="10"/>
        <v>4256.7887729584982</v>
      </c>
      <c r="G194" s="552">
        <f t="shared" si="11"/>
        <v>925141.19952039688</v>
      </c>
    </row>
    <row r="195" spans="2:7" x14ac:dyDescent="0.3">
      <c r="B195" s="554">
        <v>186</v>
      </c>
      <c r="C195" s="552">
        <f t="shared" si="8"/>
        <v>6484.8371618034544</v>
      </c>
      <c r="D195" s="552">
        <f t="shared" si="9"/>
        <v>2217.7966225500809</v>
      </c>
      <c r="E195" s="552">
        <f t="shared" si="10"/>
        <v>4267.0405392533739</v>
      </c>
      <c r="G195" s="552">
        <f t="shared" si="11"/>
        <v>920884.41074743844</v>
      </c>
    </row>
    <row r="196" spans="2:7" x14ac:dyDescent="0.3">
      <c r="B196" s="554">
        <v>187</v>
      </c>
      <c r="C196" s="552">
        <f t="shared" si="8"/>
        <v>6484.8371618034544</v>
      </c>
      <c r="D196" s="552">
        <f t="shared" si="9"/>
        <v>2207.5201665847121</v>
      </c>
      <c r="E196" s="552">
        <f t="shared" si="10"/>
        <v>4277.3169952187418</v>
      </c>
      <c r="G196" s="552">
        <f t="shared" si="11"/>
        <v>916617.37020818505</v>
      </c>
    </row>
    <row r="197" spans="2:7" x14ac:dyDescent="0.3">
      <c r="B197" s="554">
        <v>188</v>
      </c>
      <c r="C197" s="552">
        <f t="shared" si="8"/>
        <v>6484.8371618034544</v>
      </c>
      <c r="D197" s="552">
        <f t="shared" si="9"/>
        <v>2197.2189614878939</v>
      </c>
      <c r="E197" s="552">
        <f t="shared" si="10"/>
        <v>4287.6182003155609</v>
      </c>
      <c r="G197" s="552">
        <f t="shared" si="11"/>
        <v>912340.0532129663</v>
      </c>
    </row>
    <row r="198" spans="2:7" x14ac:dyDescent="0.3">
      <c r="B198" s="554">
        <v>189</v>
      </c>
      <c r="C198" s="552">
        <f t="shared" si="8"/>
        <v>6484.8371618034544</v>
      </c>
      <c r="D198" s="552">
        <f t="shared" si="9"/>
        <v>2186.8929476554672</v>
      </c>
      <c r="E198" s="552">
        <f t="shared" si="10"/>
        <v>4297.9442141479867</v>
      </c>
      <c r="G198" s="552">
        <f t="shared" si="11"/>
        <v>908052.43501265079</v>
      </c>
    </row>
    <row r="199" spans="2:7" x14ac:dyDescent="0.3">
      <c r="B199" s="554">
        <v>190</v>
      </c>
      <c r="C199" s="552">
        <f t="shared" si="8"/>
        <v>6484.8371618034544</v>
      </c>
      <c r="D199" s="552">
        <f t="shared" si="9"/>
        <v>2176.5420653397273</v>
      </c>
      <c r="E199" s="552">
        <f t="shared" si="10"/>
        <v>4308.2950964637275</v>
      </c>
      <c r="G199" s="552">
        <f t="shared" si="11"/>
        <v>903754.49079850281</v>
      </c>
    </row>
    <row r="200" spans="2:7" x14ac:dyDescent="0.3">
      <c r="B200" s="554">
        <v>191</v>
      </c>
      <c r="C200" s="552">
        <f t="shared" si="8"/>
        <v>6484.8371618034544</v>
      </c>
      <c r="D200" s="552">
        <f t="shared" si="9"/>
        <v>2166.1662546490775</v>
      </c>
      <c r="E200" s="552">
        <f t="shared" si="10"/>
        <v>4318.6709071543773</v>
      </c>
      <c r="G200" s="552">
        <f t="shared" si="11"/>
        <v>899446.19570203905</v>
      </c>
    </row>
    <row r="201" spans="2:7" x14ac:dyDescent="0.3">
      <c r="B201" s="554">
        <v>192</v>
      </c>
      <c r="C201" s="552">
        <f t="shared" si="8"/>
        <v>6484.8371618034544</v>
      </c>
      <c r="D201" s="552">
        <f t="shared" si="9"/>
        <v>2155.7654555476806</v>
      </c>
      <c r="E201" s="552">
        <f t="shared" si="10"/>
        <v>4329.0717062557742</v>
      </c>
      <c r="G201" s="552">
        <f t="shared" si="11"/>
        <v>895127.52479488472</v>
      </c>
    </row>
    <row r="202" spans="2:7" x14ac:dyDescent="0.3">
      <c r="B202" s="554">
        <v>193</v>
      </c>
      <c r="C202" s="552">
        <f t="shared" ref="C202:C265" si="12">IF($C$3&lt;G202+(G202*($C$4/$C$6)),$C$3,G202+(G202*($C$4/$C$6)))</f>
        <v>6484.8371618034544</v>
      </c>
      <c r="D202" s="552">
        <f t="shared" ref="D202:D265" si="13">G202*$C$4/$C$6</f>
        <v>2145.3396078551145</v>
      </c>
      <c r="E202" s="552">
        <f t="shared" ref="E202:E265" si="14">C202-D202</f>
        <v>4339.4975539483403</v>
      </c>
      <c r="G202" s="552">
        <f t="shared" si="11"/>
        <v>890798.45308862894</v>
      </c>
    </row>
    <row r="203" spans="2:7" x14ac:dyDescent="0.3">
      <c r="B203" s="554">
        <v>194</v>
      </c>
      <c r="C203" s="552">
        <f t="shared" si="12"/>
        <v>6484.8371618034544</v>
      </c>
      <c r="D203" s="552">
        <f t="shared" si="13"/>
        <v>2134.8886512460226</v>
      </c>
      <c r="E203" s="552">
        <f t="shared" si="14"/>
        <v>4349.9485105574313</v>
      </c>
      <c r="G203" s="552">
        <f t="shared" ref="G203:G266" si="15">G202-E202-F202</f>
        <v>886458.95553468063</v>
      </c>
    </row>
    <row r="204" spans="2:7" x14ac:dyDescent="0.3">
      <c r="B204" s="554">
        <v>195</v>
      </c>
      <c r="C204" s="552">
        <f t="shared" si="12"/>
        <v>6484.8371618034544</v>
      </c>
      <c r="D204" s="552">
        <f t="shared" si="13"/>
        <v>2124.4125252497633</v>
      </c>
      <c r="E204" s="552">
        <f t="shared" si="14"/>
        <v>4360.424636553691</v>
      </c>
      <c r="G204" s="552">
        <f t="shared" si="15"/>
        <v>882109.00702412322</v>
      </c>
    </row>
    <row r="205" spans="2:7" x14ac:dyDescent="0.3">
      <c r="B205" s="554">
        <v>196</v>
      </c>
      <c r="C205" s="552">
        <f t="shared" si="12"/>
        <v>6484.8371618034544</v>
      </c>
      <c r="D205" s="552">
        <f t="shared" si="13"/>
        <v>2113.9111692500633</v>
      </c>
      <c r="E205" s="552">
        <f t="shared" si="14"/>
        <v>4370.9259925533916</v>
      </c>
      <c r="G205" s="552">
        <f t="shared" si="15"/>
        <v>877748.58238756948</v>
      </c>
    </row>
    <row r="206" spans="2:7" x14ac:dyDescent="0.3">
      <c r="B206" s="554">
        <v>197</v>
      </c>
      <c r="C206" s="552">
        <f t="shared" si="12"/>
        <v>6484.8371618034544</v>
      </c>
      <c r="D206" s="552">
        <f t="shared" si="13"/>
        <v>2103.3845224846636</v>
      </c>
      <c r="E206" s="552">
        <f t="shared" si="14"/>
        <v>4381.4526393187907</v>
      </c>
      <c r="G206" s="552">
        <f t="shared" si="15"/>
        <v>873377.65639501612</v>
      </c>
    </row>
    <row r="207" spans="2:7" x14ac:dyDescent="0.3">
      <c r="B207" s="554">
        <v>198</v>
      </c>
      <c r="C207" s="552">
        <f t="shared" si="12"/>
        <v>6484.8371618034544</v>
      </c>
      <c r="D207" s="552">
        <f t="shared" si="13"/>
        <v>2092.8325240449708</v>
      </c>
      <c r="E207" s="552">
        <f t="shared" si="14"/>
        <v>4392.004637758484</v>
      </c>
      <c r="G207" s="552">
        <f t="shared" si="15"/>
        <v>868996.20375569735</v>
      </c>
    </row>
    <row r="208" spans="2:7" x14ac:dyDescent="0.3">
      <c r="B208" s="554">
        <v>199</v>
      </c>
      <c r="C208" s="552">
        <f t="shared" si="12"/>
        <v>6484.8371618034544</v>
      </c>
      <c r="D208" s="552">
        <f t="shared" si="13"/>
        <v>2082.2551128757027</v>
      </c>
      <c r="E208" s="552">
        <f t="shared" si="14"/>
        <v>4402.5820489277521</v>
      </c>
      <c r="G208" s="552">
        <f t="shared" si="15"/>
        <v>864604.19911793887</v>
      </c>
    </row>
    <row r="209" spans="2:7" x14ac:dyDescent="0.3">
      <c r="B209" s="554">
        <v>200</v>
      </c>
      <c r="C209" s="552">
        <f t="shared" si="12"/>
        <v>6484.8371618034544</v>
      </c>
      <c r="D209" s="552">
        <f t="shared" si="13"/>
        <v>2071.6522277745348</v>
      </c>
      <c r="E209" s="552">
        <f t="shared" si="14"/>
        <v>4413.1849340289191</v>
      </c>
      <c r="G209" s="552">
        <f t="shared" si="15"/>
        <v>860201.61706901109</v>
      </c>
    </row>
    <row r="210" spans="2:7" x14ac:dyDescent="0.3">
      <c r="B210" s="554">
        <v>201</v>
      </c>
      <c r="C210" s="552">
        <f t="shared" si="12"/>
        <v>6484.8371618034544</v>
      </c>
      <c r="D210" s="552">
        <f t="shared" si="13"/>
        <v>2061.0238073917485</v>
      </c>
      <c r="E210" s="552">
        <f t="shared" si="14"/>
        <v>4423.8133544117063</v>
      </c>
      <c r="G210" s="552">
        <f t="shared" si="15"/>
        <v>855788.4321349822</v>
      </c>
    </row>
    <row r="211" spans="2:7" x14ac:dyDescent="0.3">
      <c r="B211" s="554">
        <v>202</v>
      </c>
      <c r="C211" s="552">
        <f t="shared" si="12"/>
        <v>6484.8371618034544</v>
      </c>
      <c r="D211" s="552">
        <f t="shared" si="13"/>
        <v>2050.3697902298736</v>
      </c>
      <c r="E211" s="552">
        <f t="shared" si="14"/>
        <v>4434.4673715735807</v>
      </c>
      <c r="G211" s="552">
        <f t="shared" si="15"/>
        <v>851364.61878057045</v>
      </c>
    </row>
    <row r="212" spans="2:7" x14ac:dyDescent="0.3">
      <c r="B212" s="554">
        <v>203</v>
      </c>
      <c r="C212" s="552">
        <f t="shared" si="12"/>
        <v>6484.8371618034544</v>
      </c>
      <c r="D212" s="552">
        <f t="shared" si="13"/>
        <v>2039.690114643334</v>
      </c>
      <c r="E212" s="552">
        <f t="shared" si="14"/>
        <v>4445.1470471601206</v>
      </c>
      <c r="G212" s="552">
        <f t="shared" si="15"/>
        <v>846930.1514089969</v>
      </c>
    </row>
    <row r="213" spans="2:7" x14ac:dyDescent="0.3">
      <c r="B213" s="554">
        <v>204</v>
      </c>
      <c r="C213" s="552">
        <f t="shared" si="12"/>
        <v>6484.8371618034544</v>
      </c>
      <c r="D213" s="552">
        <f t="shared" si="13"/>
        <v>2028.9847188380902</v>
      </c>
      <c r="E213" s="552">
        <f t="shared" si="14"/>
        <v>4455.8524429653644</v>
      </c>
      <c r="G213" s="552">
        <f t="shared" si="15"/>
        <v>842485.00436183682</v>
      </c>
    </row>
    <row r="214" spans="2:7" x14ac:dyDescent="0.3">
      <c r="B214" s="554">
        <v>205</v>
      </c>
      <c r="C214" s="552">
        <f t="shared" si="12"/>
        <v>6484.8371618034544</v>
      </c>
      <c r="D214" s="552">
        <f t="shared" si="13"/>
        <v>2018.253540871282</v>
      </c>
      <c r="E214" s="552">
        <f t="shared" si="14"/>
        <v>4466.5836209321724</v>
      </c>
      <c r="G214" s="552">
        <f t="shared" si="15"/>
        <v>838029.15191887144</v>
      </c>
    </row>
    <row r="215" spans="2:7" x14ac:dyDescent="0.3">
      <c r="B215" s="554">
        <v>206</v>
      </c>
      <c r="C215" s="552">
        <f t="shared" si="12"/>
        <v>6484.8371618034544</v>
      </c>
      <c r="D215" s="552">
        <f t="shared" si="13"/>
        <v>2007.4965186508705</v>
      </c>
      <c r="E215" s="552">
        <f t="shared" si="14"/>
        <v>4477.3406431525837</v>
      </c>
      <c r="G215" s="552">
        <f t="shared" si="15"/>
        <v>833562.56829793926</v>
      </c>
    </row>
    <row r="216" spans="2:7" x14ac:dyDescent="0.3">
      <c r="B216" s="554">
        <v>207</v>
      </c>
      <c r="C216" s="552">
        <f t="shared" si="12"/>
        <v>6484.8371618034544</v>
      </c>
      <c r="D216" s="552">
        <f t="shared" si="13"/>
        <v>1996.7135899352779</v>
      </c>
      <c r="E216" s="552">
        <f t="shared" si="14"/>
        <v>4488.1235718681764</v>
      </c>
      <c r="G216" s="552">
        <f t="shared" si="15"/>
        <v>829085.22765478666</v>
      </c>
    </row>
    <row r="217" spans="2:7" x14ac:dyDescent="0.3">
      <c r="B217" s="554">
        <v>208</v>
      </c>
      <c r="C217" s="552">
        <f t="shared" si="12"/>
        <v>6484.8371618034544</v>
      </c>
      <c r="D217" s="552">
        <f t="shared" si="13"/>
        <v>1985.9046923330286</v>
      </c>
      <c r="E217" s="552">
        <f t="shared" si="14"/>
        <v>4498.9324694704255</v>
      </c>
      <c r="G217" s="552">
        <f t="shared" si="15"/>
        <v>824597.10408291849</v>
      </c>
    </row>
    <row r="218" spans="2:7" x14ac:dyDescent="0.3">
      <c r="B218" s="554">
        <v>209</v>
      </c>
      <c r="C218" s="552">
        <f t="shared" si="12"/>
        <v>6484.8371618034544</v>
      </c>
      <c r="D218" s="552">
        <f t="shared" si="13"/>
        <v>1975.0697633023874</v>
      </c>
      <c r="E218" s="552">
        <f t="shared" si="14"/>
        <v>4509.767398501067</v>
      </c>
      <c r="G218" s="552">
        <f t="shared" si="15"/>
        <v>820098.17161344807</v>
      </c>
    </row>
    <row r="219" spans="2:7" x14ac:dyDescent="0.3">
      <c r="B219" s="554">
        <v>210</v>
      </c>
      <c r="C219" s="552">
        <f t="shared" si="12"/>
        <v>6484.8371618034544</v>
      </c>
      <c r="D219" s="552">
        <f t="shared" si="13"/>
        <v>1964.2087401509973</v>
      </c>
      <c r="E219" s="552">
        <f t="shared" si="14"/>
        <v>4520.6284216524573</v>
      </c>
      <c r="G219" s="552">
        <f t="shared" si="15"/>
        <v>815588.40421494702</v>
      </c>
    </row>
    <row r="220" spans="2:7" x14ac:dyDescent="0.3">
      <c r="B220" s="554">
        <v>211</v>
      </c>
      <c r="C220" s="552">
        <f t="shared" si="12"/>
        <v>6484.8371618034544</v>
      </c>
      <c r="D220" s="552">
        <f t="shared" si="13"/>
        <v>1953.3215600355177</v>
      </c>
      <c r="E220" s="552">
        <f t="shared" si="14"/>
        <v>4531.5156017679365</v>
      </c>
      <c r="G220" s="552">
        <f t="shared" si="15"/>
        <v>811067.77579329454</v>
      </c>
    </row>
    <row r="221" spans="2:7" x14ac:dyDescent="0.3">
      <c r="B221" s="554">
        <v>212</v>
      </c>
      <c r="C221" s="552">
        <f t="shared" si="12"/>
        <v>6484.8371618034544</v>
      </c>
      <c r="D221" s="552">
        <f t="shared" si="13"/>
        <v>1942.4081599612598</v>
      </c>
      <c r="E221" s="552">
        <f t="shared" si="14"/>
        <v>4542.4290018421943</v>
      </c>
      <c r="G221" s="552">
        <f t="shared" si="15"/>
        <v>806536.26019152661</v>
      </c>
    </row>
    <row r="222" spans="2:7" x14ac:dyDescent="0.3">
      <c r="B222" s="554">
        <v>213</v>
      </c>
      <c r="C222" s="552">
        <f t="shared" si="12"/>
        <v>6484.8371618034544</v>
      </c>
      <c r="D222" s="552">
        <f t="shared" si="13"/>
        <v>1931.4684767818233</v>
      </c>
      <c r="E222" s="552">
        <f t="shared" si="14"/>
        <v>4553.3686850216309</v>
      </c>
      <c r="G222" s="552">
        <f t="shared" si="15"/>
        <v>801993.83118968445</v>
      </c>
    </row>
    <row r="223" spans="2:7" x14ac:dyDescent="0.3">
      <c r="B223" s="554">
        <v>214</v>
      </c>
      <c r="C223" s="552">
        <f t="shared" si="12"/>
        <v>6484.8371618034544</v>
      </c>
      <c r="D223" s="552">
        <f t="shared" si="13"/>
        <v>1920.5024471987297</v>
      </c>
      <c r="E223" s="552">
        <f t="shared" si="14"/>
        <v>4564.3347146047245</v>
      </c>
      <c r="G223" s="552">
        <f t="shared" si="15"/>
        <v>797440.46250466281</v>
      </c>
    </row>
    <row r="224" spans="2:7" x14ac:dyDescent="0.3">
      <c r="B224" s="554">
        <v>215</v>
      </c>
      <c r="C224" s="552">
        <f t="shared" si="12"/>
        <v>6484.8371618034544</v>
      </c>
      <c r="D224" s="552">
        <f t="shared" si="13"/>
        <v>1909.5100077610562</v>
      </c>
      <c r="E224" s="552">
        <f t="shared" si="14"/>
        <v>4575.3271540423984</v>
      </c>
      <c r="G224" s="552">
        <f t="shared" si="15"/>
        <v>792876.12779005803</v>
      </c>
    </row>
    <row r="225" spans="2:7" x14ac:dyDescent="0.3">
      <c r="B225" s="554">
        <v>216</v>
      </c>
      <c r="C225" s="552">
        <f t="shared" si="12"/>
        <v>6484.8371618034544</v>
      </c>
      <c r="D225" s="552">
        <f t="shared" si="13"/>
        <v>1898.4910948650706</v>
      </c>
      <c r="E225" s="552">
        <f t="shared" si="14"/>
        <v>4586.346066938384</v>
      </c>
      <c r="G225" s="552">
        <f t="shared" si="15"/>
        <v>788300.8006360156</v>
      </c>
    </row>
    <row r="226" spans="2:7" x14ac:dyDescent="0.3">
      <c r="B226" s="554">
        <v>217</v>
      </c>
      <c r="C226" s="552">
        <f t="shared" si="12"/>
        <v>6484.8371618034544</v>
      </c>
      <c r="D226" s="552">
        <f t="shared" si="13"/>
        <v>1887.4456447538607</v>
      </c>
      <c r="E226" s="552">
        <f t="shared" si="14"/>
        <v>4597.3915170495939</v>
      </c>
      <c r="G226" s="552">
        <f t="shared" si="15"/>
        <v>783714.45456907724</v>
      </c>
    </row>
    <row r="227" spans="2:7" x14ac:dyDescent="0.3">
      <c r="B227" s="554">
        <v>218</v>
      </c>
      <c r="C227" s="552">
        <f t="shared" si="12"/>
        <v>6484.8371618034544</v>
      </c>
      <c r="D227" s="552">
        <f t="shared" si="13"/>
        <v>1876.3735935169664</v>
      </c>
      <c r="E227" s="552">
        <f t="shared" si="14"/>
        <v>4608.4635682864882</v>
      </c>
      <c r="G227" s="552">
        <f t="shared" si="15"/>
        <v>779117.0630520276</v>
      </c>
    </row>
    <row r="228" spans="2:7" x14ac:dyDescent="0.3">
      <c r="B228" s="554">
        <v>219</v>
      </c>
      <c r="C228" s="552">
        <f t="shared" si="12"/>
        <v>6484.8371618034544</v>
      </c>
      <c r="D228" s="552">
        <f t="shared" si="13"/>
        <v>1865.2748770900098</v>
      </c>
      <c r="E228" s="552">
        <f t="shared" si="14"/>
        <v>4619.5622847134446</v>
      </c>
      <c r="G228" s="552">
        <f t="shared" si="15"/>
        <v>774508.5994837411</v>
      </c>
    </row>
    <row r="229" spans="2:7" x14ac:dyDescent="0.3">
      <c r="B229" s="554">
        <v>220</v>
      </c>
      <c r="C229" s="552">
        <f t="shared" si="12"/>
        <v>6484.8371618034544</v>
      </c>
      <c r="D229" s="552">
        <f t="shared" si="13"/>
        <v>1854.1494312543248</v>
      </c>
      <c r="E229" s="552">
        <f t="shared" si="14"/>
        <v>4630.6877305491298</v>
      </c>
      <c r="G229" s="552">
        <f t="shared" si="15"/>
        <v>769889.0371990276</v>
      </c>
    </row>
    <row r="230" spans="2:7" x14ac:dyDescent="0.3">
      <c r="B230" s="554">
        <v>221</v>
      </c>
      <c r="C230" s="552">
        <f t="shared" si="12"/>
        <v>6484.8371618034544</v>
      </c>
      <c r="D230" s="552">
        <f t="shared" si="13"/>
        <v>1842.9971916365855</v>
      </c>
      <c r="E230" s="552">
        <f t="shared" si="14"/>
        <v>4641.8399701668686</v>
      </c>
      <c r="G230" s="552">
        <f t="shared" si="15"/>
        <v>765258.34946847847</v>
      </c>
    </row>
    <row r="231" spans="2:7" x14ac:dyDescent="0.3">
      <c r="B231" s="554">
        <v>222</v>
      </c>
      <c r="C231" s="552">
        <f t="shared" si="12"/>
        <v>6484.8371618034544</v>
      </c>
      <c r="D231" s="552">
        <f t="shared" si="13"/>
        <v>1831.8180937084335</v>
      </c>
      <c r="E231" s="552">
        <f t="shared" si="14"/>
        <v>4653.0190680950209</v>
      </c>
      <c r="G231" s="552">
        <f t="shared" si="15"/>
        <v>760616.50949831156</v>
      </c>
    </row>
    <row r="232" spans="2:7" x14ac:dyDescent="0.3">
      <c r="B232" s="554">
        <v>223</v>
      </c>
      <c r="C232" s="552">
        <f t="shared" si="12"/>
        <v>6484.8371618034544</v>
      </c>
      <c r="D232" s="552">
        <f t="shared" si="13"/>
        <v>1820.6120727861046</v>
      </c>
      <c r="E232" s="552">
        <f t="shared" si="14"/>
        <v>4664.22508901735</v>
      </c>
      <c r="G232" s="552">
        <f t="shared" si="15"/>
        <v>755963.49043021654</v>
      </c>
    </row>
    <row r="233" spans="2:7" x14ac:dyDescent="0.3">
      <c r="B233" s="554">
        <v>224</v>
      </c>
      <c r="C233" s="552">
        <f t="shared" si="12"/>
        <v>6484.8371618034544</v>
      </c>
      <c r="D233" s="552">
        <f t="shared" si="13"/>
        <v>1809.3790640300547</v>
      </c>
      <c r="E233" s="552">
        <f t="shared" si="14"/>
        <v>4675.4580977733995</v>
      </c>
      <c r="G233" s="552">
        <f t="shared" si="15"/>
        <v>751299.26534119924</v>
      </c>
    </row>
    <row r="234" spans="2:7" x14ac:dyDescent="0.3">
      <c r="B234" s="554">
        <v>225</v>
      </c>
      <c r="C234" s="552">
        <f t="shared" si="12"/>
        <v>6484.8371618034544</v>
      </c>
      <c r="D234" s="552">
        <f t="shared" si="13"/>
        <v>1798.1190024445839</v>
      </c>
      <c r="E234" s="552">
        <f t="shared" si="14"/>
        <v>4686.7181593588703</v>
      </c>
      <c r="G234" s="552">
        <f t="shared" si="15"/>
        <v>746623.80724342586</v>
      </c>
    </row>
    <row r="235" spans="2:7" x14ac:dyDescent="0.3">
      <c r="B235" s="554">
        <v>226</v>
      </c>
      <c r="C235" s="552">
        <f t="shared" si="12"/>
        <v>6484.8371618034544</v>
      </c>
      <c r="D235" s="552">
        <f t="shared" si="13"/>
        <v>1786.8318228774615</v>
      </c>
      <c r="E235" s="552">
        <f t="shared" si="14"/>
        <v>4698.0053389259929</v>
      </c>
      <c r="G235" s="552">
        <f t="shared" si="15"/>
        <v>741937.08908406703</v>
      </c>
    </row>
    <row r="236" spans="2:7" x14ac:dyDescent="0.3">
      <c r="B236" s="554">
        <v>227</v>
      </c>
      <c r="C236" s="552">
        <f t="shared" si="12"/>
        <v>6484.8371618034544</v>
      </c>
      <c r="D236" s="552">
        <f t="shared" si="13"/>
        <v>1775.5174600195478</v>
      </c>
      <c r="E236" s="552">
        <f t="shared" si="14"/>
        <v>4709.3197017839066</v>
      </c>
      <c r="G236" s="552">
        <f t="shared" si="15"/>
        <v>737239.08374514105</v>
      </c>
    </row>
    <row r="237" spans="2:7" x14ac:dyDescent="0.3">
      <c r="B237" s="554">
        <v>228</v>
      </c>
      <c r="C237" s="552">
        <f t="shared" si="12"/>
        <v>6484.8371618034544</v>
      </c>
      <c r="D237" s="552">
        <f t="shared" si="13"/>
        <v>1764.1758484044183</v>
      </c>
      <c r="E237" s="552">
        <f t="shared" si="14"/>
        <v>4720.6613133990359</v>
      </c>
      <c r="G237" s="552">
        <f t="shared" si="15"/>
        <v>732529.76404335711</v>
      </c>
    </row>
    <row r="238" spans="2:7" x14ac:dyDescent="0.3">
      <c r="B238" s="554">
        <v>229</v>
      </c>
      <c r="C238" s="552">
        <f t="shared" si="12"/>
        <v>6484.8371618034544</v>
      </c>
      <c r="D238" s="552">
        <f t="shared" si="13"/>
        <v>1752.806922407982</v>
      </c>
      <c r="E238" s="552">
        <f t="shared" si="14"/>
        <v>4732.0302393954726</v>
      </c>
      <c r="G238" s="552">
        <f t="shared" si="15"/>
        <v>727809.10272995802</v>
      </c>
    </row>
    <row r="239" spans="2:7" x14ac:dyDescent="0.3">
      <c r="B239" s="554">
        <v>230</v>
      </c>
      <c r="C239" s="552">
        <f t="shared" si="12"/>
        <v>6484.8371618034544</v>
      </c>
      <c r="D239" s="552">
        <f t="shared" si="13"/>
        <v>1741.4106162481048</v>
      </c>
      <c r="E239" s="552">
        <f t="shared" si="14"/>
        <v>4743.4265455553495</v>
      </c>
      <c r="G239" s="552">
        <f t="shared" si="15"/>
        <v>723077.07249056257</v>
      </c>
    </row>
    <row r="240" spans="2:7" x14ac:dyDescent="0.3">
      <c r="B240" s="554">
        <v>231</v>
      </c>
      <c r="C240" s="552">
        <f t="shared" si="12"/>
        <v>6484.8371618034544</v>
      </c>
      <c r="D240" s="552">
        <f t="shared" si="13"/>
        <v>1729.9868639842255</v>
      </c>
      <c r="E240" s="552">
        <f t="shared" si="14"/>
        <v>4754.8502978192291</v>
      </c>
      <c r="G240" s="552">
        <f t="shared" si="15"/>
        <v>718333.64594500721</v>
      </c>
    </row>
    <row r="241" spans="2:7" x14ac:dyDescent="0.3">
      <c r="B241" s="554">
        <v>232</v>
      </c>
      <c r="C241" s="552">
        <f t="shared" si="12"/>
        <v>6484.8371618034544</v>
      </c>
      <c r="D241" s="552">
        <f t="shared" si="13"/>
        <v>1718.5355995169775</v>
      </c>
      <c r="E241" s="552">
        <f t="shared" si="14"/>
        <v>4766.3015622864768</v>
      </c>
      <c r="G241" s="552">
        <f t="shared" si="15"/>
        <v>713578.79564718797</v>
      </c>
    </row>
    <row r="242" spans="2:7" x14ac:dyDescent="0.3">
      <c r="B242" s="554">
        <v>233</v>
      </c>
      <c r="C242" s="552">
        <f t="shared" si="12"/>
        <v>6484.8371618034544</v>
      </c>
      <c r="D242" s="552">
        <f t="shared" si="13"/>
        <v>1707.0567565878046</v>
      </c>
      <c r="E242" s="552">
        <f t="shared" si="14"/>
        <v>4777.7804052156498</v>
      </c>
      <c r="G242" s="552">
        <f t="shared" si="15"/>
        <v>708812.49408490153</v>
      </c>
    </row>
    <row r="243" spans="2:7" x14ac:dyDescent="0.3">
      <c r="B243" s="554">
        <v>234</v>
      </c>
      <c r="C243" s="552">
        <f t="shared" si="12"/>
        <v>6484.8371618034544</v>
      </c>
      <c r="D243" s="552">
        <f t="shared" si="13"/>
        <v>1695.5502687785765</v>
      </c>
      <c r="E243" s="552">
        <f t="shared" si="14"/>
        <v>4789.2868930248778</v>
      </c>
      <c r="G243" s="552">
        <f t="shared" si="15"/>
        <v>704034.71367968584</v>
      </c>
    </row>
    <row r="244" spans="2:7" x14ac:dyDescent="0.3">
      <c r="B244" s="554">
        <v>235</v>
      </c>
      <c r="C244" s="552">
        <f t="shared" si="12"/>
        <v>6484.8371618034544</v>
      </c>
      <c r="D244" s="552">
        <f t="shared" si="13"/>
        <v>1684.0160695112083</v>
      </c>
      <c r="E244" s="552">
        <f t="shared" si="14"/>
        <v>4800.8210922922462</v>
      </c>
      <c r="G244" s="552">
        <f t="shared" si="15"/>
        <v>699245.42678666092</v>
      </c>
    </row>
    <row r="245" spans="2:7" x14ac:dyDescent="0.3">
      <c r="B245" s="554">
        <v>236</v>
      </c>
      <c r="C245" s="552">
        <f t="shared" si="12"/>
        <v>6484.8371618034544</v>
      </c>
      <c r="D245" s="552">
        <f t="shared" si="13"/>
        <v>1672.4540920472712</v>
      </c>
      <c r="E245" s="552">
        <f t="shared" si="14"/>
        <v>4812.3830697561834</v>
      </c>
      <c r="G245" s="552">
        <f t="shared" si="15"/>
        <v>694444.60569436871</v>
      </c>
    </row>
    <row r="246" spans="2:7" x14ac:dyDescent="0.3">
      <c r="B246" s="554">
        <v>237</v>
      </c>
      <c r="C246" s="552">
        <f t="shared" si="12"/>
        <v>6484.8371618034544</v>
      </c>
      <c r="D246" s="552">
        <f t="shared" si="13"/>
        <v>1660.8642694876082</v>
      </c>
      <c r="E246" s="552">
        <f t="shared" si="14"/>
        <v>4823.9728923158464</v>
      </c>
      <c r="G246" s="552">
        <f t="shared" si="15"/>
        <v>689632.22262461251</v>
      </c>
    </row>
    <row r="247" spans="2:7" x14ac:dyDescent="0.3">
      <c r="B247" s="554">
        <v>238</v>
      </c>
      <c r="C247" s="552">
        <f t="shared" si="12"/>
        <v>6484.8371618034544</v>
      </c>
      <c r="D247" s="552">
        <f t="shared" si="13"/>
        <v>1649.2465347719478</v>
      </c>
      <c r="E247" s="552">
        <f t="shared" si="14"/>
        <v>4835.5906270315063</v>
      </c>
      <c r="G247" s="552">
        <f t="shared" si="15"/>
        <v>684808.24973229668</v>
      </c>
    </row>
    <row r="248" spans="2:7" x14ac:dyDescent="0.3">
      <c r="B248" s="554">
        <v>239</v>
      </c>
      <c r="C248" s="552">
        <f t="shared" si="12"/>
        <v>6484.8371618034544</v>
      </c>
      <c r="D248" s="552">
        <f t="shared" si="13"/>
        <v>1637.6008206785136</v>
      </c>
      <c r="E248" s="552">
        <f t="shared" si="14"/>
        <v>4847.2363411249407</v>
      </c>
      <c r="G248" s="552">
        <f t="shared" si="15"/>
        <v>679972.65910526516</v>
      </c>
    </row>
    <row r="249" spans="2:7" x14ac:dyDescent="0.3">
      <c r="B249" s="554">
        <v>240</v>
      </c>
      <c r="C249" s="552">
        <f t="shared" si="12"/>
        <v>6484.8371618034544</v>
      </c>
      <c r="D249" s="552">
        <f t="shared" si="13"/>
        <v>1625.9270598236374</v>
      </c>
      <c r="E249" s="552">
        <f t="shared" si="14"/>
        <v>4858.9101019798172</v>
      </c>
      <c r="G249" s="552">
        <f t="shared" si="15"/>
        <v>675125.42276414018</v>
      </c>
    </row>
    <row r="250" spans="2:7" x14ac:dyDescent="0.3">
      <c r="B250" s="554">
        <v>241</v>
      </c>
      <c r="C250" s="552">
        <f t="shared" si="12"/>
        <v>6484.8371618034544</v>
      </c>
      <c r="D250" s="552">
        <f t="shared" si="13"/>
        <v>1614.2251846613692</v>
      </c>
      <c r="E250" s="552">
        <f t="shared" si="14"/>
        <v>4870.6119771420854</v>
      </c>
      <c r="G250" s="552">
        <f t="shared" si="15"/>
        <v>670266.51266216033</v>
      </c>
    </row>
    <row r="251" spans="2:7" x14ac:dyDescent="0.3">
      <c r="B251" s="554">
        <v>242</v>
      </c>
      <c r="C251" s="552">
        <f t="shared" si="12"/>
        <v>6484.8371618034544</v>
      </c>
      <c r="D251" s="552">
        <f t="shared" si="13"/>
        <v>1602.4951274830855</v>
      </c>
      <c r="E251" s="552">
        <f t="shared" si="14"/>
        <v>4882.3420343203688</v>
      </c>
      <c r="G251" s="552">
        <f t="shared" si="15"/>
        <v>665395.90068501828</v>
      </c>
    </row>
    <row r="252" spans="2:7" x14ac:dyDescent="0.3">
      <c r="B252" s="554">
        <v>243</v>
      </c>
      <c r="C252" s="552">
        <f t="shared" si="12"/>
        <v>6484.8371618034544</v>
      </c>
      <c r="D252" s="552">
        <f t="shared" si="13"/>
        <v>1590.7368204170973</v>
      </c>
      <c r="E252" s="552">
        <f t="shared" si="14"/>
        <v>4894.1003413863573</v>
      </c>
      <c r="G252" s="552">
        <f t="shared" si="15"/>
        <v>660513.55865069793</v>
      </c>
    </row>
    <row r="253" spans="2:7" x14ac:dyDescent="0.3">
      <c r="B253" s="554">
        <v>244</v>
      </c>
      <c r="C253" s="552">
        <f t="shared" si="12"/>
        <v>6484.8371618034544</v>
      </c>
      <c r="D253" s="552">
        <f t="shared" si="13"/>
        <v>1578.9501954282587</v>
      </c>
      <c r="E253" s="552">
        <f t="shared" si="14"/>
        <v>4905.8869663751957</v>
      </c>
      <c r="G253" s="552">
        <f t="shared" si="15"/>
        <v>655619.45830931154</v>
      </c>
    </row>
    <row r="254" spans="2:7" x14ac:dyDescent="0.3">
      <c r="B254" s="554">
        <v>245</v>
      </c>
      <c r="C254" s="552">
        <f t="shared" si="12"/>
        <v>6484.8371618034544</v>
      </c>
      <c r="D254" s="552">
        <f t="shared" si="13"/>
        <v>1567.1351843175717</v>
      </c>
      <c r="E254" s="552">
        <f t="shared" si="14"/>
        <v>4917.7019774858827</v>
      </c>
      <c r="G254" s="552">
        <f t="shared" si="15"/>
        <v>650713.57134293637</v>
      </c>
    </row>
    <row r="255" spans="2:7" x14ac:dyDescent="0.3">
      <c r="B255" s="554">
        <v>246</v>
      </c>
      <c r="C255" s="552">
        <f t="shared" si="12"/>
        <v>6484.8371618034544</v>
      </c>
      <c r="D255" s="552">
        <f t="shared" si="13"/>
        <v>1555.2917187217929</v>
      </c>
      <c r="E255" s="552">
        <f t="shared" si="14"/>
        <v>4929.5454430816617</v>
      </c>
      <c r="G255" s="552">
        <f t="shared" si="15"/>
        <v>645795.86936545046</v>
      </c>
    </row>
    <row r="256" spans="2:7" x14ac:dyDescent="0.3">
      <c r="B256" s="554">
        <v>247</v>
      </c>
      <c r="C256" s="552">
        <f t="shared" si="12"/>
        <v>6484.8371618034544</v>
      </c>
      <c r="D256" s="552">
        <f t="shared" si="13"/>
        <v>1543.4197301130382</v>
      </c>
      <c r="E256" s="552">
        <f t="shared" si="14"/>
        <v>4941.4174316904164</v>
      </c>
      <c r="G256" s="552">
        <f t="shared" si="15"/>
        <v>640866.32392236881</v>
      </c>
    </row>
    <row r="257" spans="2:7" x14ac:dyDescent="0.3">
      <c r="B257" s="554">
        <v>248</v>
      </c>
      <c r="C257" s="552">
        <f t="shared" si="12"/>
        <v>6484.8371618034544</v>
      </c>
      <c r="D257" s="552">
        <f t="shared" si="13"/>
        <v>1531.519149798384</v>
      </c>
      <c r="E257" s="552">
        <f t="shared" si="14"/>
        <v>4953.3180120050702</v>
      </c>
      <c r="G257" s="552">
        <f t="shared" si="15"/>
        <v>635924.90649067843</v>
      </c>
    </row>
    <row r="258" spans="2:7" x14ac:dyDescent="0.3">
      <c r="B258" s="554">
        <v>249</v>
      </c>
      <c r="C258" s="552">
        <f t="shared" si="12"/>
        <v>6484.8371618034544</v>
      </c>
      <c r="D258" s="552">
        <f t="shared" si="13"/>
        <v>1519.5899089194716</v>
      </c>
      <c r="E258" s="552">
        <f t="shared" si="14"/>
        <v>4965.2472528839826</v>
      </c>
      <c r="G258" s="552">
        <f t="shared" si="15"/>
        <v>630971.58847867337</v>
      </c>
    </row>
    <row r="259" spans="2:7" x14ac:dyDescent="0.3">
      <c r="B259" s="554">
        <v>250</v>
      </c>
      <c r="C259" s="552">
        <f t="shared" si="12"/>
        <v>6484.8371618034544</v>
      </c>
      <c r="D259" s="552">
        <f t="shared" si="13"/>
        <v>1507.6319384521094</v>
      </c>
      <c r="E259" s="552">
        <f t="shared" si="14"/>
        <v>4977.205223351345</v>
      </c>
      <c r="G259" s="552">
        <f t="shared" si="15"/>
        <v>626006.34122578939</v>
      </c>
    </row>
    <row r="260" spans="2:7" x14ac:dyDescent="0.3">
      <c r="B260" s="554">
        <v>251</v>
      </c>
      <c r="C260" s="552">
        <f t="shared" si="12"/>
        <v>6484.8371618034544</v>
      </c>
      <c r="D260" s="552">
        <f t="shared" si="13"/>
        <v>1495.6451692058715</v>
      </c>
      <c r="E260" s="552">
        <f t="shared" si="14"/>
        <v>4989.1919925975826</v>
      </c>
      <c r="G260" s="552">
        <f t="shared" si="15"/>
        <v>621029.13600243803</v>
      </c>
    </row>
    <row r="261" spans="2:7" x14ac:dyDescent="0.3">
      <c r="B261" s="554">
        <v>252</v>
      </c>
      <c r="C261" s="552">
        <f t="shared" si="12"/>
        <v>6484.8371618034544</v>
      </c>
      <c r="D261" s="552">
        <f t="shared" si="13"/>
        <v>1483.6295318236992</v>
      </c>
      <c r="E261" s="552">
        <f t="shared" si="14"/>
        <v>5001.2076299797554</v>
      </c>
      <c r="G261" s="552">
        <f t="shared" si="15"/>
        <v>616039.94400984049</v>
      </c>
    </row>
    <row r="262" spans="2:7" x14ac:dyDescent="0.3">
      <c r="B262" s="554">
        <v>253</v>
      </c>
      <c r="C262" s="552">
        <f t="shared" si="12"/>
        <v>6484.8371618034544</v>
      </c>
      <c r="D262" s="552">
        <f t="shared" si="13"/>
        <v>1471.5849567814978</v>
      </c>
      <c r="E262" s="552">
        <f t="shared" si="14"/>
        <v>5013.2522050219568</v>
      </c>
      <c r="G262" s="552">
        <f t="shared" si="15"/>
        <v>611038.73637986078</v>
      </c>
    </row>
    <row r="263" spans="2:7" x14ac:dyDescent="0.3">
      <c r="B263" s="554">
        <v>254</v>
      </c>
      <c r="C263" s="552">
        <f t="shared" si="12"/>
        <v>6484.8371618034544</v>
      </c>
      <c r="D263" s="552">
        <f t="shared" si="13"/>
        <v>1459.5113743877371</v>
      </c>
      <c r="E263" s="552">
        <f t="shared" si="14"/>
        <v>5025.3257874157171</v>
      </c>
      <c r="G263" s="552">
        <f t="shared" si="15"/>
        <v>606025.48417483887</v>
      </c>
    </row>
    <row r="264" spans="2:7" x14ac:dyDescent="0.3">
      <c r="B264" s="554">
        <v>255</v>
      </c>
      <c r="C264" s="552">
        <f t="shared" si="12"/>
        <v>6484.8371618034544</v>
      </c>
      <c r="D264" s="552">
        <f t="shared" si="13"/>
        <v>1447.4087147830439</v>
      </c>
      <c r="E264" s="552">
        <f t="shared" si="14"/>
        <v>5037.4284470204102</v>
      </c>
      <c r="G264" s="552">
        <f t="shared" si="15"/>
        <v>601000.15838742314</v>
      </c>
    </row>
    <row r="265" spans="2:7" x14ac:dyDescent="0.3">
      <c r="B265" s="554">
        <v>256</v>
      </c>
      <c r="C265" s="552">
        <f t="shared" si="12"/>
        <v>6484.8371618034544</v>
      </c>
      <c r="D265" s="552">
        <f t="shared" si="13"/>
        <v>1435.2769079398033</v>
      </c>
      <c r="E265" s="552">
        <f t="shared" si="14"/>
        <v>5049.5602538636513</v>
      </c>
      <c r="G265" s="552">
        <f t="shared" si="15"/>
        <v>595962.72994040279</v>
      </c>
    </row>
    <row r="266" spans="2:7" x14ac:dyDescent="0.3">
      <c r="B266" s="554">
        <v>257</v>
      </c>
      <c r="C266" s="552">
        <f t="shared" ref="C266:C329" si="16">IF($C$3&lt;G266+(G266*($C$4/$C$6)),$C$3,G266+(G266*($C$4/$C$6)))</f>
        <v>6484.8371618034544</v>
      </c>
      <c r="D266" s="552">
        <f t="shared" ref="D266:D329" si="17">G266*$C$4/$C$6</f>
        <v>1423.1158836617481</v>
      </c>
      <c r="E266" s="552">
        <f t="shared" ref="E266:E329" si="18">C266-D266</f>
        <v>5061.7212781417065</v>
      </c>
      <c r="G266" s="552">
        <f t="shared" si="15"/>
        <v>590913.1696865391</v>
      </c>
    </row>
    <row r="267" spans="2:7" x14ac:dyDescent="0.3">
      <c r="B267" s="554">
        <v>258</v>
      </c>
      <c r="C267" s="552">
        <f t="shared" si="16"/>
        <v>6484.8371618034544</v>
      </c>
      <c r="D267" s="552">
        <f t="shared" si="17"/>
        <v>1410.925571583557</v>
      </c>
      <c r="E267" s="552">
        <f t="shared" si="18"/>
        <v>5073.9115902198973</v>
      </c>
      <c r="G267" s="552">
        <f t="shared" ref="G267:G330" si="19">G266-E266-F266</f>
        <v>585851.44840839738</v>
      </c>
    </row>
    <row r="268" spans="2:7" x14ac:dyDescent="0.3">
      <c r="B268" s="554">
        <v>259</v>
      </c>
      <c r="C268" s="552">
        <f t="shared" si="16"/>
        <v>6484.8371618034544</v>
      </c>
      <c r="D268" s="552">
        <f t="shared" si="17"/>
        <v>1398.7059011704439</v>
      </c>
      <c r="E268" s="552">
        <f t="shared" si="18"/>
        <v>5086.1312606330102</v>
      </c>
      <c r="G268" s="552">
        <f t="shared" si="19"/>
        <v>580777.53681817744</v>
      </c>
    </row>
    <row r="269" spans="2:7" x14ac:dyDescent="0.3">
      <c r="B269" s="554">
        <v>260</v>
      </c>
      <c r="C269" s="552">
        <f t="shared" si="16"/>
        <v>6484.8371618034544</v>
      </c>
      <c r="D269" s="552">
        <f t="shared" si="17"/>
        <v>1386.4568017177528</v>
      </c>
      <c r="E269" s="552">
        <f t="shared" si="18"/>
        <v>5098.3803600857018</v>
      </c>
      <c r="G269" s="552">
        <f t="shared" si="19"/>
        <v>575691.40555754444</v>
      </c>
    </row>
    <row r="270" spans="2:7" x14ac:dyDescent="0.3">
      <c r="B270" s="554">
        <v>261</v>
      </c>
      <c r="C270" s="552">
        <f t="shared" si="16"/>
        <v>6484.8371618034544</v>
      </c>
      <c r="D270" s="552">
        <f t="shared" si="17"/>
        <v>1374.1782023505464</v>
      </c>
      <c r="E270" s="552">
        <f t="shared" si="18"/>
        <v>5110.6589594529078</v>
      </c>
      <c r="G270" s="552">
        <f t="shared" si="19"/>
        <v>570593.02519745869</v>
      </c>
    </row>
    <row r="271" spans="2:7" x14ac:dyDescent="0.3">
      <c r="B271" s="554">
        <v>262</v>
      </c>
      <c r="C271" s="552">
        <f t="shared" si="16"/>
        <v>6484.8371618034544</v>
      </c>
      <c r="D271" s="552">
        <f t="shared" si="17"/>
        <v>1361.8700320231972</v>
      </c>
      <c r="E271" s="552">
        <f t="shared" si="18"/>
        <v>5122.967129780257</v>
      </c>
      <c r="G271" s="552">
        <f t="shared" si="19"/>
        <v>565482.36623800581</v>
      </c>
    </row>
    <row r="272" spans="2:7" x14ac:dyDescent="0.3">
      <c r="B272" s="554">
        <v>263</v>
      </c>
      <c r="C272" s="552">
        <f t="shared" si="16"/>
        <v>6484.8371618034544</v>
      </c>
      <c r="D272" s="552">
        <f t="shared" si="17"/>
        <v>1349.5322195189767</v>
      </c>
      <c r="E272" s="552">
        <f t="shared" si="18"/>
        <v>5135.3049422844779</v>
      </c>
      <c r="G272" s="552">
        <f t="shared" si="19"/>
        <v>560359.3991082256</v>
      </c>
    </row>
    <row r="273" spans="2:7" x14ac:dyDescent="0.3">
      <c r="B273" s="554">
        <v>264</v>
      </c>
      <c r="C273" s="552">
        <f t="shared" si="16"/>
        <v>6484.8371618034544</v>
      </c>
      <c r="D273" s="552">
        <f t="shared" si="17"/>
        <v>1337.1646934496414</v>
      </c>
      <c r="E273" s="552">
        <f t="shared" si="18"/>
        <v>5147.6724683538132</v>
      </c>
      <c r="G273" s="552">
        <f t="shared" si="19"/>
        <v>555224.09416594112</v>
      </c>
    </row>
    <row r="274" spans="2:7" x14ac:dyDescent="0.3">
      <c r="B274" s="554">
        <v>265</v>
      </c>
      <c r="C274" s="552">
        <f t="shared" si="16"/>
        <v>6484.8371618034544</v>
      </c>
      <c r="D274" s="552">
        <f t="shared" si="17"/>
        <v>1324.7673822550228</v>
      </c>
      <c r="E274" s="552">
        <f t="shared" si="18"/>
        <v>5160.0697795484321</v>
      </c>
      <c r="G274" s="552">
        <f t="shared" si="19"/>
        <v>550076.42169758736</v>
      </c>
    </row>
    <row r="275" spans="2:7" x14ac:dyDescent="0.3">
      <c r="B275" s="554">
        <v>266</v>
      </c>
      <c r="C275" s="552">
        <f t="shared" si="16"/>
        <v>6484.8371618034544</v>
      </c>
      <c r="D275" s="552">
        <f t="shared" si="17"/>
        <v>1312.3402142026102</v>
      </c>
      <c r="E275" s="552">
        <f t="shared" si="18"/>
        <v>5172.4969476008446</v>
      </c>
      <c r="G275" s="552">
        <f t="shared" si="19"/>
        <v>544916.35191803891</v>
      </c>
    </row>
    <row r="276" spans="2:7" x14ac:dyDescent="0.3">
      <c r="B276" s="554">
        <v>267</v>
      </c>
      <c r="C276" s="552">
        <f t="shared" si="16"/>
        <v>6484.8371618034544</v>
      </c>
      <c r="D276" s="552">
        <f t="shared" si="17"/>
        <v>1299.8831173871383</v>
      </c>
      <c r="E276" s="552">
        <f t="shared" si="18"/>
        <v>5184.9540444163158</v>
      </c>
      <c r="G276" s="552">
        <f t="shared" si="19"/>
        <v>539743.85497043806</v>
      </c>
    </row>
    <row r="277" spans="2:7" x14ac:dyDescent="0.3">
      <c r="B277" s="554">
        <v>268</v>
      </c>
      <c r="C277" s="552">
        <f t="shared" si="16"/>
        <v>6484.8371618034544</v>
      </c>
      <c r="D277" s="552">
        <f t="shared" si="17"/>
        <v>1287.396019730169</v>
      </c>
      <c r="E277" s="552">
        <f t="shared" si="18"/>
        <v>5197.4411420732849</v>
      </c>
      <c r="G277" s="552">
        <f t="shared" si="19"/>
        <v>534558.90092602174</v>
      </c>
    </row>
    <row r="278" spans="2:7" x14ac:dyDescent="0.3">
      <c r="B278" s="554">
        <v>269</v>
      </c>
      <c r="C278" s="552">
        <f t="shared" si="16"/>
        <v>6484.8371618034544</v>
      </c>
      <c r="D278" s="552">
        <f t="shared" si="17"/>
        <v>1274.8788489796759</v>
      </c>
      <c r="E278" s="552">
        <f t="shared" si="18"/>
        <v>5209.9583128237782</v>
      </c>
      <c r="G278" s="552">
        <f t="shared" si="19"/>
        <v>529361.45978394849</v>
      </c>
    </row>
    <row r="279" spans="2:7" x14ac:dyDescent="0.3">
      <c r="B279" s="554">
        <v>270</v>
      </c>
      <c r="C279" s="552">
        <f t="shared" si="16"/>
        <v>6484.8371618034544</v>
      </c>
      <c r="D279" s="552">
        <f t="shared" si="17"/>
        <v>1262.3315327096252</v>
      </c>
      <c r="E279" s="552">
        <f t="shared" si="18"/>
        <v>5222.5056290938292</v>
      </c>
      <c r="G279" s="552">
        <f t="shared" si="19"/>
        <v>524151.50147112471</v>
      </c>
    </row>
    <row r="280" spans="2:7" x14ac:dyDescent="0.3">
      <c r="B280" s="554">
        <v>271</v>
      </c>
      <c r="C280" s="552">
        <f t="shared" si="16"/>
        <v>6484.8371618034544</v>
      </c>
      <c r="D280" s="552">
        <f t="shared" si="17"/>
        <v>1249.7539983195577</v>
      </c>
      <c r="E280" s="552">
        <f t="shared" si="18"/>
        <v>5235.0831634838969</v>
      </c>
      <c r="G280" s="552">
        <f t="shared" si="19"/>
        <v>518928.99584203085</v>
      </c>
    </row>
    <row r="281" spans="2:7" x14ac:dyDescent="0.3">
      <c r="B281" s="554">
        <v>272</v>
      </c>
      <c r="C281" s="552">
        <f t="shared" si="16"/>
        <v>6484.8371618034544</v>
      </c>
      <c r="D281" s="552">
        <f t="shared" si="17"/>
        <v>1237.1461730341673</v>
      </c>
      <c r="E281" s="552">
        <f t="shared" si="18"/>
        <v>5247.6909887692873</v>
      </c>
      <c r="G281" s="552">
        <f t="shared" si="19"/>
        <v>513693.91267854697</v>
      </c>
    </row>
    <row r="282" spans="2:7" x14ac:dyDescent="0.3">
      <c r="B282" s="554">
        <v>273</v>
      </c>
      <c r="C282" s="552">
        <f t="shared" si="16"/>
        <v>6484.8371618034544</v>
      </c>
      <c r="D282" s="552">
        <f t="shared" si="17"/>
        <v>1224.5079839028811</v>
      </c>
      <c r="E282" s="552">
        <f t="shared" si="18"/>
        <v>5260.3291779005731</v>
      </c>
      <c r="G282" s="552">
        <f t="shared" si="19"/>
        <v>508446.22168977768</v>
      </c>
    </row>
    <row r="283" spans="2:7" x14ac:dyDescent="0.3">
      <c r="B283" s="554">
        <v>274</v>
      </c>
      <c r="C283" s="552">
        <f t="shared" si="16"/>
        <v>6484.8371618034544</v>
      </c>
      <c r="D283" s="552">
        <f t="shared" si="17"/>
        <v>1211.8393577994373</v>
      </c>
      <c r="E283" s="552">
        <f t="shared" si="18"/>
        <v>5272.9978040040169</v>
      </c>
      <c r="G283" s="552">
        <f t="shared" si="19"/>
        <v>503185.89251187711</v>
      </c>
    </row>
    <row r="284" spans="2:7" x14ac:dyDescent="0.3">
      <c r="B284" s="554">
        <v>275</v>
      </c>
      <c r="C284" s="552">
        <f t="shared" si="16"/>
        <v>6484.8371618034544</v>
      </c>
      <c r="D284" s="552">
        <f t="shared" si="17"/>
        <v>1199.1402214214611</v>
      </c>
      <c r="E284" s="552">
        <f t="shared" si="18"/>
        <v>5285.696940381993</v>
      </c>
      <c r="G284" s="552">
        <f t="shared" si="19"/>
        <v>497912.89470787311</v>
      </c>
    </row>
    <row r="285" spans="2:7" x14ac:dyDescent="0.3">
      <c r="B285" s="554">
        <v>276</v>
      </c>
      <c r="C285" s="552">
        <f t="shared" si="16"/>
        <v>6484.8371618034544</v>
      </c>
      <c r="D285" s="552">
        <f t="shared" si="17"/>
        <v>1186.4105012900411</v>
      </c>
      <c r="E285" s="552">
        <f t="shared" si="18"/>
        <v>5298.4266605134135</v>
      </c>
      <c r="G285" s="552">
        <f t="shared" si="19"/>
        <v>492627.1977674911</v>
      </c>
    </row>
    <row r="286" spans="2:7" x14ac:dyDescent="0.3">
      <c r="B286" s="554">
        <v>277</v>
      </c>
      <c r="C286" s="552">
        <f t="shared" si="16"/>
        <v>6484.8371618034544</v>
      </c>
      <c r="D286" s="552">
        <f t="shared" si="17"/>
        <v>1173.6501237493046</v>
      </c>
      <c r="E286" s="552">
        <f t="shared" si="18"/>
        <v>5311.1870380541495</v>
      </c>
      <c r="G286" s="552">
        <f t="shared" si="19"/>
        <v>487328.77110697771</v>
      </c>
    </row>
    <row r="287" spans="2:7" x14ac:dyDescent="0.3">
      <c r="B287" s="554">
        <v>278</v>
      </c>
      <c r="C287" s="552">
        <f t="shared" si="16"/>
        <v>6484.8371618034544</v>
      </c>
      <c r="D287" s="552">
        <f t="shared" si="17"/>
        <v>1160.8590149659908</v>
      </c>
      <c r="E287" s="552">
        <f t="shared" si="18"/>
        <v>5323.978146837464</v>
      </c>
      <c r="G287" s="552">
        <f t="shared" si="19"/>
        <v>482017.58406892355</v>
      </c>
    </row>
    <row r="288" spans="2:7" x14ac:dyDescent="0.3">
      <c r="B288" s="554">
        <v>279</v>
      </c>
      <c r="C288" s="552">
        <f t="shared" si="16"/>
        <v>6484.8371618034544</v>
      </c>
      <c r="D288" s="552">
        <f t="shared" si="17"/>
        <v>1148.0371009290241</v>
      </c>
      <c r="E288" s="552">
        <f t="shared" si="18"/>
        <v>5336.8000608744305</v>
      </c>
      <c r="G288" s="552">
        <f t="shared" si="19"/>
        <v>476693.60592208611</v>
      </c>
    </row>
    <row r="289" spans="2:7" x14ac:dyDescent="0.3">
      <c r="B289" s="554">
        <v>280</v>
      </c>
      <c r="C289" s="552">
        <f t="shared" si="16"/>
        <v>6484.8371618034544</v>
      </c>
      <c r="D289" s="552">
        <f t="shared" si="17"/>
        <v>1135.1843074490846</v>
      </c>
      <c r="E289" s="552">
        <f t="shared" si="18"/>
        <v>5349.65285435437</v>
      </c>
      <c r="G289" s="552">
        <f t="shared" si="19"/>
        <v>471356.80586121167</v>
      </c>
    </row>
    <row r="290" spans="2:7" x14ac:dyDescent="0.3">
      <c r="B290" s="554">
        <v>281</v>
      </c>
      <c r="C290" s="552">
        <f t="shared" si="16"/>
        <v>6484.8371618034544</v>
      </c>
      <c r="D290" s="552">
        <f t="shared" si="17"/>
        <v>1122.3005601581813</v>
      </c>
      <c r="E290" s="552">
        <f t="shared" si="18"/>
        <v>5362.5366016452735</v>
      </c>
      <c r="G290" s="552">
        <f t="shared" si="19"/>
        <v>466007.15300685732</v>
      </c>
    </row>
    <row r="291" spans="2:7" x14ac:dyDescent="0.3">
      <c r="B291" s="554">
        <v>282</v>
      </c>
      <c r="C291" s="552">
        <f t="shared" si="16"/>
        <v>6484.8371618034544</v>
      </c>
      <c r="D291" s="552">
        <f t="shared" si="17"/>
        <v>1109.3857845092189</v>
      </c>
      <c r="E291" s="552">
        <f t="shared" si="18"/>
        <v>5375.4513772942355</v>
      </c>
      <c r="G291" s="552">
        <f t="shared" si="19"/>
        <v>460644.61640521203</v>
      </c>
    </row>
    <row r="292" spans="2:7" x14ac:dyDescent="0.3">
      <c r="B292" s="554">
        <v>283</v>
      </c>
      <c r="C292" s="552">
        <f t="shared" si="16"/>
        <v>6484.8371618034544</v>
      </c>
      <c r="D292" s="552">
        <f t="shared" si="17"/>
        <v>1096.4399057755686</v>
      </c>
      <c r="E292" s="552">
        <f t="shared" si="18"/>
        <v>5388.3972560278853</v>
      </c>
      <c r="G292" s="552">
        <f t="shared" si="19"/>
        <v>455269.16502791777</v>
      </c>
    </row>
    <row r="293" spans="2:7" x14ac:dyDescent="0.3">
      <c r="B293" s="554">
        <v>284</v>
      </c>
      <c r="C293" s="552">
        <f t="shared" si="16"/>
        <v>6484.8371618034544</v>
      </c>
      <c r="D293" s="552">
        <f t="shared" si="17"/>
        <v>1083.4628490506348</v>
      </c>
      <c r="E293" s="552">
        <f t="shared" si="18"/>
        <v>5401.3743127528196</v>
      </c>
      <c r="G293" s="552">
        <f t="shared" si="19"/>
        <v>449880.76777188986</v>
      </c>
    </row>
    <row r="294" spans="2:7" x14ac:dyDescent="0.3">
      <c r="B294" s="554">
        <v>285</v>
      </c>
      <c r="C294" s="552">
        <f t="shared" si="16"/>
        <v>6484.8371618034544</v>
      </c>
      <c r="D294" s="552">
        <f t="shared" si="17"/>
        <v>1070.4545392474217</v>
      </c>
      <c r="E294" s="552">
        <f t="shared" si="18"/>
        <v>5414.3826225560324</v>
      </c>
      <c r="G294" s="552">
        <f t="shared" si="19"/>
        <v>444479.39345913706</v>
      </c>
    </row>
    <row r="295" spans="2:7" x14ac:dyDescent="0.3">
      <c r="B295" s="554">
        <v>286</v>
      </c>
      <c r="C295" s="552">
        <f t="shared" si="16"/>
        <v>6484.8371618034544</v>
      </c>
      <c r="D295" s="552">
        <f t="shared" si="17"/>
        <v>1057.4149010980993</v>
      </c>
      <c r="E295" s="552">
        <f t="shared" si="18"/>
        <v>5427.4222607053553</v>
      </c>
      <c r="G295" s="552">
        <f t="shared" si="19"/>
        <v>439065.01083658106</v>
      </c>
    </row>
    <row r="296" spans="2:7" x14ac:dyDescent="0.3">
      <c r="B296" s="554">
        <v>287</v>
      </c>
      <c r="C296" s="552">
        <f t="shared" si="16"/>
        <v>6484.8371618034544</v>
      </c>
      <c r="D296" s="552">
        <f t="shared" si="17"/>
        <v>1044.3438591535671</v>
      </c>
      <c r="E296" s="552">
        <f t="shared" si="18"/>
        <v>5440.4933026498875</v>
      </c>
      <c r="G296" s="552">
        <f t="shared" si="19"/>
        <v>433637.58857587568</v>
      </c>
    </row>
    <row r="297" spans="2:7" x14ac:dyDescent="0.3">
      <c r="B297" s="554">
        <v>288</v>
      </c>
      <c r="C297" s="552">
        <f t="shared" si="16"/>
        <v>6484.8371618034544</v>
      </c>
      <c r="D297" s="552">
        <f t="shared" si="17"/>
        <v>1031.2413377830187</v>
      </c>
      <c r="E297" s="552">
        <f t="shared" si="18"/>
        <v>5453.5958240204354</v>
      </c>
      <c r="G297" s="552">
        <f t="shared" si="19"/>
        <v>428197.0952732258</v>
      </c>
    </row>
    <row r="298" spans="2:7" x14ac:dyDescent="0.3">
      <c r="B298" s="554">
        <v>289</v>
      </c>
      <c r="C298" s="552">
        <f t="shared" si="16"/>
        <v>6484.8371618034544</v>
      </c>
      <c r="D298" s="552">
        <f t="shared" si="17"/>
        <v>1018.1072611735029</v>
      </c>
      <c r="E298" s="552">
        <f t="shared" si="18"/>
        <v>5466.7299006299518</v>
      </c>
      <c r="G298" s="552">
        <f t="shared" si="19"/>
        <v>422743.49944920535</v>
      </c>
    </row>
    <row r="299" spans="2:7" x14ac:dyDescent="0.3">
      <c r="B299" s="554">
        <v>290</v>
      </c>
      <c r="C299" s="552">
        <f t="shared" si="16"/>
        <v>6484.8371618034544</v>
      </c>
      <c r="D299" s="552">
        <f t="shared" si="17"/>
        <v>1004.9415533294856</v>
      </c>
      <c r="E299" s="552">
        <f t="shared" si="18"/>
        <v>5479.8956084739684</v>
      </c>
      <c r="G299" s="552">
        <f t="shared" si="19"/>
        <v>417276.76954857539</v>
      </c>
    </row>
    <row r="300" spans="2:7" x14ac:dyDescent="0.3">
      <c r="B300" s="554">
        <v>291</v>
      </c>
      <c r="C300" s="552">
        <f t="shared" si="16"/>
        <v>6484.8371618034544</v>
      </c>
      <c r="D300" s="552">
        <f t="shared" si="17"/>
        <v>991.74413807241081</v>
      </c>
      <c r="E300" s="552">
        <f t="shared" si="18"/>
        <v>5493.093023731044</v>
      </c>
      <c r="G300" s="552">
        <f t="shared" si="19"/>
        <v>411796.87394010142</v>
      </c>
    </row>
    <row r="301" spans="2:7" x14ac:dyDescent="0.3">
      <c r="B301" s="554">
        <v>292</v>
      </c>
      <c r="C301" s="552">
        <f t="shared" si="16"/>
        <v>6484.8371618034544</v>
      </c>
      <c r="D301" s="552">
        <f t="shared" si="17"/>
        <v>978.51493904025858</v>
      </c>
      <c r="E301" s="552">
        <f t="shared" si="18"/>
        <v>5506.3222227631959</v>
      </c>
      <c r="G301" s="552">
        <f t="shared" si="19"/>
        <v>406303.78091637039</v>
      </c>
    </row>
    <row r="302" spans="2:7" x14ac:dyDescent="0.3">
      <c r="B302" s="554">
        <v>293</v>
      </c>
      <c r="C302" s="552">
        <f t="shared" si="16"/>
        <v>6484.8371618034544</v>
      </c>
      <c r="D302" s="552">
        <f t="shared" si="17"/>
        <v>965.2538796871039</v>
      </c>
      <c r="E302" s="552">
        <f t="shared" si="18"/>
        <v>5519.5832821163503</v>
      </c>
      <c r="G302" s="552">
        <f t="shared" si="19"/>
        <v>400797.45869360719</v>
      </c>
    </row>
    <row r="303" spans="2:7" x14ac:dyDescent="0.3">
      <c r="B303" s="554">
        <v>294</v>
      </c>
      <c r="C303" s="552">
        <f t="shared" si="16"/>
        <v>6484.8371618034544</v>
      </c>
      <c r="D303" s="552">
        <f t="shared" si="17"/>
        <v>951.96088328267376</v>
      </c>
      <c r="E303" s="552">
        <f t="shared" si="18"/>
        <v>5532.8762785207809</v>
      </c>
      <c r="G303" s="552">
        <f t="shared" si="19"/>
        <v>395277.87541149085</v>
      </c>
    </row>
    <row r="304" spans="2:7" x14ac:dyDescent="0.3">
      <c r="B304" s="554">
        <v>295</v>
      </c>
      <c r="C304" s="552">
        <f t="shared" si="16"/>
        <v>6484.8371618034544</v>
      </c>
      <c r="D304" s="552">
        <f t="shared" si="17"/>
        <v>938.63587291190288</v>
      </c>
      <c r="E304" s="552">
        <f t="shared" si="18"/>
        <v>5546.2012888915515</v>
      </c>
      <c r="G304" s="552">
        <f t="shared" si="19"/>
        <v>389744.99913297006</v>
      </c>
    </row>
    <row r="305" spans="2:7" x14ac:dyDescent="0.3">
      <c r="B305" s="554">
        <v>296</v>
      </c>
      <c r="C305" s="552">
        <f t="shared" si="16"/>
        <v>6484.8371618034544</v>
      </c>
      <c r="D305" s="552">
        <f t="shared" si="17"/>
        <v>925.27877147448908</v>
      </c>
      <c r="E305" s="552">
        <f t="shared" si="18"/>
        <v>5559.5583903289653</v>
      </c>
      <c r="G305" s="552">
        <f t="shared" si="19"/>
        <v>384198.79784407851</v>
      </c>
    </row>
    <row r="306" spans="2:7" x14ac:dyDescent="0.3">
      <c r="B306" s="554">
        <v>297</v>
      </c>
      <c r="C306" s="552">
        <f t="shared" si="16"/>
        <v>6484.8371618034544</v>
      </c>
      <c r="D306" s="552">
        <f t="shared" si="17"/>
        <v>911.88950168444683</v>
      </c>
      <c r="E306" s="552">
        <f t="shared" si="18"/>
        <v>5572.9476601190072</v>
      </c>
      <c r="G306" s="552">
        <f t="shared" si="19"/>
        <v>378639.23945374956</v>
      </c>
    </row>
    <row r="307" spans="2:7" x14ac:dyDescent="0.3">
      <c r="B307" s="554">
        <v>298</v>
      </c>
      <c r="C307" s="552">
        <f t="shared" si="16"/>
        <v>6484.8371618034544</v>
      </c>
      <c r="D307" s="552">
        <f t="shared" si="17"/>
        <v>898.46798606966024</v>
      </c>
      <c r="E307" s="552">
        <f t="shared" si="18"/>
        <v>5586.3691757337938</v>
      </c>
      <c r="G307" s="552">
        <f t="shared" si="19"/>
        <v>373066.29179363057</v>
      </c>
    </row>
    <row r="308" spans="2:7" x14ac:dyDescent="0.3">
      <c r="B308" s="554">
        <v>299</v>
      </c>
      <c r="C308" s="552">
        <f t="shared" si="16"/>
        <v>6484.8371618034544</v>
      </c>
      <c r="D308" s="552">
        <f t="shared" si="17"/>
        <v>885.0141469714348</v>
      </c>
      <c r="E308" s="552">
        <f t="shared" si="18"/>
        <v>5599.8230148320199</v>
      </c>
      <c r="G308" s="552">
        <f t="shared" si="19"/>
        <v>367479.92261789681</v>
      </c>
    </row>
    <row r="309" spans="2:7" x14ac:dyDescent="0.3">
      <c r="B309" s="554">
        <v>300</v>
      </c>
      <c r="C309" s="552">
        <f t="shared" si="16"/>
        <v>6484.8371618034544</v>
      </c>
      <c r="D309" s="552">
        <f t="shared" si="17"/>
        <v>871.5279065440476</v>
      </c>
      <c r="E309" s="552">
        <f t="shared" si="18"/>
        <v>5613.3092552594071</v>
      </c>
      <c r="G309" s="552">
        <f t="shared" si="19"/>
        <v>361880.09960306477</v>
      </c>
    </row>
    <row r="310" spans="2:7" x14ac:dyDescent="0.3">
      <c r="B310" s="554">
        <v>301</v>
      </c>
      <c r="C310" s="552">
        <f t="shared" si="16"/>
        <v>6484.8371618034544</v>
      </c>
      <c r="D310" s="552">
        <f t="shared" si="17"/>
        <v>858.00918675429784</v>
      </c>
      <c r="E310" s="552">
        <f t="shared" si="18"/>
        <v>5626.8279750491565</v>
      </c>
      <c r="G310" s="552">
        <f t="shared" si="19"/>
        <v>356266.79034780536</v>
      </c>
    </row>
    <row r="311" spans="2:7" x14ac:dyDescent="0.3">
      <c r="B311" s="554">
        <v>302</v>
      </c>
      <c r="C311" s="552">
        <f t="shared" si="16"/>
        <v>6484.8371618034544</v>
      </c>
      <c r="D311" s="552">
        <f t="shared" si="17"/>
        <v>844.45790938105449</v>
      </c>
      <c r="E311" s="552">
        <f t="shared" si="18"/>
        <v>5640.3792524224</v>
      </c>
      <c r="G311" s="552">
        <f t="shared" si="19"/>
        <v>350639.96237275621</v>
      </c>
    </row>
    <row r="312" spans="2:7" x14ac:dyDescent="0.3">
      <c r="B312" s="554">
        <v>303</v>
      </c>
      <c r="C312" s="552">
        <f t="shared" si="16"/>
        <v>6484.8371618034544</v>
      </c>
      <c r="D312" s="552">
        <f t="shared" si="17"/>
        <v>830.87399601480377</v>
      </c>
      <c r="E312" s="552">
        <f t="shared" si="18"/>
        <v>5653.9631657886503</v>
      </c>
      <c r="G312" s="552">
        <f t="shared" si="19"/>
        <v>344999.58312033379</v>
      </c>
    </row>
    <row r="313" spans="2:7" x14ac:dyDescent="0.3">
      <c r="B313" s="554">
        <v>304</v>
      </c>
      <c r="C313" s="552">
        <f t="shared" si="16"/>
        <v>6484.8371618034544</v>
      </c>
      <c r="D313" s="552">
        <f t="shared" si="17"/>
        <v>817.257368057196</v>
      </c>
      <c r="E313" s="552">
        <f t="shared" si="18"/>
        <v>5667.5797937462585</v>
      </c>
      <c r="G313" s="552">
        <f t="shared" si="19"/>
        <v>339345.61995454511</v>
      </c>
    </row>
    <row r="314" spans="2:7" x14ac:dyDescent="0.3">
      <c r="B314" s="554">
        <v>305</v>
      </c>
      <c r="C314" s="552">
        <f t="shared" si="16"/>
        <v>6484.8371618034544</v>
      </c>
      <c r="D314" s="552">
        <f t="shared" si="17"/>
        <v>803.60794672059058</v>
      </c>
      <c r="E314" s="552">
        <f t="shared" si="18"/>
        <v>5681.2292150828634</v>
      </c>
      <c r="G314" s="552">
        <f t="shared" si="19"/>
        <v>333678.04016079888</v>
      </c>
    </row>
    <row r="315" spans="2:7" x14ac:dyDescent="0.3">
      <c r="B315" s="554">
        <v>306</v>
      </c>
      <c r="C315" s="552">
        <f t="shared" si="16"/>
        <v>6484.8371618034544</v>
      </c>
      <c r="D315" s="552">
        <f t="shared" si="17"/>
        <v>789.92565302759931</v>
      </c>
      <c r="E315" s="552">
        <f t="shared" si="18"/>
        <v>5694.9115087758546</v>
      </c>
      <c r="G315" s="552">
        <f t="shared" si="19"/>
        <v>327996.81094571599</v>
      </c>
    </row>
    <row r="316" spans="2:7" x14ac:dyDescent="0.3">
      <c r="B316" s="554">
        <v>307</v>
      </c>
      <c r="C316" s="552">
        <f t="shared" si="16"/>
        <v>6484.8371618034544</v>
      </c>
      <c r="D316" s="552">
        <f t="shared" si="17"/>
        <v>776.21040781063084</v>
      </c>
      <c r="E316" s="552">
        <f t="shared" si="18"/>
        <v>5708.6267539928231</v>
      </c>
      <c r="G316" s="552">
        <f t="shared" si="19"/>
        <v>322301.89943694015</v>
      </c>
    </row>
    <row r="317" spans="2:7" x14ac:dyDescent="0.3">
      <c r="B317" s="554">
        <v>308</v>
      </c>
      <c r="C317" s="552">
        <f t="shared" si="16"/>
        <v>6484.8371618034544</v>
      </c>
      <c r="D317" s="552">
        <f t="shared" si="17"/>
        <v>762.46213171143154</v>
      </c>
      <c r="E317" s="552">
        <f t="shared" si="18"/>
        <v>5722.3750300920228</v>
      </c>
      <c r="G317" s="552">
        <f t="shared" si="19"/>
        <v>316593.27268294734</v>
      </c>
    </row>
    <row r="318" spans="2:7" x14ac:dyDescent="0.3">
      <c r="B318" s="554">
        <v>309</v>
      </c>
      <c r="C318" s="552">
        <f t="shared" si="16"/>
        <v>6484.8371618034544</v>
      </c>
      <c r="D318" s="552">
        <f t="shared" si="17"/>
        <v>748.68074518062656</v>
      </c>
      <c r="E318" s="552">
        <f t="shared" si="18"/>
        <v>5736.1564166228281</v>
      </c>
      <c r="G318" s="552">
        <f t="shared" si="19"/>
        <v>310870.89765285532</v>
      </c>
    </row>
    <row r="319" spans="2:7" x14ac:dyDescent="0.3">
      <c r="B319" s="554">
        <v>310</v>
      </c>
      <c r="C319" s="552">
        <f t="shared" si="16"/>
        <v>6484.8371618034544</v>
      </c>
      <c r="D319" s="552">
        <f t="shared" si="17"/>
        <v>734.86616847725998</v>
      </c>
      <c r="E319" s="552">
        <f t="shared" si="18"/>
        <v>5749.9709933261947</v>
      </c>
      <c r="G319" s="552">
        <f t="shared" si="19"/>
        <v>305134.74123623251</v>
      </c>
    </row>
    <row r="320" spans="2:7" x14ac:dyDescent="0.3">
      <c r="B320" s="554">
        <v>311</v>
      </c>
      <c r="C320" s="552">
        <f t="shared" si="16"/>
        <v>6484.8371618034544</v>
      </c>
      <c r="D320" s="552">
        <f t="shared" si="17"/>
        <v>721.01832166833265</v>
      </c>
      <c r="E320" s="552">
        <f t="shared" si="18"/>
        <v>5763.8188401351217</v>
      </c>
      <c r="G320" s="552">
        <f t="shared" si="19"/>
        <v>299384.77024290629</v>
      </c>
    </row>
    <row r="321" spans="2:7" x14ac:dyDescent="0.3">
      <c r="B321" s="554">
        <v>312</v>
      </c>
      <c r="C321" s="552">
        <f t="shared" si="16"/>
        <v>6484.8371618034544</v>
      </c>
      <c r="D321" s="552">
        <f t="shared" si="17"/>
        <v>707.13712462834053</v>
      </c>
      <c r="E321" s="552">
        <f t="shared" si="18"/>
        <v>5777.7000371751137</v>
      </c>
      <c r="G321" s="552">
        <f t="shared" si="19"/>
        <v>293620.95140277117</v>
      </c>
    </row>
    <row r="322" spans="2:7" x14ac:dyDescent="0.3">
      <c r="B322" s="554">
        <v>313</v>
      </c>
      <c r="C322" s="552">
        <f t="shared" si="16"/>
        <v>6484.8371618034544</v>
      </c>
      <c r="D322" s="552">
        <f t="shared" si="17"/>
        <v>693.2224970388105</v>
      </c>
      <c r="E322" s="552">
        <f t="shared" si="18"/>
        <v>5791.6146647646437</v>
      </c>
      <c r="G322" s="552">
        <f t="shared" si="19"/>
        <v>287843.25136559608</v>
      </c>
    </row>
    <row r="323" spans="2:7" x14ac:dyDescent="0.3">
      <c r="B323" s="554">
        <v>314</v>
      </c>
      <c r="C323" s="552">
        <f t="shared" si="16"/>
        <v>6484.8371618034544</v>
      </c>
      <c r="D323" s="552">
        <f t="shared" si="17"/>
        <v>679.2743583878356</v>
      </c>
      <c r="E323" s="552">
        <f t="shared" si="18"/>
        <v>5805.5628034156189</v>
      </c>
      <c r="G323" s="552">
        <f t="shared" si="19"/>
        <v>282051.63670083141</v>
      </c>
    </row>
    <row r="324" spans="2:7" x14ac:dyDescent="0.3">
      <c r="B324" s="554">
        <v>315</v>
      </c>
      <c r="C324" s="552">
        <f t="shared" si="16"/>
        <v>6484.8371618034544</v>
      </c>
      <c r="D324" s="552">
        <f t="shared" si="17"/>
        <v>665.29262796960961</v>
      </c>
      <c r="E324" s="552">
        <f t="shared" si="18"/>
        <v>5819.544533833845</v>
      </c>
      <c r="G324" s="552">
        <f t="shared" si="19"/>
        <v>276246.07389741577</v>
      </c>
    </row>
    <row r="325" spans="2:7" x14ac:dyDescent="0.3">
      <c r="B325" s="554">
        <v>316</v>
      </c>
      <c r="C325" s="552">
        <f t="shared" si="16"/>
        <v>6484.8371618034544</v>
      </c>
      <c r="D325" s="552">
        <f t="shared" si="17"/>
        <v>651.27722488395978</v>
      </c>
      <c r="E325" s="552">
        <f t="shared" si="18"/>
        <v>5833.5599369194942</v>
      </c>
      <c r="G325" s="552">
        <f t="shared" si="19"/>
        <v>270426.52936358191</v>
      </c>
    </row>
    <row r="326" spans="2:7" x14ac:dyDescent="0.3">
      <c r="B326" s="554">
        <v>317</v>
      </c>
      <c r="C326" s="552">
        <f t="shared" si="16"/>
        <v>6484.8371618034544</v>
      </c>
      <c r="D326" s="552">
        <f t="shared" si="17"/>
        <v>637.22806803587866</v>
      </c>
      <c r="E326" s="552">
        <f t="shared" si="18"/>
        <v>5847.6090937675754</v>
      </c>
      <c r="G326" s="552">
        <f t="shared" si="19"/>
        <v>264592.96942666243</v>
      </c>
    </row>
    <row r="327" spans="2:7" x14ac:dyDescent="0.3">
      <c r="B327" s="554">
        <v>318</v>
      </c>
      <c r="C327" s="552">
        <f t="shared" si="16"/>
        <v>6484.8371618034544</v>
      </c>
      <c r="D327" s="552">
        <f t="shared" si="17"/>
        <v>623.14507613505509</v>
      </c>
      <c r="E327" s="552">
        <f t="shared" si="18"/>
        <v>5861.6920856683992</v>
      </c>
      <c r="G327" s="552">
        <f t="shared" si="19"/>
        <v>258745.36033289487</v>
      </c>
    </row>
    <row r="328" spans="2:7" x14ac:dyDescent="0.3">
      <c r="B328" s="554">
        <v>319</v>
      </c>
      <c r="C328" s="552">
        <f t="shared" si="16"/>
        <v>6484.8371618034544</v>
      </c>
      <c r="D328" s="552">
        <f t="shared" si="17"/>
        <v>609.02816769540379</v>
      </c>
      <c r="E328" s="552">
        <f t="shared" si="18"/>
        <v>5875.8089941080507</v>
      </c>
      <c r="G328" s="552">
        <f t="shared" si="19"/>
        <v>252883.66824722648</v>
      </c>
    </row>
    <row r="329" spans="2:7" x14ac:dyDescent="0.3">
      <c r="B329" s="554">
        <v>320</v>
      </c>
      <c r="C329" s="552">
        <f t="shared" si="16"/>
        <v>6484.8371618034544</v>
      </c>
      <c r="D329" s="552">
        <f t="shared" si="17"/>
        <v>594.87726103459352</v>
      </c>
      <c r="E329" s="552">
        <f t="shared" si="18"/>
        <v>5889.9599007688612</v>
      </c>
      <c r="G329" s="552">
        <f t="shared" si="19"/>
        <v>247007.85925311843</v>
      </c>
    </row>
    <row r="330" spans="2:7" x14ac:dyDescent="0.3">
      <c r="B330" s="554">
        <v>321</v>
      </c>
      <c r="C330" s="552">
        <f t="shared" ref="C330:C371" si="20">IF($C$3&lt;G330+(G330*($C$4/$C$6)),$C$3,G330+(G330*($C$4/$C$6)))</f>
        <v>6484.8371618034544</v>
      </c>
      <c r="D330" s="552">
        <f t="shared" ref="D330:D371" si="21">G330*$C$4/$C$6</f>
        <v>580.69227427357521</v>
      </c>
      <c r="E330" s="552">
        <f t="shared" ref="E330:E371" si="22">C330-D330</f>
        <v>5904.1448875298793</v>
      </c>
      <c r="G330" s="552">
        <f t="shared" si="19"/>
        <v>241117.89935234957</v>
      </c>
    </row>
    <row r="331" spans="2:7" x14ac:dyDescent="0.3">
      <c r="B331" s="554">
        <v>322</v>
      </c>
      <c r="C331" s="552">
        <f t="shared" si="20"/>
        <v>6484.8371618034544</v>
      </c>
      <c r="D331" s="552">
        <f t="shared" si="21"/>
        <v>566.4731253361075</v>
      </c>
      <c r="E331" s="552">
        <f t="shared" si="22"/>
        <v>5918.3640364673465</v>
      </c>
      <c r="G331" s="552">
        <f t="shared" ref="G331:G371" si="23">G330-E330-F330</f>
        <v>235213.75446481971</v>
      </c>
    </row>
    <row r="332" spans="2:7" x14ac:dyDescent="0.3">
      <c r="B332" s="554">
        <v>323</v>
      </c>
      <c r="C332" s="552">
        <f t="shared" si="20"/>
        <v>6484.8371618034544</v>
      </c>
      <c r="D332" s="552">
        <f t="shared" si="21"/>
        <v>552.21973194828195</v>
      </c>
      <c r="E332" s="552">
        <f t="shared" si="22"/>
        <v>5932.6174298551723</v>
      </c>
      <c r="G332" s="552">
        <f t="shared" si="23"/>
        <v>229295.39042835237</v>
      </c>
    </row>
    <row r="333" spans="2:7" x14ac:dyDescent="0.3">
      <c r="B333" s="554">
        <v>324</v>
      </c>
      <c r="C333" s="552">
        <f t="shared" si="20"/>
        <v>6484.8371618034544</v>
      </c>
      <c r="D333" s="552">
        <f t="shared" si="21"/>
        <v>537.93201163804736</v>
      </c>
      <c r="E333" s="552">
        <f t="shared" si="22"/>
        <v>5946.9051501654067</v>
      </c>
      <c r="G333" s="552">
        <f t="shared" si="23"/>
        <v>223362.77299849721</v>
      </c>
    </row>
    <row r="334" spans="2:7" x14ac:dyDescent="0.3">
      <c r="B334" s="554">
        <v>325</v>
      </c>
      <c r="C334" s="552">
        <f t="shared" si="20"/>
        <v>6484.8371618034544</v>
      </c>
      <c r="D334" s="552">
        <f t="shared" si="21"/>
        <v>523.60988173473243</v>
      </c>
      <c r="E334" s="552">
        <f t="shared" si="22"/>
        <v>5961.2272800687224</v>
      </c>
      <c r="G334" s="552">
        <f t="shared" si="23"/>
        <v>217415.86784833181</v>
      </c>
    </row>
    <row r="335" spans="2:7" x14ac:dyDescent="0.3">
      <c r="B335" s="554">
        <v>326</v>
      </c>
      <c r="C335" s="552">
        <f t="shared" si="20"/>
        <v>6484.8371618034544</v>
      </c>
      <c r="D335" s="552">
        <f t="shared" si="21"/>
        <v>509.25325936856689</v>
      </c>
      <c r="E335" s="552">
        <f t="shared" si="22"/>
        <v>5975.5839024348879</v>
      </c>
      <c r="G335" s="552">
        <f t="shared" si="23"/>
        <v>211454.64056826307</v>
      </c>
    </row>
    <row r="336" spans="2:7" x14ac:dyDescent="0.3">
      <c r="B336" s="554">
        <v>327</v>
      </c>
      <c r="C336" s="552">
        <f t="shared" si="20"/>
        <v>6484.8371618034544</v>
      </c>
      <c r="D336" s="552">
        <f t="shared" si="21"/>
        <v>494.86206147020289</v>
      </c>
      <c r="E336" s="552">
        <f t="shared" si="22"/>
        <v>5989.9751003332512</v>
      </c>
      <c r="G336" s="552">
        <f t="shared" si="23"/>
        <v>205479.05666582819</v>
      </c>
    </row>
    <row r="337" spans="2:7" x14ac:dyDescent="0.3">
      <c r="B337" s="554">
        <v>328</v>
      </c>
      <c r="C337" s="552">
        <f t="shared" si="20"/>
        <v>6484.8371618034544</v>
      </c>
      <c r="D337" s="552">
        <f t="shared" si="21"/>
        <v>480.43620477023364</v>
      </c>
      <c r="E337" s="552">
        <f t="shared" si="22"/>
        <v>6004.4009570332209</v>
      </c>
      <c r="G337" s="552">
        <f t="shared" si="23"/>
        <v>199489.08156549494</v>
      </c>
    </row>
    <row r="338" spans="2:7" x14ac:dyDescent="0.3">
      <c r="B338" s="554">
        <v>329</v>
      </c>
      <c r="C338" s="552">
        <f t="shared" si="20"/>
        <v>6484.8371618034544</v>
      </c>
      <c r="D338" s="552">
        <f t="shared" si="21"/>
        <v>465.97560579871197</v>
      </c>
      <c r="E338" s="552">
        <f t="shared" si="22"/>
        <v>6018.8615560047419</v>
      </c>
      <c r="G338" s="552">
        <f t="shared" si="23"/>
        <v>193484.68060846173</v>
      </c>
    </row>
    <row r="339" spans="2:7" x14ac:dyDescent="0.3">
      <c r="B339" s="554">
        <v>330</v>
      </c>
      <c r="C339" s="552">
        <f t="shared" si="20"/>
        <v>6484.8371618034544</v>
      </c>
      <c r="D339" s="552">
        <f t="shared" si="21"/>
        <v>451.48018088466728</v>
      </c>
      <c r="E339" s="552">
        <f t="shared" si="22"/>
        <v>6033.3569809187875</v>
      </c>
      <c r="G339" s="552">
        <f t="shared" si="23"/>
        <v>187465.81905245699</v>
      </c>
    </row>
    <row r="340" spans="2:7" x14ac:dyDescent="0.3">
      <c r="B340" s="554">
        <v>331</v>
      </c>
      <c r="C340" s="552">
        <f t="shared" si="20"/>
        <v>6484.8371618034544</v>
      </c>
      <c r="D340" s="552">
        <f t="shared" si="21"/>
        <v>436.94984615562112</v>
      </c>
      <c r="E340" s="552">
        <f t="shared" si="22"/>
        <v>6047.887315647833</v>
      </c>
      <c r="G340" s="552">
        <f t="shared" si="23"/>
        <v>181432.4620715382</v>
      </c>
    </row>
    <row r="341" spans="2:7" x14ac:dyDescent="0.3">
      <c r="B341" s="554">
        <v>332</v>
      </c>
      <c r="C341" s="552">
        <f t="shared" si="20"/>
        <v>6484.8371618034544</v>
      </c>
      <c r="D341" s="552">
        <f t="shared" si="21"/>
        <v>422.38451753710268</v>
      </c>
      <c r="E341" s="552">
        <f t="shared" si="22"/>
        <v>6062.4526442663519</v>
      </c>
      <c r="G341" s="552">
        <f t="shared" si="23"/>
        <v>175384.57475589038</v>
      </c>
    </row>
    <row r="342" spans="2:7" x14ac:dyDescent="0.3">
      <c r="B342" s="554">
        <v>333</v>
      </c>
      <c r="C342" s="552">
        <f t="shared" si="20"/>
        <v>6484.8371618034544</v>
      </c>
      <c r="D342" s="552">
        <f t="shared" si="21"/>
        <v>407.78411075216121</v>
      </c>
      <c r="E342" s="552">
        <f t="shared" si="22"/>
        <v>6077.0530510512936</v>
      </c>
      <c r="G342" s="552">
        <f t="shared" si="23"/>
        <v>169322.12211162402</v>
      </c>
    </row>
    <row r="343" spans="2:7" x14ac:dyDescent="0.3">
      <c r="B343" s="554">
        <v>334</v>
      </c>
      <c r="C343" s="552">
        <f t="shared" si="20"/>
        <v>6484.8371618034544</v>
      </c>
      <c r="D343" s="552">
        <f t="shared" si="21"/>
        <v>393.1485413208793</v>
      </c>
      <c r="E343" s="552">
        <f t="shared" si="22"/>
        <v>6091.6886204825751</v>
      </c>
      <c r="G343" s="552">
        <f t="shared" si="23"/>
        <v>163245.06906057271</v>
      </c>
    </row>
    <row r="344" spans="2:7" x14ac:dyDescent="0.3">
      <c r="B344" s="554">
        <v>335</v>
      </c>
      <c r="C344" s="552">
        <f t="shared" si="20"/>
        <v>6484.8371618034544</v>
      </c>
      <c r="D344" s="552">
        <f t="shared" si="21"/>
        <v>378.47772455988371</v>
      </c>
      <c r="E344" s="552">
        <f t="shared" si="22"/>
        <v>6106.3594372435709</v>
      </c>
      <c r="G344" s="552">
        <f t="shared" si="23"/>
        <v>157153.38044009014</v>
      </c>
    </row>
    <row r="345" spans="2:7" x14ac:dyDescent="0.3">
      <c r="B345" s="554">
        <v>336</v>
      </c>
      <c r="C345" s="552">
        <f t="shared" si="20"/>
        <v>6484.8371618034544</v>
      </c>
      <c r="D345" s="552">
        <f t="shared" si="21"/>
        <v>363.77157558185542</v>
      </c>
      <c r="E345" s="552">
        <f t="shared" si="22"/>
        <v>6121.065586221599</v>
      </c>
      <c r="G345" s="552">
        <f t="shared" si="23"/>
        <v>151047.02100284657</v>
      </c>
    </row>
    <row r="346" spans="2:7" x14ac:dyDescent="0.3">
      <c r="B346" s="554">
        <v>337</v>
      </c>
      <c r="C346" s="552">
        <f t="shared" si="20"/>
        <v>6484.8371618034544</v>
      </c>
      <c r="D346" s="552">
        <f t="shared" si="21"/>
        <v>349.03000929503838</v>
      </c>
      <c r="E346" s="552">
        <f t="shared" si="22"/>
        <v>6135.807152508416</v>
      </c>
      <c r="G346" s="552">
        <f t="shared" si="23"/>
        <v>144925.95541662496</v>
      </c>
    </row>
    <row r="347" spans="2:7" x14ac:dyDescent="0.3">
      <c r="B347" s="554">
        <v>338</v>
      </c>
      <c r="C347" s="552">
        <f t="shared" si="20"/>
        <v>6484.8371618034544</v>
      </c>
      <c r="D347" s="552">
        <f t="shared" si="21"/>
        <v>334.25294040274736</v>
      </c>
      <c r="E347" s="552">
        <f t="shared" si="22"/>
        <v>6150.5842214007071</v>
      </c>
      <c r="G347" s="552">
        <f t="shared" si="23"/>
        <v>138790.14826411655</v>
      </c>
    </row>
    <row r="348" spans="2:7" x14ac:dyDescent="0.3">
      <c r="B348" s="554">
        <v>339</v>
      </c>
      <c r="C348" s="552">
        <f t="shared" si="20"/>
        <v>6484.8371618034544</v>
      </c>
      <c r="D348" s="552">
        <f t="shared" si="21"/>
        <v>319.440283402874</v>
      </c>
      <c r="E348" s="552">
        <f t="shared" si="22"/>
        <v>6165.3968784005801</v>
      </c>
      <c r="G348" s="552">
        <f t="shared" si="23"/>
        <v>132639.56404271585</v>
      </c>
    </row>
    <row r="349" spans="2:7" x14ac:dyDescent="0.3">
      <c r="B349" s="554">
        <v>340</v>
      </c>
      <c r="C349" s="552">
        <f t="shared" si="20"/>
        <v>6484.8371618034544</v>
      </c>
      <c r="D349" s="552">
        <f t="shared" si="21"/>
        <v>304.5919525873926</v>
      </c>
      <c r="E349" s="552">
        <f t="shared" si="22"/>
        <v>6180.245209216062</v>
      </c>
      <c r="G349" s="552">
        <f t="shared" si="23"/>
        <v>126474.16716431527</v>
      </c>
    </row>
    <row r="350" spans="2:7" x14ac:dyDescent="0.3">
      <c r="B350" s="554">
        <v>341</v>
      </c>
      <c r="C350" s="552">
        <f t="shared" si="20"/>
        <v>6484.8371618034544</v>
      </c>
      <c r="D350" s="552">
        <f t="shared" si="21"/>
        <v>289.7078620418639</v>
      </c>
      <c r="E350" s="552">
        <f t="shared" si="22"/>
        <v>6195.1292997615901</v>
      </c>
      <c r="G350" s="552">
        <f t="shared" si="23"/>
        <v>120293.9219550992</v>
      </c>
    </row>
    <row r="351" spans="2:7" x14ac:dyDescent="0.3">
      <c r="B351" s="554">
        <v>342</v>
      </c>
      <c r="C351" s="552">
        <f t="shared" si="20"/>
        <v>6484.8371618034544</v>
      </c>
      <c r="D351" s="552">
        <f t="shared" si="21"/>
        <v>274.78792564493807</v>
      </c>
      <c r="E351" s="552">
        <f t="shared" si="22"/>
        <v>6210.0492361585166</v>
      </c>
      <c r="G351" s="552">
        <f t="shared" si="23"/>
        <v>114098.7926553376</v>
      </c>
    </row>
    <row r="352" spans="2:7" x14ac:dyDescent="0.3">
      <c r="B352" s="554">
        <v>343</v>
      </c>
      <c r="C352" s="552">
        <f t="shared" si="20"/>
        <v>6484.8371618034544</v>
      </c>
      <c r="D352" s="552">
        <f t="shared" si="21"/>
        <v>259.83205706785628</v>
      </c>
      <c r="E352" s="552">
        <f t="shared" si="22"/>
        <v>6225.0051047355983</v>
      </c>
      <c r="G352" s="552">
        <f t="shared" si="23"/>
        <v>107888.74341917908</v>
      </c>
    </row>
    <row r="353" spans="2:7" x14ac:dyDescent="0.3">
      <c r="B353" s="554">
        <v>344</v>
      </c>
      <c r="C353" s="552">
        <f t="shared" si="20"/>
        <v>6484.8371618034544</v>
      </c>
      <c r="D353" s="552">
        <f t="shared" si="21"/>
        <v>244.8401697739514</v>
      </c>
      <c r="E353" s="552">
        <f t="shared" si="22"/>
        <v>6239.9969920295025</v>
      </c>
      <c r="G353" s="552">
        <f t="shared" si="23"/>
        <v>101663.73831444349</v>
      </c>
    </row>
    <row r="354" spans="2:7" x14ac:dyDescent="0.3">
      <c r="B354" s="554">
        <v>345</v>
      </c>
      <c r="C354" s="552">
        <f t="shared" si="20"/>
        <v>6484.8371618034544</v>
      </c>
      <c r="D354" s="552">
        <f t="shared" si="21"/>
        <v>229.81217701814703</v>
      </c>
      <c r="E354" s="552">
        <f t="shared" si="22"/>
        <v>6255.0249847853074</v>
      </c>
      <c r="G354" s="552">
        <f t="shared" si="23"/>
        <v>95423.741322413989</v>
      </c>
    </row>
    <row r="355" spans="2:7" x14ac:dyDescent="0.3">
      <c r="B355" s="554">
        <v>346</v>
      </c>
      <c r="C355" s="552">
        <f t="shared" si="20"/>
        <v>6484.8371618034544</v>
      </c>
      <c r="D355" s="552">
        <f t="shared" si="21"/>
        <v>214.74799184645573</v>
      </c>
      <c r="E355" s="552">
        <f t="shared" si="22"/>
        <v>6270.0891699569984</v>
      </c>
      <c r="G355" s="552">
        <f t="shared" si="23"/>
        <v>89168.716337628677</v>
      </c>
    </row>
    <row r="356" spans="2:7" x14ac:dyDescent="0.3">
      <c r="B356" s="554">
        <v>347</v>
      </c>
      <c r="C356" s="552">
        <f t="shared" si="20"/>
        <v>6484.8371618034544</v>
      </c>
      <c r="D356" s="552">
        <f t="shared" si="21"/>
        <v>199.64752709547597</v>
      </c>
      <c r="E356" s="552">
        <f t="shared" si="22"/>
        <v>6285.1896347079783</v>
      </c>
      <c r="G356" s="552">
        <f t="shared" si="23"/>
        <v>82898.627167671686</v>
      </c>
    </row>
    <row r="357" spans="2:7" x14ac:dyDescent="0.3">
      <c r="B357" s="554">
        <v>348</v>
      </c>
      <c r="C357" s="552">
        <f t="shared" si="20"/>
        <v>6484.8371618034544</v>
      </c>
      <c r="D357" s="552">
        <f t="shared" si="21"/>
        <v>184.51069539188759</v>
      </c>
      <c r="E357" s="552">
        <f t="shared" si="22"/>
        <v>6300.3264664115668</v>
      </c>
      <c r="G357" s="552">
        <f t="shared" si="23"/>
        <v>76613.437532963711</v>
      </c>
    </row>
    <row r="358" spans="2:7" x14ac:dyDescent="0.3">
      <c r="B358" s="554">
        <v>349</v>
      </c>
      <c r="C358" s="552">
        <f t="shared" si="20"/>
        <v>6484.8371618034544</v>
      </c>
      <c r="D358" s="552">
        <f t="shared" si="21"/>
        <v>169.33740915194639</v>
      </c>
      <c r="E358" s="552">
        <f t="shared" si="22"/>
        <v>6315.4997526515081</v>
      </c>
      <c r="G358" s="552">
        <f t="shared" si="23"/>
        <v>70313.111066552141</v>
      </c>
    </row>
    <row r="359" spans="2:7" x14ac:dyDescent="0.3">
      <c r="B359" s="554">
        <v>350</v>
      </c>
      <c r="C359" s="552">
        <f t="shared" si="20"/>
        <v>6484.8371618034544</v>
      </c>
      <c r="D359" s="552">
        <f t="shared" si="21"/>
        <v>154.12758058097737</v>
      </c>
      <c r="E359" s="552">
        <f t="shared" si="22"/>
        <v>6330.709581222477</v>
      </c>
      <c r="G359" s="552">
        <f t="shared" si="23"/>
        <v>63997.611313900634</v>
      </c>
    </row>
    <row r="360" spans="2:7" x14ac:dyDescent="0.3">
      <c r="B360" s="554">
        <v>351</v>
      </c>
      <c r="C360" s="552">
        <f t="shared" si="20"/>
        <v>6484.8371618034544</v>
      </c>
      <c r="D360" s="552">
        <f t="shared" si="21"/>
        <v>138.88112167286656</v>
      </c>
      <c r="E360" s="552">
        <f t="shared" si="22"/>
        <v>6345.956040130588</v>
      </c>
      <c r="G360" s="552">
        <f t="shared" si="23"/>
        <v>57666.901732678154</v>
      </c>
    </row>
    <row r="361" spans="2:7" x14ac:dyDescent="0.3">
      <c r="B361" s="554">
        <v>352</v>
      </c>
      <c r="C361" s="552">
        <f t="shared" si="20"/>
        <v>6484.8371618034544</v>
      </c>
      <c r="D361" s="552">
        <f t="shared" si="21"/>
        <v>123.59794420955205</v>
      </c>
      <c r="E361" s="552">
        <f t="shared" si="22"/>
        <v>6361.2392175939021</v>
      </c>
      <c r="G361" s="552">
        <f t="shared" si="23"/>
        <v>51320.945692547568</v>
      </c>
    </row>
    <row r="362" spans="2:7" x14ac:dyDescent="0.3">
      <c r="B362" s="554">
        <v>353</v>
      </c>
      <c r="C362" s="552">
        <f t="shared" si="20"/>
        <v>6484.8371618034544</v>
      </c>
      <c r="D362" s="552">
        <f t="shared" si="21"/>
        <v>108.2779597605134</v>
      </c>
      <c r="E362" s="552">
        <f t="shared" si="22"/>
        <v>6376.5592020429413</v>
      </c>
      <c r="G362" s="552">
        <f t="shared" si="23"/>
        <v>44959.706474953666</v>
      </c>
    </row>
    <row r="363" spans="2:7" x14ac:dyDescent="0.3">
      <c r="B363" s="554">
        <v>354</v>
      </c>
      <c r="C363" s="552">
        <f t="shared" si="20"/>
        <v>6484.8371618034544</v>
      </c>
      <c r="D363" s="552">
        <f t="shared" si="21"/>
        <v>92.921079682259986</v>
      </c>
      <c r="E363" s="552">
        <f t="shared" si="22"/>
        <v>6391.9160821211944</v>
      </c>
      <c r="G363" s="552">
        <f t="shared" si="23"/>
        <v>38583.147272910726</v>
      </c>
    </row>
    <row r="364" spans="2:7" x14ac:dyDescent="0.3">
      <c r="B364" s="554">
        <v>355</v>
      </c>
      <c r="C364" s="552">
        <f t="shared" si="20"/>
        <v>6484.8371618034544</v>
      </c>
      <c r="D364" s="552">
        <f t="shared" si="21"/>
        <v>77.527215117818116</v>
      </c>
      <c r="E364" s="552">
        <f t="shared" si="22"/>
        <v>6407.3099466856365</v>
      </c>
      <c r="G364" s="552">
        <f t="shared" si="23"/>
        <v>32191.231190789531</v>
      </c>
    </row>
    <row r="365" spans="2:7" x14ac:dyDescent="0.3">
      <c r="B365" s="554">
        <v>356</v>
      </c>
      <c r="C365" s="552">
        <f t="shared" si="20"/>
        <v>6484.8371618034544</v>
      </c>
      <c r="D365" s="552">
        <f t="shared" si="21"/>
        <v>62.096276996216879</v>
      </c>
      <c r="E365" s="552">
        <f t="shared" si="22"/>
        <v>6422.7408848072373</v>
      </c>
      <c r="G365" s="552">
        <f t="shared" si="23"/>
        <v>25783.921244103894</v>
      </c>
    </row>
    <row r="366" spans="2:7" x14ac:dyDescent="0.3">
      <c r="B366" s="554">
        <v>357</v>
      </c>
      <c r="C366" s="552">
        <f t="shared" si="20"/>
        <v>6484.8371618034544</v>
      </c>
      <c r="D366" s="552">
        <f t="shared" si="21"/>
        <v>46.628176031972778</v>
      </c>
      <c r="E366" s="552">
        <f t="shared" si="22"/>
        <v>6438.2089857714818</v>
      </c>
      <c r="G366" s="552">
        <f t="shared" si="23"/>
        <v>19361.180359296657</v>
      </c>
    </row>
    <row r="367" spans="2:7" x14ac:dyDescent="0.3">
      <c r="B367" s="554">
        <v>358</v>
      </c>
      <c r="C367" s="552">
        <f t="shared" si="20"/>
        <v>6484.8371618034544</v>
      </c>
      <c r="D367" s="552">
        <f t="shared" si="21"/>
        <v>31.12282272457313</v>
      </c>
      <c r="E367" s="552">
        <f t="shared" si="22"/>
        <v>6453.7143390788815</v>
      </c>
      <c r="G367" s="552">
        <f t="shared" si="23"/>
        <v>12922.971373525175</v>
      </c>
    </row>
    <row r="368" spans="2:7" x14ac:dyDescent="0.3">
      <c r="B368" s="554">
        <v>359</v>
      </c>
      <c r="C368" s="552">
        <f t="shared" si="20"/>
        <v>6484.8371618034544</v>
      </c>
      <c r="D368" s="552">
        <f t="shared" si="21"/>
        <v>15.580127357958157</v>
      </c>
      <c r="E368" s="552">
        <f t="shared" si="22"/>
        <v>6469.2570344454962</v>
      </c>
      <c r="G368" s="552">
        <f t="shared" si="23"/>
        <v>6469.2570344462938</v>
      </c>
    </row>
    <row r="369" spans="2:7" x14ac:dyDescent="0.3">
      <c r="B369" s="554">
        <v>360</v>
      </c>
      <c r="C369" s="552">
        <f t="shared" si="20"/>
        <v>7.9954780479359521E-10</v>
      </c>
      <c r="D369" s="552">
        <f t="shared" si="21"/>
        <v>1.9209513387371162E-12</v>
      </c>
      <c r="E369" s="552">
        <f t="shared" si="22"/>
        <v>7.9762685345485806E-10</v>
      </c>
      <c r="G369" s="552">
        <f t="shared" si="23"/>
        <v>7.9762685345485806E-10</v>
      </c>
    </row>
    <row r="370" spans="2:7" x14ac:dyDescent="0.3">
      <c r="B370" s="554">
        <v>361</v>
      </c>
      <c r="C370" s="552">
        <f t="shared" si="20"/>
        <v>0</v>
      </c>
      <c r="D370" s="552">
        <f t="shared" si="21"/>
        <v>0</v>
      </c>
      <c r="E370" s="552">
        <f t="shared" si="22"/>
        <v>0</v>
      </c>
      <c r="G370" s="552">
        <f t="shared" si="23"/>
        <v>0</v>
      </c>
    </row>
    <row r="371" spans="2:7" x14ac:dyDescent="0.3">
      <c r="B371" s="554">
        <v>362</v>
      </c>
      <c r="C371" s="552">
        <f t="shared" si="20"/>
        <v>0</v>
      </c>
      <c r="D371" s="552">
        <f t="shared" si="21"/>
        <v>0</v>
      </c>
      <c r="E371" s="552">
        <f t="shared" si="22"/>
        <v>0</v>
      </c>
      <c r="G371" s="552">
        <f t="shared" si="23"/>
        <v>0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54"/>
    <col min="2" max="2" width="28.44140625" style="580" customWidth="1"/>
    <col min="3" max="3" width="17.88671875" style="581" customWidth="1"/>
    <col min="4" max="4" width="25.5546875" style="580" customWidth="1"/>
    <col min="5" max="5" width="16" style="581" customWidth="1"/>
    <col min="6" max="6" width="12.77734375" style="582" customWidth="1"/>
    <col min="7" max="7" width="13.5546875" style="582" customWidth="1"/>
    <col min="8" max="8" width="26.33203125" style="554" customWidth="1"/>
    <col min="9" max="9" width="17.21875" style="554" customWidth="1"/>
    <col min="10" max="16384" width="8.77734375" style="554"/>
  </cols>
  <sheetData>
    <row r="1" spans="1:8" x14ac:dyDescent="0.3">
      <c r="A1" s="662" t="s">
        <v>392</v>
      </c>
    </row>
    <row r="2" spans="1:8" ht="15" thickBot="1" x14ac:dyDescent="0.35"/>
    <row r="3" spans="1:8" s="587" customFormat="1" ht="29.4" thickBot="1" x14ac:dyDescent="0.35">
      <c r="B3" s="583" t="s">
        <v>323</v>
      </c>
      <c r="C3" s="584">
        <f>'Principle Recapture ARV'!C3</f>
        <v>6484.8371618034544</v>
      </c>
      <c r="D3" s="583"/>
      <c r="E3" s="584"/>
      <c r="F3" s="585" t="s">
        <v>383</v>
      </c>
      <c r="G3" s="586" t="s">
        <v>384</v>
      </c>
      <c r="H3"/>
    </row>
    <row r="4" spans="1:8" x14ac:dyDescent="0.3">
      <c r="B4" s="588" t="s">
        <v>322</v>
      </c>
      <c r="C4" s="589">
        <f>SUM('Principle Recapture ARV'!E9:E20)</f>
        <v>33171.135354666185</v>
      </c>
      <c r="D4" s="590" t="s">
        <v>353</v>
      </c>
      <c r="E4" s="589">
        <f>SUM('Principle Recapture ARV'!D9:D20)</f>
        <v>44646.91058697526</v>
      </c>
      <c r="F4" s="591">
        <f>C4/(C4+E4)</f>
        <v>0.42626533413011186</v>
      </c>
      <c r="G4" s="592">
        <f>C4/'ROI Detail ARV'!$I$3</f>
        <v>4.5352933216661451E-2</v>
      </c>
      <c r="H4"/>
    </row>
    <row r="5" spans="1:8" x14ac:dyDescent="0.3">
      <c r="B5" s="593" t="s">
        <v>324</v>
      </c>
      <c r="C5" s="594">
        <f>SUM('Principle Recapture ARV'!E21:E32)</f>
        <v>34142.58172079613</v>
      </c>
      <c r="D5" s="595" t="s">
        <v>354</v>
      </c>
      <c r="E5" s="594">
        <f>SUM('Principle Recapture ARV'!D21:D32)</f>
        <v>43675.464220845322</v>
      </c>
      <c r="F5" s="596">
        <f t="shared" ref="F5:F33" si="0">C5/(C5+E5)</f>
        <v>0.43874889567904185</v>
      </c>
      <c r="G5" s="592">
        <f>C5/'ROI Detail ARV'!$I$3</f>
        <v>4.668113442821456E-2</v>
      </c>
      <c r="H5"/>
    </row>
    <row r="6" spans="1:8" x14ac:dyDescent="0.3">
      <c r="B6" s="593" t="s">
        <v>325</v>
      </c>
      <c r="C6" s="594">
        <f>SUM('Principle Recapture ARV'!E33:E44)</f>
        <v>35142.477762590694</v>
      </c>
      <c r="D6" s="595" t="s">
        <v>355</v>
      </c>
      <c r="E6" s="594">
        <f>SUM('Principle Recapture ARV'!D33:D44)</f>
        <v>42675.568179050766</v>
      </c>
      <c r="F6" s="596">
        <f t="shared" si="0"/>
        <v>0.45159804949285531</v>
      </c>
      <c r="G6" s="592">
        <f>C6/'ROI Detail ARV'!$I$3</f>
        <v>4.8048233200151343E-2</v>
      </c>
      <c r="H6"/>
    </row>
    <row r="7" spans="1:8" x14ac:dyDescent="0.3">
      <c r="B7" s="593" t="s">
        <v>326</v>
      </c>
      <c r="C7" s="594">
        <f>SUM('Principle Recapture ARV'!E45:E56)</f>
        <v>36171.65665424621</v>
      </c>
      <c r="D7" s="595" t="s">
        <v>356</v>
      </c>
      <c r="E7" s="594">
        <f>SUM('Principle Recapture ARV'!D45:D56)</f>
        <v>41646.389287395235</v>
      </c>
      <c r="F7" s="596">
        <f t="shared" si="0"/>
        <v>0.46482350226800401</v>
      </c>
      <c r="G7" s="592">
        <f>C7/'ROI Detail ARV'!$I$3</f>
        <v>4.945536868231639E-2</v>
      </c>
      <c r="H7"/>
    </row>
    <row r="8" spans="1:8" x14ac:dyDescent="0.3">
      <c r="B8" s="593" t="s">
        <v>327</v>
      </c>
      <c r="C8" s="594">
        <f>SUM('Principle Recapture ARV'!E57:E68)</f>
        <v>37230.975970210609</v>
      </c>
      <c r="D8" s="595" t="s">
        <v>357</v>
      </c>
      <c r="E8" s="594">
        <f>SUM('Principle Recapture ARV'!D57:D68)</f>
        <v>40587.06997143085</v>
      </c>
      <c r="F8" s="596">
        <f t="shared" si="0"/>
        <v>0.47843627425612112</v>
      </c>
      <c r="G8" s="592">
        <f>C8/'ROI Detail ARV'!$I$3</f>
        <v>5.0903713385576442E-2</v>
      </c>
      <c r="H8"/>
    </row>
    <row r="9" spans="1:8" x14ac:dyDescent="0.3">
      <c r="B9" s="593" t="s">
        <v>328</v>
      </c>
      <c r="C9" s="594">
        <f>SUM('Principle Recapture ARV'!E69:E80)</f>
        <v>38321.318399766431</v>
      </c>
      <c r="D9" s="595" t="s">
        <v>358</v>
      </c>
      <c r="E9" s="594">
        <f>SUM('Principle Recapture ARV'!D69:D80)</f>
        <v>39496.727541875007</v>
      </c>
      <c r="F9" s="596">
        <f t="shared" si="0"/>
        <v>0.49244770844676533</v>
      </c>
      <c r="G9" s="592">
        <f>C9/'ROI Detail ARV'!$I$3</f>
        <v>5.2394474158827496E-2</v>
      </c>
      <c r="H9"/>
    </row>
    <row r="10" spans="1:8" x14ac:dyDescent="0.3">
      <c r="B10" s="593" t="s">
        <v>329</v>
      </c>
      <c r="C10" s="594">
        <f>SUM('Principle Recapture ARV'!E81:E92)</f>
        <v>39443.592482541389</v>
      </c>
      <c r="D10" s="595" t="s">
        <v>359</v>
      </c>
      <c r="E10" s="594">
        <f>SUM('Principle Recapture ARV'!D81:D92)</f>
        <v>38374.453459100063</v>
      </c>
      <c r="F10" s="596">
        <f t="shared" si="0"/>
        <v>0.50686948001908905</v>
      </c>
      <c r="G10" s="592">
        <f>C10/'ROI Detail ARV'!$I$3</f>
        <v>5.3928893194614969E-2</v>
      </c>
      <c r="H10"/>
    </row>
    <row r="11" spans="1:8" x14ac:dyDescent="0.3">
      <c r="B11" s="593" t="s">
        <v>330</v>
      </c>
      <c r="C11" s="594">
        <f>SUM('Principle Recapture ARV'!E93:E104)</f>
        <v>40598.73336555867</v>
      </c>
      <c r="D11" s="595" t="s">
        <v>360</v>
      </c>
      <c r="E11" s="594">
        <f>SUM('Principle Recapture ARV'!D93:D104)</f>
        <v>37219.312576082768</v>
      </c>
      <c r="F11" s="596">
        <f t="shared" si="0"/>
        <v>0.52171360607030826</v>
      </c>
      <c r="G11" s="592">
        <f>C11/'ROI Detail ARV'!$I$3</f>
        <v>5.5508249064203811E-2</v>
      </c>
      <c r="H11"/>
    </row>
    <row r="12" spans="1:8" x14ac:dyDescent="0.3">
      <c r="B12" s="593" t="s">
        <v>331</v>
      </c>
      <c r="C12" s="594">
        <f>SUM('Principle Recapture ARV'!E105:E116)</f>
        <v>41787.703582458496</v>
      </c>
      <c r="D12" s="595" t="s">
        <v>361</v>
      </c>
      <c r="E12" s="594">
        <f>SUM('Principle Recapture ARV'!D105:D116)</f>
        <v>36030.342359182949</v>
      </c>
      <c r="F12" s="596">
        <f t="shared" si="0"/>
        <v>0.53699245562907871</v>
      </c>
      <c r="G12" s="592">
        <f>C12/'ROI Detail ARV'!$I$3</f>
        <v>5.7133857782962122E-2</v>
      </c>
      <c r="H12"/>
    </row>
    <row r="13" spans="1:8" x14ac:dyDescent="0.3">
      <c r="B13" s="593" t="s">
        <v>332</v>
      </c>
      <c r="C13" s="594">
        <f>SUM('Principle Recapture ARV'!E117:E128)</f>
        <v>43011.493855539527</v>
      </c>
      <c r="D13" s="595" t="s">
        <v>362</v>
      </c>
      <c r="E13" s="594">
        <f>SUM('Principle Recapture ARV'!D117:D128)</f>
        <v>34806.552086101932</v>
      </c>
      <c r="F13" s="596">
        <f t="shared" si="0"/>
        <v>0.55271875996212216</v>
      </c>
      <c r="G13" s="592">
        <f>C13/'ROI Detail ARV'!$I$3</f>
        <v>5.8807073906944937E-2</v>
      </c>
      <c r="H13"/>
    </row>
    <row r="14" spans="1:8" x14ac:dyDescent="0.3">
      <c r="B14" s="593" t="s">
        <v>333</v>
      </c>
      <c r="C14" s="594">
        <f>SUM('Principle Recapture ARV'!E129:E140)</f>
        <v>44271.123921289036</v>
      </c>
      <c r="D14" s="595" t="s">
        <v>363</v>
      </c>
      <c r="E14" s="594">
        <f>SUM('Principle Recapture ARV'!D129:D140)</f>
        <v>33546.922020352416</v>
      </c>
      <c r="F14" s="596">
        <f t="shared" si="0"/>
        <v>0.56890562318269389</v>
      </c>
      <c r="G14" s="592">
        <f>C14/'ROI Detail ARV'!$I$3</f>
        <v>6.0529291661592884E-2</v>
      </c>
      <c r="H14"/>
    </row>
    <row r="15" spans="1:8" x14ac:dyDescent="0.3">
      <c r="B15" s="593" t="s">
        <v>334</v>
      </c>
      <c r="C15" s="594">
        <f>SUM('Principle Recapture ARV'!E141:E152)</f>
        <v>45567.643380089379</v>
      </c>
      <c r="D15" s="595" t="s">
        <v>364</v>
      </c>
      <c r="E15" s="594">
        <f>SUM('Principle Recapture ARV'!D141:D152)</f>
        <v>32250.402561552073</v>
      </c>
      <c r="F15" s="596">
        <f t="shared" si="0"/>
        <v>0.58556653316972507</v>
      </c>
      <c r="G15" s="592">
        <f>C15/'ROI Detail ARV'!$I$3</f>
        <v>6.2301946103485613E-2</v>
      </c>
      <c r="H15"/>
    </row>
    <row r="16" spans="1:8" x14ac:dyDescent="0.3">
      <c r="B16" s="593" t="s">
        <v>335</v>
      </c>
      <c r="C16" s="594">
        <f>SUM('Principle Recapture ARV'!E153:E164)</f>
        <v>46902.132570808804</v>
      </c>
      <c r="D16" s="595" t="s">
        <v>365</v>
      </c>
      <c r="E16" s="594">
        <f>SUM('Principle Recapture ARV'!D153:D164)</f>
        <v>30915.913370832648</v>
      </c>
      <c r="F16" s="596">
        <f t="shared" si="0"/>
        <v>0.60271537280674459</v>
      </c>
      <c r="G16" s="592">
        <f>C16/'ROI Detail ARV'!$I$3</f>
        <v>6.4126514316118141E-2</v>
      </c>
      <c r="H16"/>
    </row>
    <row r="17" spans="2:8" x14ac:dyDescent="0.3">
      <c r="B17" s="593" t="s">
        <v>336</v>
      </c>
      <c r="C17" s="594">
        <f>SUM('Principle Recapture ARV'!E165:E176)</f>
        <v>48275.703471005545</v>
      </c>
      <c r="D17" s="595" t="s">
        <v>366</v>
      </c>
      <c r="E17" s="594">
        <f>SUM('Principle Recapture ARV'!D165:D176)</f>
        <v>29542.342470635893</v>
      </c>
      <c r="F17" s="596">
        <f t="shared" si="0"/>
        <v>0.62036643154994198</v>
      </c>
      <c r="G17" s="592">
        <f>C17/'ROI Detail ARV'!$I$3</f>
        <v>6.6004516640696675E-2</v>
      </c>
      <c r="H17"/>
    </row>
    <row r="18" spans="2:8" x14ac:dyDescent="0.3">
      <c r="B18" s="593" t="s">
        <v>337</v>
      </c>
      <c r="C18" s="594">
        <f>SUM('Principle Recapture ARV'!E177:E188)</f>
        <v>49689.500623495194</v>
      </c>
      <c r="D18" s="595" t="s">
        <v>367</v>
      </c>
      <c r="E18" s="594">
        <f>SUM('Principle Recapture ARV'!D177:D188)</f>
        <v>28128.545318146269</v>
      </c>
      <c r="F18" s="596">
        <f t="shared" si="0"/>
        <v>0.63853441733501159</v>
      </c>
      <c r="G18" s="592">
        <f>C18/'ROI Detail ARV'!$I$3</f>
        <v>6.7937517942979489E-2</v>
      </c>
    </row>
    <row r="19" spans="2:8" x14ac:dyDescent="0.3">
      <c r="B19" s="593" t="s">
        <v>338</v>
      </c>
      <c r="C19" s="594">
        <f>SUM('Principle Recapture ARV'!E189:E200)</f>
        <v>51144.702090053237</v>
      </c>
      <c r="D19" s="595" t="s">
        <v>368</v>
      </c>
      <c r="E19" s="594">
        <f>SUM('Principle Recapture ARV'!D189:D200)</f>
        <v>26673.343851588219</v>
      </c>
      <c r="F19" s="596">
        <f t="shared" si="0"/>
        <v>0.65723446883269832</v>
      </c>
      <c r="G19" s="592">
        <f>C19/'ROI Detail ARV'!$I$3</f>
        <v>6.9927128917217987E-2</v>
      </c>
    </row>
    <row r="20" spans="2:8" x14ac:dyDescent="0.3">
      <c r="B20" s="593" t="s">
        <v>339</v>
      </c>
      <c r="C20" s="594">
        <f>SUM('Principle Recapture ARV'!E201:E212)</f>
        <v>52642.52043304799</v>
      </c>
      <c r="D20" s="595" t="s">
        <v>369</v>
      </c>
      <c r="E20" s="594">
        <f>SUM('Principle Recapture ARV'!D201:D212)</f>
        <v>25175.525508593473</v>
      </c>
      <c r="F20" s="596">
        <f t="shared" si="0"/>
        <v>0.67648216806326</v>
      </c>
      <c r="G20" s="592">
        <f>C20/'ROI Detail ARV'!$I$3</f>
        <v>7.197500742828547E-2</v>
      </c>
    </row>
    <row r="21" spans="2:8" x14ac:dyDescent="0.3">
      <c r="B21" s="593" t="s">
        <v>340</v>
      </c>
      <c r="C21" s="594">
        <f>SUM('Principle Recapture ARV'!E213:E224)</f>
        <v>54184.203725821135</v>
      </c>
      <c r="D21" s="595" t="s">
        <v>370</v>
      </c>
      <c r="E21" s="594">
        <f>SUM('Principle Recapture ARV'!D213:D224)</f>
        <v>23633.842215820321</v>
      </c>
      <c r="F21" s="596">
        <f t="shared" si="0"/>
        <v>0.69629355338035359</v>
      </c>
      <c r="G21" s="592">
        <f>C21/'ROI Detail ARV'!$I$3</f>
        <v>7.4082859893110656E-2</v>
      </c>
    </row>
    <row r="22" spans="2:8" x14ac:dyDescent="0.3">
      <c r="B22" s="593" t="s">
        <v>341</v>
      </c>
      <c r="C22" s="594">
        <f>SUM('Principle Recapture ARV'!E225:E236)</f>
        <v>55771.036592658449</v>
      </c>
      <c r="D22" s="595" t="s">
        <v>371</v>
      </c>
      <c r="E22" s="594">
        <f>SUM('Principle Recapture ARV'!D225:D236)</f>
        <v>22047.009348983003</v>
      </c>
      <c r="F22" s="596">
        <f t="shared" si="0"/>
        <v>0.71668513283516722</v>
      </c>
      <c r="G22" s="592">
        <f>C22/'ROI Detail ARV'!$I$3</f>
        <v>7.6252442702568299E-2</v>
      </c>
    </row>
    <row r="23" spans="2:8" x14ac:dyDescent="0.3">
      <c r="B23" s="593" t="s">
        <v>342</v>
      </c>
      <c r="C23" s="594">
        <f>SUM('Principle Recapture ARV'!E237:E248)</f>
        <v>57404.341279216824</v>
      </c>
      <c r="D23" s="595" t="s">
        <v>372</v>
      </c>
      <c r="E23" s="594">
        <f>SUM('Principle Recapture ARV'!D237:D248)</f>
        <v>20413.704662424643</v>
      </c>
      <c r="F23" s="596">
        <f t="shared" si="0"/>
        <v>0.73767389793193205</v>
      </c>
      <c r="G23" s="592">
        <f>C23/'ROI Detail ARV'!$I$3</f>
        <v>7.8485563685010695E-2</v>
      </c>
    </row>
    <row r="24" spans="2:8" x14ac:dyDescent="0.3">
      <c r="B24" s="593" t="s">
        <v>343</v>
      </c>
      <c r="C24" s="594">
        <f>SUM('Principle Recapture ARV'!E249:E260)</f>
        <v>59085.478754299773</v>
      </c>
      <c r="D24" s="595" t="s">
        <v>373</v>
      </c>
      <c r="E24" s="594">
        <f>SUM('Principle Recapture ARV'!D249:D260)</f>
        <v>18732.56718734169</v>
      </c>
      <c r="F24" s="596">
        <f t="shared" si="0"/>
        <v>0.7592773377862776</v>
      </c>
      <c r="G24" s="592">
        <f>C24/'ROI Detail ARV'!$I$3</f>
        <v>8.0784083612660346E-2</v>
      </c>
    </row>
    <row r="25" spans="2:8" x14ac:dyDescent="0.3">
      <c r="B25" s="593" t="s">
        <v>344</v>
      </c>
      <c r="C25" s="594">
        <f>SUM('Principle Recapture ARV'!E261:E272)</f>
        <v>60815.849843899443</v>
      </c>
      <c r="D25" s="595" t="s">
        <v>374</v>
      </c>
      <c r="E25" s="594">
        <f>SUM('Principle Recapture ARV'!D261:D272)</f>
        <v>17002.196097742002</v>
      </c>
      <c r="F25" s="596">
        <f t="shared" si="0"/>
        <v>0.78151345369822633</v>
      </c>
      <c r="G25" s="592">
        <f>C25/'ROI Detail ARV'!$I$3</f>
        <v>8.3149917752118468E-2</v>
      </c>
    </row>
    <row r="26" spans="2:8" x14ac:dyDescent="0.3">
      <c r="B26" s="593" t="s">
        <v>345</v>
      </c>
      <c r="C26" s="594">
        <f>SUM('Principle Recapture ARV'!E273:E284)</f>
        <v>62596.896398450073</v>
      </c>
      <c r="D26" s="595" t="s">
        <v>375</v>
      </c>
      <c r="E26" s="594">
        <f>SUM('Principle Recapture ARV'!D273:D284)</f>
        <v>15221.149543191388</v>
      </c>
      <c r="F26" s="596">
        <f t="shared" si="0"/>
        <v>0.80440077415197142</v>
      </c>
      <c r="G26" s="592">
        <f>C26/'ROI Detail ARV'!$I$3</f>
        <v>8.5585037460281746E-2</v>
      </c>
    </row>
    <row r="27" spans="2:8" x14ac:dyDescent="0.3">
      <c r="B27" s="593" t="s">
        <v>346</v>
      </c>
      <c r="C27" s="594">
        <f>SUM('Principle Recapture ARV'!E285:E296)</f>
        <v>64430.102494265317</v>
      </c>
      <c r="D27" s="595" t="s">
        <v>376</v>
      </c>
      <c r="E27" s="594">
        <f>SUM('Principle Recapture ARV'!D285:D296)</f>
        <v>13387.943447376138</v>
      </c>
      <c r="F27" s="596">
        <f t="shared" si="0"/>
        <v>0.82795837025493757</v>
      </c>
      <c r="G27" s="592">
        <f>C27/'ROI Detail ARV'!$I$3</f>
        <v>8.8091471826996601E-2</v>
      </c>
    </row>
    <row r="28" spans="2:8" x14ac:dyDescent="0.3">
      <c r="B28" s="593" t="s">
        <v>347</v>
      </c>
      <c r="C28" s="594">
        <f>SUM('Principle Recapture ARV'!E297:E308)</f>
        <v>66316.995670161064</v>
      </c>
      <c r="D28" s="595" t="s">
        <v>377</v>
      </c>
      <c r="E28" s="594">
        <f>SUM('Principle Recapture ARV'!D297:D308)</f>
        <v>11501.050271480386</v>
      </c>
      <c r="F28" s="596">
        <f t="shared" si="0"/>
        <v>0.85220587162898642</v>
      </c>
      <c r="G28" s="592">
        <f>C28/'ROI Detail ARV'!$I$3</f>
        <v>9.0671309365820435E-2</v>
      </c>
    </row>
    <row r="29" spans="2:8" x14ac:dyDescent="0.3">
      <c r="B29" s="593" t="s">
        <v>348</v>
      </c>
      <c r="C29" s="594">
        <f>SUM('Principle Recapture ARV'!E309:E320)</f>
        <v>68259.148200293581</v>
      </c>
      <c r="D29" s="595" t="s">
        <v>378</v>
      </c>
      <c r="E29" s="594">
        <f>SUM('Principle Recapture ARV'!D309:D320)</f>
        <v>9558.8977413478715</v>
      </c>
      <c r="F29" s="596">
        <f t="shared" si="0"/>
        <v>0.87716348276701228</v>
      </c>
      <c r="G29" s="592">
        <f>C29/'ROI Detail ARV'!$I$3</f>
        <v>9.3326699754298026E-2</v>
      </c>
    </row>
    <row r="30" spans="2:8" x14ac:dyDescent="0.3">
      <c r="B30" s="593" t="s">
        <v>349</v>
      </c>
      <c r="C30" s="594">
        <f>SUM('Principle Recapture ARV'!E321:E332)</f>
        <v>70258.178404274004</v>
      </c>
      <c r="D30" s="595" t="s">
        <v>379</v>
      </c>
      <c r="E30" s="594">
        <f>SUM('Principle Recapture ARV'!D321:D332)</f>
        <v>7559.8675373674514</v>
      </c>
      <c r="F30" s="596">
        <f t="shared" si="0"/>
        <v>0.90285199986855402</v>
      </c>
      <c r="G30" s="592">
        <f>C30/'ROI Detail ARV'!$I$3</f>
        <v>9.6059855625203722E-2</v>
      </c>
    </row>
    <row r="31" spans="2:8" x14ac:dyDescent="0.3">
      <c r="B31" s="593" t="s">
        <v>350</v>
      </c>
      <c r="C31" s="594">
        <f>SUM('Principle Recapture ARV'!E333:E344)</f>
        <v>72315.751995650644</v>
      </c>
      <c r="D31" s="595" t="s">
        <v>380</v>
      </c>
      <c r="E31" s="594">
        <f>SUM('Principle Recapture ARV'!D333:D344)</f>
        <v>5502.2939459908093</v>
      </c>
      <c r="F31" s="596">
        <f t="shared" si="0"/>
        <v>0.92929282816845371</v>
      </c>
      <c r="G31" s="592">
        <f>C31/'ROI Detail ARV'!$I$3</f>
        <v>9.8873054410241509E-2</v>
      </c>
    </row>
    <row r="32" spans="2:8" x14ac:dyDescent="0.3">
      <c r="B32" s="593" t="s">
        <v>351</v>
      </c>
      <c r="C32" s="594">
        <f>SUM('Principle Recapture ARV'!E345:E356)</f>
        <v>74433.583469882855</v>
      </c>
      <c r="D32" s="595" t="s">
        <v>381</v>
      </c>
      <c r="E32" s="594">
        <f>SUM('Principle Recapture ARV'!D345:D356)</f>
        <v>3384.4624717585962</v>
      </c>
      <c r="F32" s="596">
        <f t="shared" si="0"/>
        <v>0.95650799977299961</v>
      </c>
      <c r="G32" s="592">
        <f>C32/'ROI Detail ARV'!$I$3</f>
        <v>0.10176864023773975</v>
      </c>
    </row>
    <row r="33" spans="2:7" ht="15" thickBot="1" x14ac:dyDescent="0.35">
      <c r="B33" s="597" t="s">
        <v>352</v>
      </c>
      <c r="C33" s="598">
        <f>SUM('Principle Recapture ARV'!E357:E368)</f>
        <v>76613.437532962911</v>
      </c>
      <c r="D33" s="599" t="s">
        <v>382</v>
      </c>
      <c r="E33" s="598">
        <f>SUM('Principle Recapture ARV'!D357:D368)</f>
        <v>1204.6084086785424</v>
      </c>
      <c r="F33" s="600">
        <f t="shared" si="0"/>
        <v>0.98452019201841789</v>
      </c>
      <c r="G33" s="592">
        <f>C33/'ROI Detail ARV'!$I$3</f>
        <v>0.1047490258859214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19"/>
  <sheetViews>
    <sheetView workbookViewId="0"/>
  </sheetViews>
  <sheetFormatPr defaultColWidth="8.77734375" defaultRowHeight="14.4" x14ac:dyDescent="0.3"/>
  <cols>
    <col min="1" max="1" width="34.77734375" style="554" customWidth="1"/>
    <col min="2" max="2" width="23" style="554" customWidth="1"/>
    <col min="3" max="3" width="14.21875" style="554" customWidth="1"/>
    <col min="4" max="4" width="4.33203125" style="554" customWidth="1"/>
    <col min="5" max="5" width="23" style="554" customWidth="1"/>
    <col min="6" max="6" width="14.21875" style="554" customWidth="1"/>
    <col min="7" max="7" width="8.77734375" style="554"/>
    <col min="8" max="8" width="27.77734375" style="554" customWidth="1"/>
    <col min="9" max="16384" width="8.77734375" style="554"/>
  </cols>
  <sheetData>
    <row r="1" spans="1:8" ht="16.2" thickBot="1" x14ac:dyDescent="0.35">
      <c r="A1" s="662" t="s">
        <v>392</v>
      </c>
      <c r="B1" s="898" t="s">
        <v>293</v>
      </c>
      <c r="C1" s="898"/>
      <c r="E1" s="898" t="s">
        <v>294</v>
      </c>
      <c r="F1" s="898"/>
    </row>
    <row r="2" spans="1:8" ht="18" x14ac:dyDescent="0.3">
      <c r="B2" s="896" t="s">
        <v>155</v>
      </c>
      <c r="C2" s="897"/>
      <c r="E2" s="896" t="s">
        <v>155</v>
      </c>
      <c r="F2" s="897"/>
      <c r="H2"/>
    </row>
    <row r="3" spans="1:8" ht="15.6" x14ac:dyDescent="0.3">
      <c r="B3" s="601" t="s">
        <v>95</v>
      </c>
      <c r="C3" s="602">
        <f>'ROI Number insert'!F3</f>
        <v>2200000</v>
      </c>
      <c r="E3" s="601" t="s">
        <v>288</v>
      </c>
      <c r="F3" s="602">
        <f>'ROI Number insert ARV'!E3</f>
        <v>2400000</v>
      </c>
      <c r="H3"/>
    </row>
    <row r="4" spans="1:8" ht="15.6" x14ac:dyDescent="0.3">
      <c r="B4" s="601" t="s">
        <v>20</v>
      </c>
      <c r="C4" s="603">
        <f>'Calculating offering price'!C13</f>
        <v>0.35</v>
      </c>
      <c r="E4" s="601" t="s">
        <v>20</v>
      </c>
      <c r="F4" s="603">
        <f>'ROI Number insert ARV'!E9</f>
        <v>0.35</v>
      </c>
      <c r="H4"/>
    </row>
    <row r="5" spans="1:8" ht="15.6" x14ac:dyDescent="0.3">
      <c r="B5" s="601" t="s">
        <v>156</v>
      </c>
      <c r="C5" s="604">
        <f>'ROI Number insert'!F4</f>
        <v>25</v>
      </c>
      <c r="E5" s="601" t="s">
        <v>156</v>
      </c>
      <c r="F5" s="604">
        <f>'ROI Number insert ARV'!E4</f>
        <v>30</v>
      </c>
      <c r="H5"/>
    </row>
    <row r="6" spans="1:8" ht="15.6" x14ac:dyDescent="0.3">
      <c r="B6" s="601" t="s">
        <v>157</v>
      </c>
      <c r="C6" s="605">
        <v>12</v>
      </c>
      <c r="E6" s="601" t="s">
        <v>157</v>
      </c>
      <c r="F6" s="605">
        <v>12</v>
      </c>
      <c r="H6"/>
    </row>
    <row r="7" spans="1:8" ht="15.6" x14ac:dyDescent="0.3">
      <c r="B7" s="601" t="s">
        <v>158</v>
      </c>
      <c r="C7" s="603">
        <f>'ROI Number insert'!F5</f>
        <v>6.25E-2</v>
      </c>
      <c r="E7" s="601" t="s">
        <v>158</v>
      </c>
      <c r="F7" s="603">
        <f>'ROI Number insert ARV'!E5</f>
        <v>2.8899999999999999E-2</v>
      </c>
      <c r="H7"/>
    </row>
    <row r="8" spans="1:8" ht="15.6" x14ac:dyDescent="0.3">
      <c r="B8" s="601" t="s">
        <v>159</v>
      </c>
      <c r="C8" s="606">
        <f>C5*C6</f>
        <v>300</v>
      </c>
      <c r="E8" s="601" t="s">
        <v>159</v>
      </c>
      <c r="F8" s="606">
        <f>F5*F6</f>
        <v>360</v>
      </c>
      <c r="H8"/>
    </row>
    <row r="9" spans="1:8" ht="15.6" x14ac:dyDescent="0.3">
      <c r="B9" s="601" t="s">
        <v>160</v>
      </c>
      <c r="C9" s="602">
        <f>C3*C4</f>
        <v>770000</v>
      </c>
      <c r="E9" s="601" t="s">
        <v>160</v>
      </c>
      <c r="F9" s="602">
        <f>F3*F4</f>
        <v>840000</v>
      </c>
      <c r="H9"/>
    </row>
    <row r="10" spans="1:8" ht="15.6" x14ac:dyDescent="0.3">
      <c r="B10" s="601" t="s">
        <v>109</v>
      </c>
      <c r="C10" s="602">
        <f>C3-C9</f>
        <v>1430000</v>
      </c>
      <c r="E10" s="601" t="s">
        <v>109</v>
      </c>
      <c r="F10" s="602">
        <f>F3-F9</f>
        <v>1560000</v>
      </c>
      <c r="H10"/>
    </row>
    <row r="11" spans="1:8" ht="16.2" thickBot="1" x14ac:dyDescent="0.35">
      <c r="B11" s="607" t="s">
        <v>161</v>
      </c>
      <c r="C11" s="608">
        <f>-PMT(C7/C6,C8,C10,0)</f>
        <v>9433.2721099051178</v>
      </c>
      <c r="E11" s="607" t="s">
        <v>161</v>
      </c>
      <c r="F11" s="608">
        <f>-PMT(F7/F6,F8,F10,0)</f>
        <v>6484.8371618034544</v>
      </c>
      <c r="H11"/>
    </row>
    <row r="12" spans="1:8" ht="15" thickBot="1" x14ac:dyDescent="0.35">
      <c r="H12"/>
    </row>
    <row r="13" spans="1:8" ht="18" x14ac:dyDescent="0.3">
      <c r="B13" s="896" t="s">
        <v>244</v>
      </c>
      <c r="C13" s="897"/>
      <c r="E13" s="896" t="s">
        <v>244</v>
      </c>
      <c r="F13" s="897"/>
      <c r="H13"/>
    </row>
    <row r="14" spans="1:8" ht="15.6" x14ac:dyDescent="0.3">
      <c r="B14" s="609" t="s">
        <v>245</v>
      </c>
      <c r="C14" s="610">
        <v>0</v>
      </c>
      <c r="E14" s="609" t="s">
        <v>245</v>
      </c>
      <c r="F14" s="610">
        <v>0</v>
      </c>
      <c r="H14"/>
    </row>
    <row r="15" spans="1:8" ht="15.6" x14ac:dyDescent="0.3">
      <c r="B15" s="601" t="s">
        <v>156</v>
      </c>
      <c r="C15" s="611">
        <v>0</v>
      </c>
      <c r="E15" s="601" t="s">
        <v>156</v>
      </c>
      <c r="F15" s="611">
        <v>0</v>
      </c>
      <c r="H15"/>
    </row>
    <row r="16" spans="1:8" ht="15.6" x14ac:dyDescent="0.3">
      <c r="B16" s="601" t="s">
        <v>157</v>
      </c>
      <c r="C16" s="605">
        <v>12</v>
      </c>
      <c r="E16" s="601" t="s">
        <v>157</v>
      </c>
      <c r="F16" s="605">
        <v>12</v>
      </c>
      <c r="H16"/>
    </row>
    <row r="17" spans="2:6" ht="15.6" x14ac:dyDescent="0.3">
      <c r="B17" s="601" t="s">
        <v>158</v>
      </c>
      <c r="C17" s="612">
        <v>0</v>
      </c>
      <c r="E17" s="601" t="s">
        <v>158</v>
      </c>
      <c r="F17" s="612">
        <v>0</v>
      </c>
    </row>
    <row r="18" spans="2:6" ht="15.6" x14ac:dyDescent="0.3">
      <c r="B18" s="601" t="s">
        <v>159</v>
      </c>
      <c r="C18" s="606">
        <f>C15*C16</f>
        <v>0</v>
      </c>
      <c r="E18" s="601" t="s">
        <v>159</v>
      </c>
      <c r="F18" s="606">
        <f>F15*F16</f>
        <v>0</v>
      </c>
    </row>
    <row r="19" spans="2:6" ht="16.2" thickBot="1" x14ac:dyDescent="0.35">
      <c r="B19" s="607" t="s">
        <v>161</v>
      </c>
      <c r="C19" s="608" t="e">
        <f>-PMT(C17/C16,C18,C14,0)</f>
        <v>#NUM!</v>
      </c>
      <c r="E19" s="607" t="s">
        <v>161</v>
      </c>
      <c r="F19" s="608" t="e">
        <f>-PMT(F17/F16,F18,F14,0)</f>
        <v>#NUM!</v>
      </c>
    </row>
  </sheetData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>
      <selection activeCell="C20" sqref="C20"/>
    </sheetView>
  </sheetViews>
  <sheetFormatPr defaultColWidth="8.77734375" defaultRowHeight="14.4" x14ac:dyDescent="0.3"/>
  <cols>
    <col min="1" max="1" width="35.21875" style="554" customWidth="1"/>
    <col min="2" max="2" width="22.33203125" style="554" customWidth="1"/>
    <col min="3" max="3" width="12.77734375" style="554" customWidth="1"/>
    <col min="4" max="4" width="3.21875" style="554" customWidth="1"/>
    <col min="5" max="5" width="22.33203125" style="554" customWidth="1"/>
    <col min="6" max="6" width="12.77734375" style="554" customWidth="1"/>
    <col min="7" max="7" width="8.77734375" style="554"/>
    <col min="8" max="8" width="27.33203125" style="554" customWidth="1"/>
    <col min="9" max="16384" width="8.77734375" style="554"/>
  </cols>
  <sheetData>
    <row r="1" spans="1:8" ht="16.2" thickBot="1" x14ac:dyDescent="0.35">
      <c r="A1" s="662" t="s">
        <v>392</v>
      </c>
      <c r="B1" s="901" t="s">
        <v>293</v>
      </c>
      <c r="C1" s="901"/>
      <c r="E1" s="901" t="s">
        <v>294</v>
      </c>
      <c r="F1" s="901"/>
      <c r="H1"/>
    </row>
    <row r="2" spans="1:8" ht="16.2" thickBot="1" x14ac:dyDescent="0.35">
      <c r="B2" s="899" t="s">
        <v>162</v>
      </c>
      <c r="C2" s="900"/>
      <c r="E2" s="899" t="s">
        <v>162</v>
      </c>
      <c r="F2" s="900"/>
      <c r="H2"/>
    </row>
    <row r="3" spans="1:8" ht="16.8" thickTop="1" thickBot="1" x14ac:dyDescent="0.35">
      <c r="B3" s="613" t="s">
        <v>163</v>
      </c>
      <c r="C3" s="750">
        <v>0</v>
      </c>
      <c r="E3" s="613" t="s">
        <v>163</v>
      </c>
      <c r="F3" s="750">
        <v>0</v>
      </c>
      <c r="H3"/>
    </row>
    <row r="4" spans="1:8" ht="16.8" thickTop="1" thickBot="1" x14ac:dyDescent="0.35">
      <c r="B4" s="614" t="s">
        <v>164</v>
      </c>
      <c r="C4" s="710">
        <v>0</v>
      </c>
      <c r="E4" s="614" t="s">
        <v>164</v>
      </c>
      <c r="F4" s="710">
        <v>0</v>
      </c>
      <c r="H4"/>
    </row>
    <row r="5" spans="1:8" ht="16.8" thickTop="1" thickBot="1" x14ac:dyDescent="0.35">
      <c r="B5" s="614" t="s">
        <v>165</v>
      </c>
      <c r="C5" s="750">
        <v>0</v>
      </c>
      <c r="E5" s="614" t="s">
        <v>165</v>
      </c>
      <c r="F5" s="750">
        <v>0</v>
      </c>
      <c r="H5"/>
    </row>
    <row r="6" spans="1:8" ht="16.8" thickTop="1" thickBot="1" x14ac:dyDescent="0.35">
      <c r="B6" s="615" t="s">
        <v>166</v>
      </c>
      <c r="C6" s="616">
        <f>C3*C4/12+C5</f>
        <v>0</v>
      </c>
      <c r="E6" s="615" t="s">
        <v>166</v>
      </c>
      <c r="F6" s="616">
        <f>F3*F4/12+F5</f>
        <v>0</v>
      </c>
      <c r="H6"/>
    </row>
    <row r="7" spans="1:8" x14ac:dyDescent="0.3">
      <c r="H7"/>
    </row>
    <row r="8" spans="1:8" x14ac:dyDescent="0.3">
      <c r="H8"/>
    </row>
    <row r="9" spans="1:8" x14ac:dyDescent="0.3">
      <c r="H9"/>
    </row>
    <row r="10" spans="1:8" x14ac:dyDescent="0.3">
      <c r="H10"/>
    </row>
    <row r="11" spans="1:8" x14ac:dyDescent="0.3">
      <c r="H11"/>
    </row>
    <row r="12" spans="1:8" x14ac:dyDescent="0.3">
      <c r="H12"/>
    </row>
    <row r="13" spans="1:8" x14ac:dyDescent="0.3">
      <c r="H13"/>
    </row>
    <row r="14" spans="1:8" x14ac:dyDescent="0.3">
      <c r="H14"/>
    </row>
    <row r="15" spans="1:8" x14ac:dyDescent="0.3">
      <c r="H15"/>
    </row>
    <row r="16" spans="1:8" x14ac:dyDescent="0.3">
      <c r="H16"/>
    </row>
    <row r="17" spans="8:8" x14ac:dyDescent="0.3">
      <c r="H17"/>
    </row>
  </sheetData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Outputs</vt:lpstr>
      <vt:lpstr>Calculating offering price</vt:lpstr>
      <vt:lpstr>ROI Number insert</vt:lpstr>
      <vt:lpstr>ROI details</vt:lpstr>
      <vt:lpstr>Total Result</vt:lpstr>
      <vt:lpstr>Total CF</vt:lpstr>
      <vt:lpstr>Graph</vt:lpstr>
      <vt:lpstr>Financial Statement</vt:lpstr>
      <vt:lpstr>Principal Recapture</vt:lpstr>
      <vt:lpstr>PR Result</vt:lpstr>
      <vt:lpstr>Calculating offering price ARV</vt:lpstr>
      <vt:lpstr>ROI Number insert ARV</vt:lpstr>
      <vt:lpstr>Financial Statement ARV</vt:lpstr>
      <vt:lpstr>ROI Detail ARV</vt:lpstr>
      <vt:lpstr>Principle Recapture ARV</vt:lpstr>
      <vt:lpstr>PR ARV result</vt:lpstr>
      <vt:lpstr>Mortgage Caculator</vt:lpstr>
      <vt:lpstr>Debt payment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2022-12-24T20:47:00Z</dcterms:modified>
</cp:coreProperties>
</file>