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0.xml" ContentType="application/vnd.openxmlformats-officedocument.drawing+xml"/>
  <Override PartName="/xl/webextensions/webextension1.xml" ContentType="application/vnd.ms-office.webextension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E9759FAF-46E8-4EF1-9618-77B3E2D28F79}" xr6:coauthVersionLast="47" xr6:coauthVersionMax="47" xr10:uidLastSave="{00000000-0000-0000-0000-000000000000}"/>
  <workbookProtection workbookAlgorithmName="SHA-512" workbookHashValue="3k4FIN3hcZC2fHdTw9bi/nJH7pJWmbLoW0y8SZJ/yMlxb5laEmMx4DdfoHwTowBII9ICLFtlu+s/UzpzfVXMeQ==" workbookSaltValue="mhGe/jAhnlKfk5TWaZZ+5Q==" workbookSpinCount="100000" lockStructure="1"/>
  <bookViews>
    <workbookView xWindow="-108" yWindow="-108" windowWidth="23256" windowHeight="12456" xr2:uid="{D473BC54-900F-4A3E-8C3D-C23A812F35C1}"/>
  </bookViews>
  <sheets>
    <sheet name="Table of contents" sheetId="22" r:id="rId1"/>
    <sheet name="Outputs" sheetId="21" r:id="rId2"/>
    <sheet name="Total Result" sheetId="7" r:id="rId3"/>
    <sheet name="Total CF" sheetId="20" r:id="rId4"/>
    <sheet name="Graph" sheetId="16" r:id="rId5"/>
    <sheet name="ROI details" sheetId="8" r:id="rId6"/>
    <sheet name="Financial Statement" sheetId="9" r:id="rId7"/>
    <sheet name="Calculating offering price" sheetId="2" r:id="rId8"/>
    <sheet name="ROI Number insert" sheetId="3" r:id="rId9"/>
    <sheet name="Principal Recapture" sheetId="6" r:id="rId10"/>
    <sheet name="PR Result" sheetId="18" r:id="rId11"/>
    <sheet name="Financial Statement ARV" sheetId="11" r:id="rId12"/>
    <sheet name="Calculating offering price ARV" sheetId="13" r:id="rId13"/>
    <sheet name="ROI Detail ARV" sheetId="12" r:id="rId14"/>
    <sheet name="ROI Number insert ARV" sheetId="14" r:id="rId15"/>
    <sheet name="Principle Recapture ARV" sheetId="15" r:id="rId16"/>
    <sheet name="PR ARV result" sheetId="19" r:id="rId17"/>
    <sheet name="Mortgage Caculator" sheetId="4" r:id="rId18"/>
    <sheet name="Debt payment Calculator" sheetId="5" r:id="rId19"/>
    <sheet name="Capital Budgeting" sheetId="10" r:id="rId20"/>
    <sheet name="Deal structure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3" l="1"/>
  <c r="C5" i="2"/>
  <c r="C28" i="2"/>
  <c r="G28" i="2" l="1"/>
  <c r="C32" i="2" l="1"/>
  <c r="I3" i="3" l="1" a="1"/>
  <c r="I3" i="3" s="1"/>
  <c r="B6" i="21"/>
  <c r="B5" i="21"/>
  <c r="B4" i="21"/>
  <c r="B3" i="21"/>
  <c r="B2" i="21"/>
  <c r="B25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6" i="13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25" i="21" s="1"/>
  <c r="E25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C30" i="2"/>
  <c r="I16" i="3" s="1"/>
  <c r="C17" i="9" s="1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22" i="21" s="1"/>
  <c r="J3" i="20" l="1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25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F25" i="10" s="1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29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0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19" i="21" a="1"/>
  <c r="C19" i="21" s="1"/>
  <c r="D18" i="17"/>
  <c r="B11" i="21"/>
  <c r="C24" i="9"/>
  <c r="C47" i="7" s="1"/>
  <c r="C27" i="21" s="1"/>
  <c r="C41" i="20"/>
  <c r="D5" i="8"/>
  <c r="C39" i="20"/>
  <c r="D3" i="20" s="1"/>
  <c r="D19" i="21" s="1" a="1"/>
  <c r="D19" i="21" s="1"/>
  <c r="G11" i="6"/>
  <c r="E3" i="20"/>
  <c r="E19" i="21" s="1" a="1"/>
  <c r="E19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C69" i="7"/>
  <c r="C63" i="7"/>
  <c r="I19" i="10"/>
  <c r="I20" i="10" s="1"/>
  <c r="J20" i="8"/>
  <c r="D63" i="7" s="1"/>
  <c r="I11" i="10"/>
  <c r="I12" i="10" s="1"/>
  <c r="I16" i="10" s="1"/>
  <c r="I17" i="10" s="1"/>
  <c r="C56" i="7"/>
  <c r="C12" i="8"/>
  <c r="D54" i="7" s="1"/>
  <c r="I10" i="10"/>
  <c r="I14" i="10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0" i="10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E32" i="8"/>
  <c r="C47" i="8"/>
  <c r="I24" i="10"/>
  <c r="I25" i="10" s="1"/>
  <c r="I22" i="10"/>
  <c r="D21" i="15" l="1"/>
  <c r="E21" i="15" s="1"/>
  <c r="E11" i="6"/>
  <c r="C29" i="8"/>
  <c r="C50" i="8"/>
  <c r="C26" i="10"/>
  <c r="F11" i="10"/>
  <c r="C67" i="7"/>
  <c r="G67" i="7" s="1"/>
  <c r="C49" i="8"/>
  <c r="D67" i="7" s="1"/>
  <c r="G12" i="6" l="1"/>
  <c r="G22" i="15"/>
  <c r="C30" i="10"/>
  <c r="C31" i="10" s="1"/>
  <c r="C28" i="10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2" i="21" s="1" a="1"/>
  <c r="E22" i="21" s="1"/>
  <c r="D27" i="15"/>
  <c r="C27" i="15"/>
  <c r="C20" i="6" l="1"/>
  <c r="E20" i="6" s="1"/>
  <c r="C5" i="18" s="1"/>
  <c r="E27" i="15"/>
  <c r="G28" i="15" s="1"/>
  <c r="D28" i="15" s="1"/>
  <c r="F5" i="18" l="1"/>
  <c r="F22" i="21" s="1" a="1"/>
  <c r="F22" i="21" s="1"/>
  <c r="D22" i="21" a="1"/>
  <c r="D22" i="21" s="1"/>
  <c r="C28" i="15"/>
  <c r="E28" i="15" s="1"/>
  <c r="G29" i="15" s="1"/>
  <c r="D29" i="15" s="1"/>
  <c r="G5" i="18"/>
  <c r="G22" i="21" s="1" a="1"/>
  <c r="G22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1" i="21" s="1"/>
  <c r="C28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C5" i="19"/>
  <c r="F5" i="19" s="1"/>
  <c r="C33" i="15"/>
  <c r="D33" i="15"/>
  <c r="D23" i="6"/>
  <c r="C23" i="6"/>
  <c r="E23" i="6" l="1"/>
  <c r="G24" i="6" s="1"/>
  <c r="E33" i="15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D62" i="6"/>
  <c r="C62" i="6"/>
  <c r="G73" i="15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/>
  <c r="D104" i="15"/>
  <c r="C92" i="6"/>
  <c r="D92" i="6"/>
  <c r="E11" i="18" s="1"/>
  <c r="E92" i="6" l="1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E94" i="6"/>
  <c r="G95" i="6" s="1"/>
  <c r="G107" i="15"/>
  <c r="D95" i="6" l="1"/>
  <c r="C95" i="6"/>
  <c r="D107" i="15"/>
  <c r="C107" i="15"/>
  <c r="E107" i="15" s="1"/>
  <c r="E95" i="6" l="1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C116" i="6"/>
  <c r="E116" i="6" s="1"/>
  <c r="G117" i="6" s="1"/>
  <c r="D117" i="6" s="1"/>
  <c r="G130" i="15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E118" i="6"/>
  <c r="G119" i="6" s="1"/>
  <c r="G132" i="15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F29" i="10"/>
  <c r="F26" i="10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F30" i="10"/>
  <c r="F31" i="10" s="1"/>
  <c r="F28" i="10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s="1"/>
  <c r="G211" i="15" s="1"/>
  <c r="C192" i="6" l="1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s="1"/>
  <c r="C236" i="6" l="1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s="1"/>
  <c r="E264" i="6" l="1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s="1"/>
  <c r="G293" i="15" s="1"/>
  <c r="C272" i="6" l="1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D306" i="15"/>
  <c r="G285" i="6"/>
  <c r="C27" i="18"/>
  <c r="G27" i="18" s="1"/>
  <c r="E306" i="15" l="1"/>
  <c r="G307" i="15" s="1"/>
  <c r="D307" i="15"/>
  <c r="C307" i="15"/>
  <c r="E307" i="15" s="1"/>
  <c r="G308" i="15" s="1"/>
  <c r="D308" i="15" s="1"/>
  <c r="C285" i="6"/>
  <c r="D285" i="6"/>
  <c r="F27" i="18"/>
  <c r="C308" i="15" l="1"/>
  <c r="E308" i="15" s="1"/>
  <c r="E28" i="19"/>
  <c r="E285" i="6"/>
  <c r="G286" i="6" l="1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/>
  <c r="G318" i="15" s="1"/>
  <c r="E295" i="6"/>
  <c r="D318" i="15"/>
  <c r="C318" i="15"/>
  <c r="E318" i="15" s="1"/>
  <c r="G319" i="15" s="1"/>
  <c r="G296" i="6" l="1"/>
  <c r="C319" i="15"/>
  <c r="D319" i="15"/>
  <c r="C296" i="6" l="1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33" i="15"/>
  <c r="D311" i="6"/>
  <c r="C311" i="6"/>
  <c r="E311" i="6" s="1"/>
  <c r="C30" i="19" l="1"/>
  <c r="G30" i="19" s="1"/>
  <c r="F30" i="19"/>
  <c r="E333" i="15"/>
  <c r="G334" i="15" s="1"/>
  <c r="D334" i="15" s="1"/>
  <c r="G312" i="6"/>
  <c r="C334" i="15" l="1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<sst xmlns="http://schemas.openxmlformats.org/spreadsheetml/2006/main" count="1228" uniqueCount="516">
  <si>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</si>
  <si>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</si>
  <si>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</si>
  <si>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</si>
  <si>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</si>
  <si>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</si>
  <si>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</si>
  <si>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</si>
  <si>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</si>
  <si>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</si>
  <si>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</si>
  <si>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</si>
  <si>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</si>
  <si>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</si>
  <si>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</si>
  <si>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</si>
  <si>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</si>
  <si>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</si>
  <si>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</si>
  <si>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</si>
  <si>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</si>
  <si>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</si>
  <si>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</si>
  <si>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</si>
  <si>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</si>
  <si>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</si>
  <si>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</si>
  <si>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</si>
  <si>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</si>
  <si>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</si>
  <si>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</si>
  <si>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</si>
  <si>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</si>
  <si>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</si>
  <si>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</si>
  <si>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</si>
  <si>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</si>
  <si>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</si>
  <si>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</si>
  <si>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</si>
  <si>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</si>
  <si>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</si>
  <si>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</si>
  <si>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</si>
  <si>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</si>
  <si>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</si>
  <si>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</si>
  <si>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</si>
  <si>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</si>
  <si>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</si>
  <si>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</si>
  <si>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</si>
  <si>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</si>
  <si>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</si>
  <si>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</si>
  <si>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</si>
  <si>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</si>
  <si>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</si>
  <si>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</si>
  <si>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</si>
  <si>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</si>
  <si>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</si>
  <si>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</si>
  <si>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</si>
  <si>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</si>
  <si>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</si>
  <si>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</si>
  <si>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</si>
  <si>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</si>
  <si>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</si>
  <si>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</si>
  <si>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</si>
  <si>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</si>
  <si>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</si>
  <si>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</si>
  <si>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</si>
  <si>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</si>
  <si>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</si>
  <si>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</si>
  <si>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</si>
  <si>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</si>
  <si>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</si>
  <si>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</si>
  <si>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</si>
  <si>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</si>
  <si>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</si>
  <si>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</si>
  <si>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</si>
  <si>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</si>
  <si>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</si>
  <si>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</si>
  <si>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</si>
  <si>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</si>
  <si>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</si>
  <si>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</si>
  <si>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</si>
  <si>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</si>
  <si>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</si>
  <si>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</si>
  <si>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</si>
  <si>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</si>
  <si>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</si>
  <si>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</si>
  <si>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</si>
  <si>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</si>
  <si>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</si>
  <si>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</si>
  <si>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</si>
  <si>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</si>
  <si>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</si>
  <si>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</si>
  <si>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</si>
  <si>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</si>
  <si>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</si>
  <si>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</si>
  <si>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</si>
  <si>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</si>
  <si>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</si>
  <si>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</si>
  <si>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</si>
  <si>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</si>
  <si>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</si>
  <si>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</si>
  <si>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</si>
  <si>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</si>
  <si>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</si>
  <si>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</si>
  <si>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</si>
  <si>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</si>
  <si>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</si>
  <si>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</si>
  <si>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</si>
  <si>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</si>
  <si>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</si>
  <si>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</si>
  <si>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</si>
  <si>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</si>
  <si>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</si>
  <si>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</si>
  <si>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</si>
  <si>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</si>
  <si>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</si>
  <si>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</si>
  <si>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</si>
  <si>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</si>
  <si>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</si>
  <si>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</si>
  <si>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</si>
  <si>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</si>
  <si>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</si>
  <si>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</si>
  <si>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</si>
  <si>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</si>
  <si>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</si>
  <si>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</si>
  <si>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</si>
  <si>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</si>
  <si>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</si>
  <si>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</si>
  <si>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</si>
  <si>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</si>
  <si>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</si>
  <si>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</si>
  <si>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</si>
  <si>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</si>
  <si>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</si>
  <si>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</si>
  <si>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</si>
  <si>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</si>
  <si>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</si>
  <si>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</si>
  <si>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</si>
  <si>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</si>
  <si>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</si>
  <si>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</si>
  <si>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</si>
  <si>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</si>
  <si>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</si>
  <si>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</si>
  <si>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</si>
  <si>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</si>
  <si>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</si>
  <si>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</si>
  <si>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</si>
  <si>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</si>
  <si>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</si>
  <si>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</si>
  <si>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</si>
  <si>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</si>
  <si>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</si>
  <si>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</si>
  <si>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</si>
  <si>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</si>
  <si>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</si>
  <si>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</si>
  <si>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</si>
  <si>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</si>
  <si>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</si>
  <si>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</si>
  <si>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</si>
  <si>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</si>
  <si>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</si>
  <si>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</si>
  <si>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</si>
  <si>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</si>
  <si>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</si>
  <si>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</si>
  <si>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</si>
  <si>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</si>
  <si>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</si>
  <si>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</si>
  <si>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</si>
  <si>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</si>
  <si>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</si>
  <si>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</si>
  <si>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</si>
  <si>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</si>
  <si>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</si>
  <si>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</si>
  <si>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</si>
  <si>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</si>
  <si>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</si>
  <si>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</si>
  <si>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</si>
  <si>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</si>
  <si>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</si>
  <si>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</si>
  <si>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</si>
  <si>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</si>
  <si>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</si>
  <si>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</si>
  <si>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</si>
  <si>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</si>
  <si>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</si>
  <si>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</si>
  <si>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</si>
  <si>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</si>
  <si>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</si>
  <si>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</si>
  <si>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</si>
  <si>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</si>
  <si>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</si>
  <si>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</si>
  <si>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</si>
  <si>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</si>
  <si>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</si>
  <si>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</si>
  <si>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</si>
  <si>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</si>
  <si>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</si>
  <si>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</si>
  <si>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</si>
  <si>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</si>
  <si>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</si>
  <si>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</si>
  <si>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</si>
  <si>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</si>
  <si>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</si>
  <si>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</si>
  <si>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</si>
  <si>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</si>
  <si>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</si>
  <si>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</si>
  <si>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</si>
  <si>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</si>
  <si>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</si>
  <si>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</si>
  <si>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</si>
  <si>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</si>
  <si>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</si>
  <si>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</si>
  <si>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</si>
  <si>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</si>
  <si>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</si>
  <si>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</si>
  <si>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</si>
  <si>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</si>
  <si>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</si>
  <si>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</si>
  <si>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</si>
  <si>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</si>
  <si>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</si>
  <si>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</si>
  <si>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</si>
  <si>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</si>
  <si>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</si>
  <si>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</si>
  <si>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</si>
  <si>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</si>
  <si>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</si>
  <si>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</si>
  <si>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</si>
  <si>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</si>
  <si>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</si>
  <si>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</si>
  <si>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</si>
  <si>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</si>
  <si>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</si>
  <si>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</si>
  <si>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</si>
  <si>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</si>
  <si>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</si>
  <si>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</si>
  <si>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</si>
  <si>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</si>
  <si>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</si>
  <si>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</si>
  <si>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</si>
  <si>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</si>
  <si>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</si>
  <si>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</si>
  <si>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</si>
  <si>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</si>
  <si>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</si>
  <si>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</si>
  <si>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</si>
  <si>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</si>
  <si>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</si>
  <si>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</si>
  <si>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</si>
  <si>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</si>
  <si>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</si>
  <si>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</si>
  <si>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</si>
  <si>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</si>
  <si>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</si>
  <si>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</si>
  <si>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</si>
  <si>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</si>
  <si>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</si>
  <si>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</si>
  <si>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</si>
  <si>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</si>
  <si>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</si>
  <si>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</si>
  <si>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</si>
  <si>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</si>
  <si>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</si>
  <si>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</si>
  <si>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</si>
  <si>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</si>
  <si>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</si>
  <si>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</si>
  <si>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</si>
  <si>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</si>
  <si>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</si>
  <si>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</si>
  <si>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</si>
  <si>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</si>
  <si>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</si>
  <si>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</si>
  <si>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</si>
  <si>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</si>
  <si>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</si>
  <si>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</si>
  <si>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</si>
  <si>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</si>
  <si>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</si>
  <si>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</si>
  <si>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</si>
  <si>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</si>
  <si>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</si>
  <si>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</si>
  <si>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</si>
  <si>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</si>
  <si>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</si>
  <si>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</si>
  <si>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</si>
  <si>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</si>
  <si>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</si>
  <si>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</si>
  <si>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</si>
  <si>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</si>
  <si>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</si>
  <si>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</si>
  <si>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</si>
  <si>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</si>
  <si>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</si>
  <si>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</si>
  <si>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</si>
  <si>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</si>
  <si>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</si>
  <si>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</si>
  <si>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</si>
  <si>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</si>
  <si>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</si>
  <si>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</si>
  <si>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</si>
  <si>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</si>
  <si>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</si>
  <si>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</si>
  <si>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</si>
  <si>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</si>
  <si>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</si>
  <si>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</si>
  <si>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</si>
  <si>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</si>
  <si>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</si>
  <si>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</si>
  <si>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</si>
  <si>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</si>
  <si>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</si>
  <si>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</si>
  <si>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</si>
  <si>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</si>
  <si>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</si>
  <si>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</si>
  <si>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</si>
  <si>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</si>
  <si>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</si>
  <si>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</si>
  <si>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</si>
  <si>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</si>
  <si>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</si>
  <si>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</si>
  <si>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</si>
  <si>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</si>
  <si>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</si>
  <si>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</si>
  <si>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</si>
  <si>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</si>
  <si>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</si>
  <si>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</si>
  <si>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</si>
  <si>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</si>
  <si>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</si>
  <si>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</si>
  <si>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</si>
  <si>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</si>
  <si>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</si>
  <si>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</si>
  <si>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</si>
  <si>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</si>
  <si>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</si>
  <si>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</si>
  <si>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</si>
  <si>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</si>
  <si>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</si>
  <si>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</si>
  <si>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</si>
  <si>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</si>
  <si>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</si>
  <si>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</si>
  <si>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</si>
  <si>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</si>
  <si>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</si>
  <si>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</si>
  <si>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</si>
  <si>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</si>
  <si>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</si>
  <si>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</si>
  <si>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</si>
  <si>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</si>
  <si>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</si>
  <si>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</si>
  <si>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</si>
  <si>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Graphs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</si>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</sst>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</numFmts>
  <fonts count="136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b/>
      <sz val="11"/>
      <color rgb="FFC00000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9" fillId="0" borderId="106" applyNumberFormat="0" applyFill="0" applyAlignment="0" applyProtection="0"/>
    <xf numFmtId="0" fontId="110" fillId="0" borderId="107" applyNumberFormat="0" applyFill="0" applyAlignment="0" applyProtection="0"/>
    <xf numFmtId="0" fontId="111" fillId="0" borderId="108" applyNumberFormat="0" applyFill="0" applyAlignment="0" applyProtection="0"/>
    <xf numFmtId="0" fontId="112" fillId="43" borderId="109" applyNumberFormat="0" applyAlignment="0" applyProtection="0"/>
  </cellStyleXfs>
  <cellXfs count="953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0" fontId="62" fillId="8" borderId="32" xfId="0" applyFont="1" applyFill="1" applyBorder="1"/>
    <xf numFmtId="10" fontId="74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6" fillId="2" borderId="0" xfId="3" applyFont="1" applyFill="1"/>
    <xf numFmtId="0" fontId="46" fillId="2" borderId="0" xfId="3" applyFont="1" applyFill="1"/>
    <xf numFmtId="0" fontId="77" fillId="2" borderId="0" xfId="0" applyFont="1" applyFill="1"/>
    <xf numFmtId="0" fontId="77" fillId="2" borderId="0" xfId="0" applyFont="1" applyFill="1" applyAlignment="1">
      <alignment horizontal="center"/>
    </xf>
    <xf numFmtId="169" fontId="77" fillId="2" borderId="0" xfId="0" applyNumberFormat="1" applyFont="1" applyFill="1"/>
    <xf numFmtId="0" fontId="78" fillId="24" borderId="50" xfId="0" applyFont="1" applyFill="1" applyBorder="1" applyAlignment="1">
      <alignment horizontal="center"/>
    </xf>
    <xf numFmtId="0" fontId="79" fillId="24" borderId="51" xfId="0" applyFont="1" applyFill="1" applyBorder="1" applyAlignment="1">
      <alignment horizontal="right"/>
    </xf>
    <xf numFmtId="0" fontId="78" fillId="24" borderId="19" xfId="0" applyFont="1" applyFill="1" applyBorder="1" applyAlignment="1">
      <alignment horizontal="center"/>
    </xf>
    <xf numFmtId="0" fontId="79" fillId="24" borderId="20" xfId="0" applyFont="1" applyFill="1" applyBorder="1" applyAlignment="1">
      <alignment horizontal="right"/>
    </xf>
    <xf numFmtId="0" fontId="78" fillId="24" borderId="32" xfId="0" applyFont="1" applyFill="1" applyBorder="1" applyAlignment="1">
      <alignment horizontal="center"/>
    </xf>
    <xf numFmtId="44" fontId="79" fillId="24" borderId="33" xfId="0" applyNumberFormat="1" applyFont="1" applyFill="1" applyBorder="1" applyAlignment="1">
      <alignment horizontal="right"/>
    </xf>
    <xf numFmtId="169" fontId="81" fillId="2" borderId="0" xfId="0" applyNumberFormat="1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2" fillId="35" borderId="50" xfId="0" applyFont="1" applyFill="1" applyBorder="1" applyAlignment="1">
      <alignment horizontal="center"/>
    </xf>
    <xf numFmtId="44" fontId="83" fillId="35" borderId="51" xfId="1" applyFont="1" applyFill="1" applyBorder="1"/>
    <xf numFmtId="0" fontId="82" fillId="35" borderId="19" xfId="0" applyFont="1" applyFill="1" applyBorder="1" applyAlignment="1">
      <alignment horizontal="center"/>
    </xf>
    <xf numFmtId="10" fontId="83" fillId="35" borderId="20" xfId="1" applyNumberFormat="1" applyFont="1" applyFill="1" applyBorder="1"/>
    <xf numFmtId="10" fontId="83" fillId="35" borderId="51" xfId="2" applyNumberFormat="1" applyFont="1" applyFill="1" applyBorder="1"/>
    <xf numFmtId="0" fontId="77" fillId="2" borderId="72" xfId="0" applyFont="1" applyFill="1" applyBorder="1"/>
    <xf numFmtId="0" fontId="77" fillId="2" borderId="0" xfId="0" applyFont="1" applyFill="1" applyAlignment="1">
      <alignment horizontal="right"/>
    </xf>
    <xf numFmtId="44" fontId="83" fillId="35" borderId="20" xfId="1" applyFont="1" applyFill="1" applyBorder="1"/>
    <xf numFmtId="10" fontId="83" fillId="35" borderId="20" xfId="2" applyNumberFormat="1" applyFont="1" applyFill="1" applyBorder="1"/>
    <xf numFmtId="0" fontId="83" fillId="35" borderId="20" xfId="1" applyNumberFormat="1" applyFont="1" applyFill="1" applyBorder="1"/>
    <xf numFmtId="0" fontId="82" fillId="35" borderId="52" xfId="0" applyFont="1" applyFill="1" applyBorder="1" applyAlignment="1">
      <alignment horizontal="center"/>
    </xf>
    <xf numFmtId="10" fontId="83" fillId="35" borderId="53" xfId="2" applyNumberFormat="1" applyFont="1" applyFill="1" applyBorder="1"/>
    <xf numFmtId="2" fontId="83" fillId="35" borderId="53" xfId="1" applyNumberFormat="1" applyFont="1" applyFill="1" applyBorder="1"/>
    <xf numFmtId="2" fontId="83" fillId="35" borderId="98" xfId="1" applyNumberFormat="1" applyFont="1" applyFill="1" applyBorder="1"/>
    <xf numFmtId="0" fontId="82" fillId="35" borderId="32" xfId="0" applyFont="1" applyFill="1" applyBorder="1" applyAlignment="1">
      <alignment horizontal="center"/>
    </xf>
    <xf numFmtId="10" fontId="83" fillId="35" borderId="33" xfId="2" applyNumberFormat="1" applyFont="1" applyFill="1" applyBorder="1"/>
    <xf numFmtId="0" fontId="77" fillId="2" borderId="97" xfId="0" applyFont="1" applyFill="1" applyBorder="1"/>
    <xf numFmtId="0" fontId="77" fillId="2" borderId="44" xfId="0" applyFont="1" applyFill="1" applyBorder="1"/>
    <xf numFmtId="0" fontId="85" fillId="36" borderId="36" xfId="0" applyFont="1" applyFill="1" applyBorder="1" applyAlignment="1">
      <alignment horizontal="center"/>
    </xf>
    <xf numFmtId="44" fontId="86" fillId="36" borderId="61" xfId="1" applyFont="1" applyFill="1" applyBorder="1"/>
    <xf numFmtId="44" fontId="86" fillId="36" borderId="37" xfId="1" applyFont="1" applyFill="1" applyBorder="1"/>
    <xf numFmtId="0" fontId="85" fillId="36" borderId="19" xfId="0" applyFont="1" applyFill="1" applyBorder="1" applyAlignment="1">
      <alignment horizontal="center"/>
    </xf>
    <xf numFmtId="44" fontId="86" fillId="36" borderId="59" xfId="1" applyFont="1" applyFill="1" applyBorder="1"/>
    <xf numFmtId="44" fontId="86" fillId="36" borderId="20" xfId="1" applyFont="1" applyFill="1" applyBorder="1"/>
    <xf numFmtId="0" fontId="85" fillId="36" borderId="32" xfId="0" applyFont="1" applyFill="1" applyBorder="1" applyAlignment="1">
      <alignment horizontal="center"/>
    </xf>
    <xf numFmtId="44" fontId="86" fillId="36" borderId="60" xfId="0" applyNumberFormat="1" applyFont="1" applyFill="1" applyBorder="1"/>
    <xf numFmtId="44" fontId="86" fillId="36" borderId="33" xfId="0" applyNumberFormat="1" applyFont="1" applyFill="1" applyBorder="1"/>
    <xf numFmtId="0" fontId="87" fillId="32" borderId="50" xfId="0" applyFont="1" applyFill="1" applyBorder="1" applyAlignment="1">
      <alignment horizontal="center"/>
    </xf>
    <xf numFmtId="16" fontId="88" fillId="32" borderId="51" xfId="0" applyNumberFormat="1" applyFont="1" applyFill="1" applyBorder="1" applyAlignment="1">
      <alignment horizontal="right"/>
    </xf>
    <xf numFmtId="0" fontId="87" fillId="32" borderId="19" xfId="0" applyFont="1" applyFill="1" applyBorder="1" applyAlignment="1">
      <alignment horizontal="center"/>
    </xf>
    <xf numFmtId="44" fontId="88" fillId="32" borderId="20" xfId="1" applyFont="1" applyFill="1" applyBorder="1" applyAlignment="1">
      <alignment horizontal="right"/>
    </xf>
    <xf numFmtId="44" fontId="88" fillId="32" borderId="20" xfId="1" applyFont="1" applyFill="1" applyBorder="1"/>
    <xf numFmtId="0" fontId="87" fillId="32" borderId="52" xfId="0" applyFont="1" applyFill="1" applyBorder="1" applyAlignment="1">
      <alignment horizontal="center"/>
    </xf>
    <xf numFmtId="44" fontId="88" fillId="32" borderId="53" xfId="1" applyFont="1" applyFill="1" applyBorder="1"/>
    <xf numFmtId="0" fontId="87" fillId="32" borderId="32" xfId="0" applyFont="1" applyFill="1" applyBorder="1" applyAlignment="1">
      <alignment horizontal="center"/>
    </xf>
    <xf numFmtId="44" fontId="88" fillId="32" borderId="33" xfId="1" applyFont="1" applyFill="1" applyBorder="1"/>
    <xf numFmtId="0" fontId="89" fillId="4" borderId="38" xfId="0" applyFont="1" applyFill="1" applyBorder="1" applyAlignment="1">
      <alignment horizontal="center"/>
    </xf>
    <xf numFmtId="44" fontId="80" fillId="4" borderId="64" xfId="1" applyFont="1" applyFill="1" applyBorder="1"/>
    <xf numFmtId="44" fontId="80" fillId="4" borderId="62" xfId="1" applyFont="1" applyFill="1" applyBorder="1"/>
    <xf numFmtId="0" fontId="85" fillId="8" borderId="50" xfId="0" applyFont="1" applyFill="1" applyBorder="1" applyAlignment="1">
      <alignment horizontal="center"/>
    </xf>
    <xf numFmtId="44" fontId="86" fillId="8" borderId="57" xfId="1" applyFont="1" applyFill="1" applyBorder="1"/>
    <xf numFmtId="44" fontId="80" fillId="8" borderId="51" xfId="1" applyFont="1" applyFill="1" applyBorder="1"/>
    <xf numFmtId="0" fontId="85" fillId="8" borderId="19" xfId="0" applyFont="1" applyFill="1" applyBorder="1" applyAlignment="1">
      <alignment horizontal="center"/>
    </xf>
    <xf numFmtId="44" fontId="86" fillId="8" borderId="59" xfId="1" applyFont="1" applyFill="1" applyBorder="1"/>
    <xf numFmtId="44" fontId="80" fillId="8" borderId="20" xfId="1" applyFont="1" applyFill="1" applyBorder="1"/>
    <xf numFmtId="0" fontId="85" fillId="8" borderId="32" xfId="0" applyFont="1" applyFill="1" applyBorder="1" applyAlignment="1">
      <alignment horizontal="center"/>
    </xf>
    <xf numFmtId="44" fontId="86" fillId="8" borderId="60" xfId="1" applyFont="1" applyFill="1" applyBorder="1"/>
    <xf numFmtId="44" fontId="80" fillId="8" borderId="33" xfId="1" applyFont="1" applyFill="1" applyBorder="1"/>
    <xf numFmtId="0" fontId="90" fillId="9" borderId="50" xfId="0" applyFont="1" applyFill="1" applyBorder="1" applyAlignment="1">
      <alignment horizontal="center"/>
    </xf>
    <xf numFmtId="44" fontId="91" fillId="9" borderId="57" xfId="1" applyFont="1" applyFill="1" applyBorder="1"/>
    <xf numFmtId="44" fontId="80" fillId="9" borderId="51" xfId="1" applyFont="1" applyFill="1" applyBorder="1"/>
    <xf numFmtId="0" fontId="90" fillId="9" borderId="32" xfId="0" applyFont="1" applyFill="1" applyBorder="1" applyAlignment="1">
      <alignment horizontal="center"/>
    </xf>
    <xf numFmtId="44" fontId="91" fillId="9" borderId="60" xfId="1" applyFont="1" applyFill="1" applyBorder="1"/>
    <xf numFmtId="44" fontId="80" fillId="9" borderId="33" xfId="1" applyFont="1" applyFill="1" applyBorder="1"/>
    <xf numFmtId="0" fontId="85" fillId="5" borderId="36" xfId="0" applyFont="1" applyFill="1" applyBorder="1" applyAlignment="1">
      <alignment horizontal="center"/>
    </xf>
    <xf numFmtId="44" fontId="86" fillId="5" borderId="61" xfId="1" applyFont="1" applyFill="1" applyBorder="1"/>
    <xf numFmtId="44" fontId="80" fillId="5" borderId="37" xfId="1" applyFont="1" applyFill="1" applyBorder="1"/>
    <xf numFmtId="0" fontId="85" fillId="5" borderId="32" xfId="0" applyFont="1" applyFill="1" applyBorder="1" applyAlignment="1">
      <alignment horizontal="center"/>
    </xf>
    <xf numFmtId="44" fontId="86" fillId="5" borderId="60" xfId="1" applyFont="1" applyFill="1" applyBorder="1"/>
    <xf numFmtId="44" fontId="80" fillId="5" borderId="33" xfId="1" applyFont="1" applyFill="1" applyBorder="1"/>
    <xf numFmtId="0" fontId="92" fillId="2" borderId="0" xfId="3" applyFont="1" applyFill="1" applyAlignment="1">
      <alignment horizontal="center" vertical="center"/>
    </xf>
    <xf numFmtId="0" fontId="85" fillId="31" borderId="50" xfId="0" applyFont="1" applyFill="1" applyBorder="1" applyAlignment="1">
      <alignment horizontal="center"/>
    </xf>
    <xf numFmtId="44" fontId="86" fillId="31" borderId="51" xfId="1" applyFont="1" applyFill="1" applyBorder="1"/>
    <xf numFmtId="0" fontId="85" fillId="31" borderId="19" xfId="0" applyFont="1" applyFill="1" applyBorder="1" applyAlignment="1">
      <alignment horizontal="center"/>
    </xf>
    <xf numFmtId="44" fontId="86" fillId="31" borderId="20" xfId="1" applyFont="1" applyFill="1" applyBorder="1"/>
    <xf numFmtId="164" fontId="86" fillId="31" borderId="20" xfId="1" applyNumberFormat="1" applyFont="1" applyFill="1" applyBorder="1"/>
    <xf numFmtId="0" fontId="85" fillId="31" borderId="32" xfId="0" applyFont="1" applyFill="1" applyBorder="1" applyAlignment="1">
      <alignment horizontal="center"/>
    </xf>
    <xf numFmtId="10" fontId="86" fillId="31" borderId="33" xfId="2" applyNumberFormat="1" applyFont="1" applyFill="1" applyBorder="1"/>
    <xf numFmtId="0" fontId="85" fillId="2" borderId="0" xfId="0" applyFont="1" applyFill="1" applyAlignment="1">
      <alignment horizontal="center"/>
    </xf>
    <xf numFmtId="10" fontId="86" fillId="2" borderId="0" xfId="2" applyNumberFormat="1" applyFont="1" applyFill="1" applyBorder="1"/>
    <xf numFmtId="10" fontId="86" fillId="36" borderId="37" xfId="2" applyNumberFormat="1" applyFont="1" applyFill="1" applyBorder="1"/>
    <xf numFmtId="10" fontId="86" fillId="36" borderId="20" xfId="2" applyNumberFormat="1" applyFont="1" applyFill="1" applyBorder="1"/>
    <xf numFmtId="0" fontId="85" fillId="36" borderId="52" xfId="0" applyFont="1" applyFill="1" applyBorder="1" applyAlignment="1">
      <alignment horizontal="center"/>
    </xf>
    <xf numFmtId="10" fontId="86" fillId="36" borderId="53" xfId="2" applyNumberFormat="1" applyFont="1" applyFill="1" applyBorder="1"/>
    <xf numFmtId="0" fontId="85" fillId="36" borderId="38" xfId="0" applyFont="1" applyFill="1" applyBorder="1" applyAlignment="1">
      <alignment horizontal="center"/>
    </xf>
    <xf numFmtId="10" fontId="86" fillId="36" borderId="62" xfId="2" applyNumberFormat="1" applyFont="1" applyFill="1" applyBorder="1"/>
    <xf numFmtId="0" fontId="89" fillId="39" borderId="19" xfId="0" applyFont="1" applyFill="1" applyBorder="1" applyAlignment="1">
      <alignment horizontal="center"/>
    </xf>
    <xf numFmtId="44" fontId="80" fillId="39" borderId="59" xfId="1" applyFont="1" applyFill="1" applyBorder="1"/>
    <xf numFmtId="10" fontId="80" fillId="39" borderId="59" xfId="2" applyNumberFormat="1" applyFont="1" applyFill="1" applyBorder="1"/>
    <xf numFmtId="10" fontId="80" fillId="39" borderId="20" xfId="2" applyNumberFormat="1" applyFont="1" applyFill="1" applyBorder="1"/>
    <xf numFmtId="44" fontId="80" fillId="39" borderId="59" xfId="0" applyNumberFormat="1" applyFont="1" applyFill="1" applyBorder="1"/>
    <xf numFmtId="0" fontId="93" fillId="40" borderId="93" xfId="0" applyFont="1" applyFill="1" applyBorder="1" applyAlignment="1">
      <alignment horizontal="center"/>
    </xf>
    <xf numFmtId="44" fontId="94" fillId="40" borderId="94" xfId="1" applyFont="1" applyFill="1" applyBorder="1"/>
    <xf numFmtId="10" fontId="94" fillId="40" borderId="95" xfId="2" applyNumberFormat="1" applyFont="1" applyFill="1" applyBorder="1"/>
    <xf numFmtId="10" fontId="94" fillId="40" borderId="96" xfId="2" applyNumberFormat="1" applyFont="1" applyFill="1" applyBorder="1"/>
    <xf numFmtId="10" fontId="94" fillId="40" borderId="62" xfId="2" applyNumberFormat="1" applyFont="1" applyFill="1" applyBorder="1"/>
    <xf numFmtId="0" fontId="93" fillId="40" borderId="85" xfId="0" applyFont="1" applyFill="1" applyBorder="1"/>
    <xf numFmtId="10" fontId="94" fillId="40" borderId="89" xfId="2" applyNumberFormat="1" applyFont="1" applyFill="1" applyBorder="1"/>
    <xf numFmtId="0" fontId="95" fillId="24" borderId="19" xfId="0" applyFont="1" applyFill="1" applyBorder="1" applyAlignment="1">
      <alignment horizontal="center"/>
    </xf>
    <xf numFmtId="44" fontId="79" fillId="24" borderId="59" xfId="1" applyFont="1" applyFill="1" applyBorder="1"/>
    <xf numFmtId="10" fontId="79" fillId="24" borderId="59" xfId="2" applyNumberFormat="1" applyFont="1" applyFill="1" applyBorder="1"/>
    <xf numFmtId="10" fontId="79" fillId="24" borderId="20" xfId="2" applyNumberFormat="1" applyFont="1" applyFill="1" applyBorder="1"/>
    <xf numFmtId="44" fontId="79" fillId="24" borderId="59" xfId="0" applyNumberFormat="1" applyFont="1" applyFill="1" applyBorder="1"/>
    <xf numFmtId="0" fontId="96" fillId="37" borderId="93" xfId="0" applyFont="1" applyFill="1" applyBorder="1" applyAlignment="1">
      <alignment horizontal="center"/>
    </xf>
    <xf numFmtId="44" fontId="97" fillId="37" borderId="94" xfId="1" applyFont="1" applyFill="1" applyBorder="1"/>
    <xf numFmtId="10" fontId="97" fillId="37" borderId="95" xfId="2" applyNumberFormat="1" applyFont="1" applyFill="1" applyBorder="1"/>
    <xf numFmtId="10" fontId="97" fillId="37" borderId="96" xfId="2" applyNumberFormat="1" applyFont="1" applyFill="1" applyBorder="1"/>
    <xf numFmtId="10" fontId="97" fillId="37" borderId="62" xfId="2" applyNumberFormat="1" applyFont="1" applyFill="1" applyBorder="1"/>
    <xf numFmtId="0" fontId="96" fillId="37" borderId="85" xfId="0" applyFont="1" applyFill="1" applyBorder="1"/>
    <xf numFmtId="10" fontId="97" fillId="37" borderId="89" xfId="2" applyNumberFormat="1" applyFont="1" applyFill="1" applyBorder="1"/>
    <xf numFmtId="0" fontId="98" fillId="31" borderId="19" xfId="0" applyFont="1" applyFill="1" applyBorder="1" applyAlignment="1">
      <alignment horizontal="center"/>
    </xf>
    <xf numFmtId="44" fontId="99" fillId="31" borderId="59" xfId="1" applyFont="1" applyFill="1" applyBorder="1"/>
    <xf numFmtId="10" fontId="99" fillId="31" borderId="88" xfId="2" applyNumberFormat="1" applyFont="1" applyFill="1" applyBorder="1"/>
    <xf numFmtId="10" fontId="99" fillId="31" borderId="20" xfId="2" applyNumberFormat="1" applyFont="1" applyFill="1" applyBorder="1"/>
    <xf numFmtId="44" fontId="99" fillId="31" borderId="59" xfId="0" applyNumberFormat="1" applyFont="1" applyFill="1" applyBorder="1"/>
    <xf numFmtId="0" fontId="100" fillId="38" borderId="32" xfId="0" applyFont="1" applyFill="1" applyBorder="1" applyAlignment="1">
      <alignment horizontal="center"/>
    </xf>
    <xf numFmtId="44" fontId="101" fillId="38" borderId="60" xfId="1" applyFont="1" applyFill="1" applyBorder="1"/>
    <xf numFmtId="10" fontId="101" fillId="38" borderId="90" xfId="2" applyNumberFormat="1" applyFont="1" applyFill="1" applyBorder="1"/>
    <xf numFmtId="10" fontId="101" fillId="38" borderId="33" xfId="2" applyNumberFormat="1" applyFont="1" applyFill="1" applyBorder="1"/>
    <xf numFmtId="10" fontId="101" fillId="38" borderId="71" xfId="2" applyNumberFormat="1" applyFont="1" applyFill="1" applyBorder="1"/>
    <xf numFmtId="0" fontId="100" fillId="38" borderId="85" xfId="0" applyFont="1" applyFill="1" applyBorder="1"/>
    <xf numFmtId="10" fontId="101" fillId="38" borderId="92" xfId="2" applyNumberFormat="1" applyFont="1" applyFill="1" applyBorder="1"/>
    <xf numFmtId="44" fontId="77" fillId="2" borderId="0" xfId="0" applyNumberFormat="1" applyFont="1" applyFill="1"/>
    <xf numFmtId="8" fontId="77" fillId="2" borderId="0" xfId="0" applyNumberFormat="1" applyFont="1" applyFill="1"/>
    <xf numFmtId="0" fontId="77" fillId="32" borderId="0" xfId="0" applyFont="1" applyFill="1"/>
    <xf numFmtId="0" fontId="102" fillId="32" borderId="0" xfId="3" quotePrefix="1" applyFont="1" applyFill="1"/>
    <xf numFmtId="0" fontId="103" fillId="2" borderId="0" xfId="0" applyFont="1" applyFill="1"/>
    <xf numFmtId="0" fontId="104" fillId="2" borderId="0" xfId="0" applyFont="1" applyFill="1"/>
    <xf numFmtId="165" fontId="105" fillId="0" borderId="0" xfId="0" applyNumberFormat="1" applyFont="1"/>
    <xf numFmtId="10" fontId="105" fillId="0" borderId="0" xfId="0" applyNumberFormat="1" applyFont="1"/>
    <xf numFmtId="0" fontId="105" fillId="0" borderId="0" xfId="0" applyFont="1"/>
    <xf numFmtId="0" fontId="0" fillId="0" borderId="0" xfId="0" applyAlignment="1">
      <alignment horizontal="center"/>
    </xf>
    <xf numFmtId="44" fontId="0" fillId="0" borderId="0" xfId="1" applyFont="1" applyFill="1"/>
    <xf numFmtId="10" fontId="0" fillId="0" borderId="0" xfId="2" applyNumberFormat="1" applyFont="1" applyFill="1"/>
    <xf numFmtId="0" fontId="0" fillId="0" borderId="38" xfId="0" applyBorder="1" applyAlignment="1">
      <alignment horizontal="center" vertical="center"/>
    </xf>
    <xf numFmtId="44" fontId="0" fillId="0" borderId="62" xfId="1" applyFont="1" applyFill="1" applyBorder="1" applyAlignment="1">
      <alignment horizontal="center" vertical="center"/>
    </xf>
    <xf numFmtId="10" fontId="0" fillId="0" borderId="38" xfId="2" applyNumberFormat="1" applyFont="1" applyFill="1" applyBorder="1" applyAlignment="1">
      <alignment horizontal="center" vertical="center" wrapText="1"/>
    </xf>
    <xf numFmtId="10" fontId="0" fillId="0" borderId="62" xfId="2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44" fontId="0" fillId="0" borderId="61" xfId="1" applyFont="1" applyFill="1" applyBorder="1"/>
    <xf numFmtId="0" fontId="0" fillId="0" borderId="61" xfId="0" applyBorder="1" applyAlignment="1">
      <alignment horizontal="center"/>
    </xf>
    <xf numFmtId="10" fontId="0" fillId="0" borderId="61" xfId="2" applyNumberFormat="1" applyFont="1" applyFill="1" applyBorder="1"/>
    <xf numFmtId="10" fontId="0" fillId="0" borderId="37" xfId="2" applyNumberFormat="1" applyFont="1" applyFill="1" applyBorder="1"/>
    <xf numFmtId="0" fontId="0" fillId="0" borderId="19" xfId="0" applyBorder="1" applyAlignment="1">
      <alignment horizontal="center"/>
    </xf>
    <xf numFmtId="44" fontId="0" fillId="0" borderId="59" xfId="1" applyFont="1" applyFill="1" applyBorder="1"/>
    <xf numFmtId="0" fontId="0" fillId="0" borderId="59" xfId="0" applyBorder="1" applyAlignment="1">
      <alignment horizontal="center"/>
    </xf>
    <xf numFmtId="10" fontId="0" fillId="0" borderId="59" xfId="2" applyNumberFormat="1" applyFont="1" applyFill="1" applyBorder="1"/>
    <xf numFmtId="10" fontId="0" fillId="0" borderId="20" xfId="2" applyNumberFormat="1" applyFont="1" applyFill="1" applyBorder="1"/>
    <xf numFmtId="0" fontId="0" fillId="0" borderId="32" xfId="0" applyBorder="1" applyAlignment="1">
      <alignment horizontal="center"/>
    </xf>
    <xf numFmtId="44" fontId="0" fillId="0" borderId="60" xfId="1" applyFont="1" applyFill="1" applyBorder="1"/>
    <xf numFmtId="0" fontId="0" fillId="0" borderId="60" xfId="0" applyBorder="1" applyAlignment="1">
      <alignment horizontal="center"/>
    </xf>
    <xf numFmtId="10" fontId="0" fillId="0" borderId="60" xfId="2" applyNumberFormat="1" applyFont="1" applyFill="1" applyBorder="1"/>
    <xf numFmtId="10" fontId="0" fillId="0" borderId="33" xfId="2" applyNumberFormat="1" applyFont="1" applyFill="1" applyBorder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/>
    </xf>
    <xf numFmtId="44" fontId="105" fillId="0" borderId="0" xfId="1" applyFont="1" applyFill="1"/>
    <xf numFmtId="10" fontId="105" fillId="0" borderId="0" xfId="2" applyNumberFormat="1" applyFont="1" applyFill="1"/>
    <xf numFmtId="0" fontId="105" fillId="0" borderId="38" xfId="0" applyFont="1" applyBorder="1" applyAlignment="1">
      <alignment horizontal="center" vertical="center"/>
    </xf>
    <xf numFmtId="44" fontId="105" fillId="0" borderId="62" xfId="1" applyFont="1" applyFill="1" applyBorder="1" applyAlignment="1">
      <alignment horizontal="center" vertical="center"/>
    </xf>
    <xf numFmtId="10" fontId="105" fillId="0" borderId="38" xfId="2" applyNumberFormat="1" applyFont="1" applyFill="1" applyBorder="1" applyAlignment="1">
      <alignment horizontal="center" vertical="center" wrapText="1"/>
    </xf>
    <xf numFmtId="10" fontId="105" fillId="0" borderId="62" xfId="2" applyNumberFormat="1" applyFont="1" applyFill="1" applyBorder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0" borderId="36" xfId="0" applyFont="1" applyBorder="1" applyAlignment="1">
      <alignment horizontal="center"/>
    </xf>
    <xf numFmtId="44" fontId="105" fillId="0" borderId="61" xfId="1" applyFont="1" applyFill="1" applyBorder="1"/>
    <xf numFmtId="0" fontId="105" fillId="0" borderId="61" xfId="0" applyFont="1" applyBorder="1" applyAlignment="1">
      <alignment horizontal="center"/>
    </xf>
    <xf numFmtId="10" fontId="105" fillId="0" borderId="61" xfId="2" applyNumberFormat="1" applyFont="1" applyFill="1" applyBorder="1"/>
    <xf numFmtId="10" fontId="105" fillId="0" borderId="37" xfId="2" applyNumberFormat="1" applyFont="1" applyFill="1" applyBorder="1"/>
    <xf numFmtId="0" fontId="105" fillId="0" borderId="19" xfId="0" applyFont="1" applyBorder="1" applyAlignment="1">
      <alignment horizontal="center"/>
    </xf>
    <xf numFmtId="44" fontId="105" fillId="0" borderId="59" xfId="1" applyFont="1" applyFill="1" applyBorder="1"/>
    <xf numFmtId="0" fontId="105" fillId="0" borderId="59" xfId="0" applyFont="1" applyBorder="1" applyAlignment="1">
      <alignment horizontal="center"/>
    </xf>
    <xf numFmtId="10" fontId="105" fillId="0" borderId="59" xfId="2" applyNumberFormat="1" applyFont="1" applyFill="1" applyBorder="1"/>
    <xf numFmtId="0" fontId="105" fillId="0" borderId="32" xfId="0" applyFont="1" applyBorder="1" applyAlignment="1">
      <alignment horizontal="center"/>
    </xf>
    <xf numFmtId="44" fontId="105" fillId="0" borderId="60" xfId="1" applyFont="1" applyFill="1" applyBorder="1"/>
    <xf numFmtId="0" fontId="105" fillId="0" borderId="60" xfId="0" applyFont="1" applyBorder="1" applyAlignment="1">
      <alignment horizontal="center"/>
    </xf>
    <xf numFmtId="10" fontId="105" fillId="0" borderId="60" xfId="2" applyNumberFormat="1" applyFont="1" applyFill="1" applyBorder="1"/>
    <xf numFmtId="0" fontId="66" fillId="0" borderId="3" xfId="0" applyFont="1" applyBorder="1" applyAlignment="1">
      <alignment wrapText="1"/>
    </xf>
    <xf numFmtId="164" fontId="105" fillId="0" borderId="4" xfId="0" applyNumberFormat="1" applyFont="1" applyBorder="1" applyAlignment="1">
      <alignment wrapText="1"/>
    </xf>
    <xf numFmtId="10" fontId="105" fillId="0" borderId="4" xfId="0" applyNumberFormat="1" applyFont="1" applyBorder="1" applyAlignment="1">
      <alignment wrapText="1"/>
    </xf>
    <xf numFmtId="0" fontId="105" fillId="0" borderId="4" xfId="0" applyFont="1" applyBorder="1" applyAlignment="1">
      <alignment vertical="center" wrapText="1"/>
    </xf>
    <xf numFmtId="0" fontId="105" fillId="0" borderId="4" xfId="0" applyFont="1" applyBorder="1" applyAlignment="1">
      <alignment wrapText="1"/>
    </xf>
    <xf numFmtId="0" fontId="105" fillId="0" borderId="4" xfId="0" applyFont="1" applyBorder="1" applyAlignment="1">
      <alignment horizontal="right" vertical="center" wrapText="1"/>
    </xf>
    <xf numFmtId="0" fontId="66" fillId="0" borderId="9" xfId="0" applyFont="1" applyBorder="1" applyAlignment="1">
      <alignment wrapText="1"/>
    </xf>
    <xf numFmtId="164" fontId="105" fillId="0" borderId="10" xfId="0" applyNumberFormat="1" applyFont="1" applyBorder="1" applyAlignment="1">
      <alignment wrapText="1"/>
    </xf>
    <xf numFmtId="0" fontId="66" fillId="0" borderId="3" xfId="0" applyFont="1" applyBorder="1"/>
    <xf numFmtId="164" fontId="108" fillId="0" borderId="4" xfId="0" applyNumberFormat="1" applyFont="1" applyBorder="1" applyAlignment="1">
      <alignment wrapText="1"/>
    </xf>
    <xf numFmtId="0" fontId="108" fillId="0" borderId="4" xfId="0" applyFont="1" applyBorder="1" applyAlignment="1">
      <alignment vertical="center" wrapText="1"/>
    </xf>
    <xf numFmtId="10" fontId="108" fillId="0" borderId="4" xfId="0" applyNumberFormat="1" applyFont="1" applyBorder="1" applyAlignment="1">
      <alignment wrapText="1"/>
    </xf>
    <xf numFmtId="0" fontId="66" fillId="0" borderId="36" xfId="0" applyFont="1" applyBorder="1"/>
    <xf numFmtId="0" fontId="66" fillId="0" borderId="19" xfId="0" applyFont="1" applyBorder="1"/>
    <xf numFmtId="0" fontId="66" fillId="0" borderId="32" xfId="0" applyFont="1" applyBorder="1"/>
    <xf numFmtId="167" fontId="105" fillId="0" borderId="33" xfId="0" applyNumberFormat="1" applyFont="1" applyBorder="1"/>
    <xf numFmtId="0" fontId="107" fillId="0" borderId="0" xfId="0" applyFont="1"/>
    <xf numFmtId="0" fontId="66" fillId="0" borderId="0" xfId="0" applyFont="1"/>
    <xf numFmtId="0" fontId="105" fillId="0" borderId="50" xfId="0" applyFont="1" applyBorder="1" applyAlignment="1">
      <alignment horizontal="center" vertical="center"/>
    </xf>
    <xf numFmtId="44" fontId="105" fillId="0" borderId="51" xfId="1" applyFont="1" applyFill="1" applyBorder="1" applyAlignment="1">
      <alignment horizontal="right"/>
    </xf>
    <xf numFmtId="0" fontId="105" fillId="0" borderId="19" xfId="0" applyFont="1" applyBorder="1" applyAlignment="1">
      <alignment horizontal="center" vertical="center"/>
    </xf>
    <xf numFmtId="44" fontId="105" fillId="0" borderId="20" xfId="1" applyFont="1" applyFill="1" applyBorder="1" applyAlignment="1">
      <alignment horizontal="right"/>
    </xf>
    <xf numFmtId="10" fontId="108" fillId="0" borderId="20" xfId="2" applyNumberFormat="1" applyFont="1" applyFill="1" applyBorder="1"/>
    <xf numFmtId="0" fontId="105" fillId="0" borderId="52" xfId="0" applyFont="1" applyBorder="1" applyAlignment="1">
      <alignment horizontal="center" vertical="center"/>
    </xf>
    <xf numFmtId="10" fontId="108" fillId="0" borderId="53" xfId="2" applyNumberFormat="1" applyFont="1" applyFill="1" applyBorder="1"/>
    <xf numFmtId="44" fontId="105" fillId="0" borderId="20" xfId="1" applyFont="1" applyFill="1" applyBorder="1"/>
    <xf numFmtId="44" fontId="105" fillId="0" borderId="51" xfId="1" applyFont="1" applyFill="1" applyBorder="1"/>
    <xf numFmtId="8" fontId="105" fillId="0" borderId="20" xfId="1" applyNumberFormat="1" applyFont="1" applyFill="1" applyBorder="1"/>
    <xf numFmtId="10" fontId="105" fillId="0" borderId="20" xfId="1" applyNumberFormat="1" applyFont="1" applyFill="1" applyBorder="1"/>
    <xf numFmtId="10" fontId="105" fillId="0" borderId="20" xfId="2" applyNumberFormat="1" applyFont="1" applyFill="1" applyBorder="1"/>
    <xf numFmtId="8" fontId="105" fillId="0" borderId="20" xfId="0" applyNumberFormat="1" applyFont="1" applyBorder="1"/>
    <xf numFmtId="0" fontId="105" fillId="0" borderId="32" xfId="0" applyFont="1" applyBorder="1" applyAlignment="1">
      <alignment horizontal="center" vertical="center"/>
    </xf>
    <xf numFmtId="170" fontId="105" fillId="0" borderId="33" xfId="0" applyNumberFormat="1" applyFont="1" applyBorder="1"/>
    <xf numFmtId="0" fontId="105" fillId="0" borderId="36" xfId="0" applyFont="1" applyBorder="1" applyAlignment="1">
      <alignment horizontal="center" vertical="center"/>
    </xf>
    <xf numFmtId="44" fontId="105" fillId="0" borderId="37" xfId="1" applyFont="1" applyFill="1" applyBorder="1"/>
    <xf numFmtId="0" fontId="105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5" fillId="2" borderId="50" xfId="0" applyFont="1" applyFill="1" applyBorder="1"/>
    <xf numFmtId="167" fontId="105" fillId="2" borderId="57" xfId="0" applyNumberFormat="1" applyFont="1" applyFill="1" applyBorder="1"/>
    <xf numFmtId="10" fontId="67" fillId="2" borderId="57" xfId="2" applyNumberFormat="1" applyFont="1" applyFill="1" applyBorder="1"/>
    <xf numFmtId="167" fontId="105" fillId="2" borderId="51" xfId="0" applyNumberFormat="1" applyFont="1" applyFill="1" applyBorder="1"/>
    <xf numFmtId="0" fontId="105" fillId="2" borderId="59" xfId="0" applyFont="1" applyFill="1" applyBorder="1"/>
    <xf numFmtId="167" fontId="105" fillId="2" borderId="59" xfId="0" applyNumberFormat="1" applyFont="1" applyFill="1" applyBorder="1"/>
    <xf numFmtId="10" fontId="67" fillId="2" borderId="59" xfId="2" applyNumberFormat="1" applyFont="1" applyFill="1" applyBorder="1"/>
    <xf numFmtId="0" fontId="105" fillId="2" borderId="19" xfId="0" applyFont="1" applyFill="1" applyBorder="1"/>
    <xf numFmtId="8" fontId="105" fillId="2" borderId="59" xfId="0" applyNumberFormat="1" applyFont="1" applyFill="1" applyBorder="1"/>
    <xf numFmtId="167" fontId="105" fillId="2" borderId="20" xfId="0" applyNumberFormat="1" applyFont="1" applyFill="1" applyBorder="1"/>
    <xf numFmtId="0" fontId="105" fillId="2" borderId="19" xfId="0" applyFont="1" applyFill="1" applyBorder="1" applyAlignment="1">
      <alignment vertical="center"/>
    </xf>
    <xf numFmtId="8" fontId="105" fillId="2" borderId="59" xfId="0" applyNumberFormat="1" applyFont="1" applyFill="1" applyBorder="1" applyAlignment="1">
      <alignment vertical="center"/>
    </xf>
    <xf numFmtId="167" fontId="105" fillId="2" borderId="20" xfId="0" applyNumberFormat="1" applyFont="1" applyFill="1" applyBorder="1" applyAlignment="1">
      <alignment vertical="center"/>
    </xf>
    <xf numFmtId="0" fontId="105" fillId="2" borderId="59" xfId="0" applyFont="1" applyFill="1" applyBorder="1" applyAlignment="1">
      <alignment vertical="center"/>
    </xf>
    <xf numFmtId="167" fontId="105" fillId="2" borderId="59" xfId="0" applyNumberFormat="1" applyFont="1" applyFill="1" applyBorder="1" applyAlignment="1">
      <alignment vertical="center"/>
    </xf>
    <xf numFmtId="0" fontId="105" fillId="2" borderId="19" xfId="0" applyFont="1" applyFill="1" applyBorder="1" applyAlignment="1">
      <alignment wrapText="1"/>
    </xf>
    <xf numFmtId="8" fontId="105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5" fillId="2" borderId="20" xfId="0" applyNumberFormat="1" applyFont="1" applyFill="1" applyBorder="1" applyAlignment="1">
      <alignment wrapText="1"/>
    </xf>
    <xf numFmtId="0" fontId="105" fillId="2" borderId="0" xfId="0" applyFont="1" applyFill="1" applyAlignment="1">
      <alignment wrapText="1"/>
    </xf>
    <xf numFmtId="0" fontId="105" fillId="2" borderId="32" xfId="0" applyFont="1" applyFill="1" applyBorder="1"/>
    <xf numFmtId="8" fontId="105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5" fillId="2" borderId="37" xfId="1" applyNumberFormat="1" applyFont="1" applyFill="1" applyBorder="1"/>
    <xf numFmtId="0" fontId="66" fillId="2" borderId="61" xfId="0" applyFont="1" applyFill="1" applyBorder="1"/>
    <xf numFmtId="167" fontId="105" fillId="2" borderId="61" xfId="1" applyNumberFormat="1" applyFont="1" applyFill="1" applyBorder="1"/>
    <xf numFmtId="0" fontId="66" fillId="2" borderId="19" xfId="0" applyFont="1" applyFill="1" applyBorder="1"/>
    <xf numFmtId="167" fontId="105" fillId="2" borderId="20" xfId="1" applyNumberFormat="1" applyFont="1" applyFill="1" applyBorder="1"/>
    <xf numFmtId="0" fontId="66" fillId="2" borderId="59" xfId="0" applyFont="1" applyFill="1" applyBorder="1"/>
    <xf numFmtId="167" fontId="105" fillId="2" borderId="59" xfId="1" applyNumberFormat="1" applyFont="1" applyFill="1" applyBorder="1"/>
    <xf numFmtId="10" fontId="105" fillId="2" borderId="20" xfId="2" applyNumberFormat="1" applyFont="1" applyFill="1" applyBorder="1"/>
    <xf numFmtId="10" fontId="105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5" fillId="2" borderId="33" xfId="2" applyNumberFormat="1" applyFont="1" applyFill="1" applyBorder="1" applyAlignment="1">
      <alignment horizontal="right" vertical="center" wrapText="1"/>
    </xf>
    <xf numFmtId="0" fontId="10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5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4" fillId="13" borderId="42" xfId="0" applyFont="1" applyFill="1" applyBorder="1" applyAlignment="1">
      <alignment horizontal="center"/>
    </xf>
    <xf numFmtId="0" fontId="115" fillId="13" borderId="56" xfId="0" applyFont="1" applyFill="1" applyBorder="1" applyAlignment="1">
      <alignment horizontal="center" vertical="center" wrapText="1"/>
    </xf>
    <xf numFmtId="0" fontId="115" fillId="13" borderId="14" xfId="0" applyFont="1" applyFill="1" applyBorder="1" applyAlignment="1">
      <alignment horizontal="center"/>
    </xf>
    <xf numFmtId="0" fontId="115" fillId="14" borderId="16" xfId="0" applyFont="1" applyFill="1" applyBorder="1" applyAlignment="1">
      <alignment horizontal="center"/>
    </xf>
    <xf numFmtId="164" fontId="116" fillId="14" borderId="17" xfId="0" applyNumberFormat="1" applyFont="1" applyFill="1" applyBorder="1" applyAlignment="1">
      <alignment wrapText="1"/>
    </xf>
    <xf numFmtId="0" fontId="115" fillId="14" borderId="14" xfId="0" applyFont="1" applyFill="1" applyBorder="1" applyAlignment="1">
      <alignment horizontal="center"/>
    </xf>
    <xf numFmtId="164" fontId="116" fillId="14" borderId="15" xfId="0" applyNumberFormat="1" applyFont="1" applyFill="1" applyBorder="1" applyAlignment="1">
      <alignment wrapText="1"/>
    </xf>
    <xf numFmtId="0" fontId="115" fillId="14" borderId="12" xfId="0" applyFont="1" applyFill="1" applyBorder="1" applyAlignment="1">
      <alignment horizontal="center"/>
    </xf>
    <xf numFmtId="164" fontId="116" fillId="14" borderId="13" xfId="0" applyNumberFormat="1" applyFont="1" applyFill="1" applyBorder="1" applyAlignment="1">
      <alignment wrapText="1"/>
    </xf>
    <xf numFmtId="0" fontId="115" fillId="14" borderId="76" xfId="0" applyFont="1" applyFill="1" applyBorder="1" applyAlignment="1">
      <alignment horizontal="center" vertical="center"/>
    </xf>
    <xf numFmtId="164" fontId="116" fillId="14" borderId="13" xfId="0" applyNumberFormat="1" applyFont="1" applyFill="1" applyBorder="1" applyAlignment="1">
      <alignment vertical="center" wrapText="1"/>
    </xf>
    <xf numFmtId="0" fontId="115" fillId="14" borderId="76" xfId="0" applyFont="1" applyFill="1" applyBorder="1" applyAlignment="1">
      <alignment horizontal="center" vertical="center" wrapText="1"/>
    </xf>
    <xf numFmtId="10" fontId="116" fillId="14" borderId="15" xfId="0" applyNumberFormat="1" applyFont="1" applyFill="1" applyBorder="1" applyAlignment="1">
      <alignment vertical="center" wrapText="1"/>
    </xf>
    <xf numFmtId="0" fontId="115" fillId="14" borderId="12" xfId="0" applyFont="1" applyFill="1" applyBorder="1" applyAlignment="1">
      <alignment horizontal="center" vertical="center" wrapText="1"/>
    </xf>
    <xf numFmtId="164" fontId="116" fillId="14" borderId="22" xfId="0" applyNumberFormat="1" applyFont="1" applyFill="1" applyBorder="1" applyAlignment="1">
      <alignment vertical="center" wrapText="1"/>
    </xf>
    <xf numFmtId="0" fontId="115" fillId="14" borderId="23" xfId="0" applyFont="1" applyFill="1" applyBorder="1" applyAlignment="1">
      <alignment horizontal="center"/>
    </xf>
    <xf numFmtId="10" fontId="116" fillId="14" borderId="24" xfId="0" applyNumberFormat="1" applyFont="1" applyFill="1" applyBorder="1" applyAlignment="1">
      <alignment wrapText="1"/>
    </xf>
    <xf numFmtId="0" fontId="115" fillId="13" borderId="77" xfId="0" applyFont="1" applyFill="1" applyBorder="1" applyAlignment="1">
      <alignment horizontal="center" vertical="center" wrapText="1"/>
    </xf>
    <xf numFmtId="0" fontId="115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2" fillId="43" borderId="109" xfId="7" applyAlignment="1" applyProtection="1">
      <alignment horizontal="left" vertical="center" wrapText="1"/>
      <protection locked="0"/>
    </xf>
    <xf numFmtId="164" fontId="112" fillId="43" borderId="109" xfId="7" applyNumberFormat="1" applyAlignment="1" applyProtection="1">
      <alignment vertical="center" wrapText="1"/>
      <protection locked="0"/>
    </xf>
    <xf numFmtId="0" fontId="112" fillId="43" borderId="109" xfId="7" applyAlignment="1" applyProtection="1">
      <alignment vertical="center" wrapText="1"/>
      <protection locked="0"/>
    </xf>
    <xf numFmtId="10" fontId="112" fillId="43" borderId="109" xfId="7" applyNumberFormat="1" applyAlignment="1" applyProtection="1">
      <alignment vertical="center" wrapText="1"/>
      <protection locked="0"/>
    </xf>
    <xf numFmtId="164" fontId="112" fillId="43" borderId="109" xfId="7" applyNumberFormat="1" applyAlignment="1" applyProtection="1">
      <alignment wrapText="1"/>
      <protection locked="0"/>
    </xf>
    <xf numFmtId="0" fontId="112" fillId="43" borderId="109" xfId="7" applyAlignment="1" applyProtection="1">
      <alignment wrapText="1"/>
      <protection locked="0"/>
    </xf>
    <xf numFmtId="0" fontId="117" fillId="13" borderId="42" xfId="0" applyFont="1" applyFill="1" applyBorder="1" applyAlignment="1">
      <alignment horizontal="center"/>
    </xf>
    <xf numFmtId="0" fontId="118" fillId="13" borderId="56" xfId="0" applyFont="1" applyFill="1" applyBorder="1" applyAlignment="1">
      <alignment horizontal="center" vertical="center" wrapText="1"/>
    </xf>
    <xf numFmtId="0" fontId="118" fillId="13" borderId="14" xfId="0" applyFont="1" applyFill="1" applyBorder="1" applyAlignment="1">
      <alignment horizontal="center"/>
    </xf>
    <xf numFmtId="0" fontId="118" fillId="14" borderId="16" xfId="0" applyFont="1" applyFill="1" applyBorder="1" applyAlignment="1">
      <alignment horizontal="center"/>
    </xf>
    <xf numFmtId="164" fontId="119" fillId="14" borderId="17" xfId="0" applyNumberFormat="1" applyFont="1" applyFill="1" applyBorder="1" applyAlignment="1">
      <alignment wrapText="1"/>
    </xf>
    <xf numFmtId="0" fontId="118" fillId="14" borderId="14" xfId="0" applyFont="1" applyFill="1" applyBorder="1" applyAlignment="1">
      <alignment horizontal="center"/>
    </xf>
    <xf numFmtId="164" fontId="119" fillId="14" borderId="15" xfId="0" applyNumberFormat="1" applyFont="1" applyFill="1" applyBorder="1" applyAlignment="1">
      <alignment wrapText="1"/>
    </xf>
    <xf numFmtId="0" fontId="118" fillId="14" borderId="12" xfId="0" applyFont="1" applyFill="1" applyBorder="1" applyAlignment="1">
      <alignment horizontal="center"/>
    </xf>
    <xf numFmtId="164" fontId="119" fillId="14" borderId="13" xfId="0" applyNumberFormat="1" applyFont="1" applyFill="1" applyBorder="1" applyAlignment="1">
      <alignment wrapText="1"/>
    </xf>
    <xf numFmtId="0" fontId="118" fillId="14" borderId="76" xfId="0" applyFont="1" applyFill="1" applyBorder="1" applyAlignment="1">
      <alignment horizontal="center" vertical="center"/>
    </xf>
    <xf numFmtId="164" fontId="119" fillId="14" borderId="13" xfId="0" applyNumberFormat="1" applyFont="1" applyFill="1" applyBorder="1" applyAlignment="1">
      <alignment vertical="center" wrapText="1"/>
    </xf>
    <xf numFmtId="0" fontId="118" fillId="14" borderId="76" xfId="0" applyFont="1" applyFill="1" applyBorder="1" applyAlignment="1">
      <alignment horizontal="center" vertical="center" wrapText="1"/>
    </xf>
    <xf numFmtId="10" fontId="119" fillId="14" borderId="15" xfId="0" applyNumberFormat="1" applyFont="1" applyFill="1" applyBorder="1" applyAlignment="1">
      <alignment vertical="center" wrapText="1"/>
    </xf>
    <xf numFmtId="0" fontId="118" fillId="14" borderId="12" xfId="0" applyFont="1" applyFill="1" applyBorder="1" applyAlignment="1">
      <alignment horizontal="center" vertical="center" wrapText="1"/>
    </xf>
    <xf numFmtId="164" fontId="119" fillId="14" borderId="22" xfId="0" applyNumberFormat="1" applyFont="1" applyFill="1" applyBorder="1" applyAlignment="1">
      <alignment vertical="center" wrapText="1"/>
    </xf>
    <xf numFmtId="0" fontId="118" fillId="14" borderId="23" xfId="0" applyFont="1" applyFill="1" applyBorder="1" applyAlignment="1">
      <alignment horizontal="center"/>
    </xf>
    <xf numFmtId="10" fontId="119" fillId="14" borderId="24" xfId="0" applyNumberFormat="1" applyFont="1" applyFill="1" applyBorder="1" applyAlignment="1">
      <alignment wrapText="1"/>
    </xf>
    <xf numFmtId="0" fontId="118" fillId="13" borderId="77" xfId="0" applyFont="1" applyFill="1" applyBorder="1" applyAlignment="1">
      <alignment horizontal="center" vertical="center" wrapText="1"/>
    </xf>
    <xf numFmtId="0" fontId="118" fillId="13" borderId="43" xfId="0" applyFont="1" applyFill="1" applyBorder="1" applyAlignment="1">
      <alignment horizontal="center" vertical="center" wrapText="1"/>
    </xf>
    <xf numFmtId="165" fontId="112" fillId="43" borderId="109" xfId="7" applyNumberFormat="1" applyAlignment="1" applyProtection="1">
      <alignment wrapText="1"/>
      <protection locked="0"/>
    </xf>
    <xf numFmtId="0" fontId="112" fillId="43" borderId="109" xfId="7" applyProtection="1">
      <protection locked="0"/>
    </xf>
    <xf numFmtId="10" fontId="112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2" fillId="43" borderId="109" xfId="7" applyNumberFormat="1" applyAlignment="1">
      <alignment horizontal="right"/>
    </xf>
    <xf numFmtId="0" fontId="112" fillId="43" borderId="109" xfId="7" applyAlignment="1">
      <alignment horizontal="right"/>
    </xf>
    <xf numFmtId="44" fontId="112" fillId="43" borderId="109" xfId="7" applyNumberFormat="1" applyAlignment="1">
      <alignment horizontal="right"/>
    </xf>
    <xf numFmtId="10" fontId="112" fillId="43" borderId="109" xfId="7" applyNumberFormat="1" applyAlignment="1" applyProtection="1">
      <alignment wrapText="1"/>
      <protection locked="0"/>
    </xf>
    <xf numFmtId="10" fontId="112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6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2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9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110" fillId="11" borderId="107" xfId="5" applyFill="1"/>
    <xf numFmtId="0" fontId="0" fillId="11" borderId="69" xfId="0" applyFill="1" applyBorder="1"/>
    <xf numFmtId="0" fontId="125" fillId="11" borderId="0" xfId="5" applyFont="1" applyFill="1" applyBorder="1"/>
    <xf numFmtId="0" fontId="110" fillId="11" borderId="0" xfId="5" applyFill="1" applyBorder="1"/>
    <xf numFmtId="0" fontId="3" fillId="11" borderId="0" xfId="3" applyFill="1" applyBorder="1" applyAlignment="1">
      <alignment horizontal="left"/>
    </xf>
    <xf numFmtId="0" fontId="113" fillId="11" borderId="0" xfId="6" applyFont="1" applyFill="1" applyBorder="1"/>
    <xf numFmtId="0" fontId="121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124" fillId="11" borderId="0" xfId="0" applyFont="1" applyFill="1"/>
    <xf numFmtId="0" fontId="125" fillId="11" borderId="0" xfId="0" applyFont="1" applyFill="1"/>
    <xf numFmtId="0" fontId="127" fillId="11" borderId="0" xfId="0" applyFont="1" applyFill="1"/>
    <xf numFmtId="0" fontId="128" fillId="11" borderId="0" xfId="0" applyFont="1" applyFill="1"/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9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30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30" fillId="54" borderId="59" xfId="7" applyNumberFormat="1" applyFont="1" applyFill="1" applyBorder="1" applyAlignment="1" applyProtection="1">
      <alignment wrapText="1"/>
    </xf>
    <xf numFmtId="165" fontId="112" fillId="43" borderId="109" xfId="7" applyNumberFormat="1" applyProtection="1">
      <protection locked="0"/>
    </xf>
    <xf numFmtId="165" fontId="112" fillId="43" borderId="109" xfId="7" applyNumberFormat="1" applyAlignment="1" applyProtection="1">
      <alignment vertical="center"/>
      <protection locked="0"/>
    </xf>
    <xf numFmtId="0" fontId="111" fillId="33" borderId="112" xfId="6" applyFill="1" applyBorder="1" applyAlignment="1">
      <alignment horizontal="center"/>
    </xf>
    <xf numFmtId="0" fontId="111" fillId="33" borderId="113" xfId="6" applyFill="1" applyBorder="1" applyAlignment="1">
      <alignment horizontal="center"/>
    </xf>
    <xf numFmtId="0" fontId="111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3" fillId="2" borderId="0" xfId="0" applyFont="1" applyFill="1"/>
    <xf numFmtId="0" fontId="123" fillId="33" borderId="65" xfId="0" applyFont="1" applyFill="1" applyBorder="1" applyAlignment="1">
      <alignment horizontal="center"/>
    </xf>
    <xf numFmtId="0" fontId="123" fillId="2" borderId="0" xfId="0" applyFont="1" applyFill="1" applyAlignment="1">
      <alignment horizontal="center"/>
    </xf>
    <xf numFmtId="0" fontId="111" fillId="19" borderId="112" xfId="6" applyFill="1" applyBorder="1" applyAlignment="1">
      <alignment horizontal="center" vertical="center" wrapText="1"/>
    </xf>
    <xf numFmtId="0" fontId="111" fillId="19" borderId="113" xfId="6" applyFill="1" applyBorder="1" applyAlignment="1">
      <alignment horizontal="center" vertical="center" wrapText="1"/>
    </xf>
    <xf numFmtId="0" fontId="111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3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5" fillId="36" borderId="50" xfId="0" applyFont="1" applyFill="1" applyBorder="1" applyAlignment="1">
      <alignment horizontal="center"/>
    </xf>
    <xf numFmtId="10" fontId="86" fillId="36" borderId="51" xfId="2" applyNumberFormat="1" applyFont="1" applyFill="1" applyBorder="1"/>
    <xf numFmtId="0" fontId="131" fillId="2" borderId="0" xfId="3" applyFont="1" applyFill="1"/>
    <xf numFmtId="0" fontId="131" fillId="2" borderId="80" xfId="3" applyFont="1" applyFill="1" applyBorder="1"/>
    <xf numFmtId="44" fontId="0" fillId="2" borderId="80" xfId="0" applyNumberFormat="1" applyFill="1" applyBorder="1"/>
    <xf numFmtId="0" fontId="123" fillId="2" borderId="0" xfId="0" applyFont="1" applyFill="1" applyAlignment="1">
      <alignment horizontal="left"/>
    </xf>
    <xf numFmtId="0" fontId="122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3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1" fillId="55" borderId="112" xfId="6" applyFill="1" applyBorder="1" applyAlignment="1">
      <alignment horizontal="center" vertical="center"/>
    </xf>
    <xf numFmtId="0" fontId="111" fillId="55" borderId="113" xfId="6" applyFill="1" applyBorder="1" applyAlignment="1">
      <alignment horizontal="center" vertical="center"/>
    </xf>
    <xf numFmtId="44" fontId="111" fillId="55" borderId="113" xfId="6" applyNumberFormat="1" applyFill="1" applyBorder="1" applyAlignment="1">
      <alignment horizontal="center" vertical="center" wrapText="1"/>
    </xf>
    <xf numFmtId="44" fontId="111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3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2" fillId="16" borderId="59" xfId="1" applyNumberFormat="1" applyFont="1" applyFill="1" applyBorder="1"/>
    <xf numFmtId="0" fontId="112" fillId="43" borderId="109" xfId="7" applyAlignment="1">
      <alignment horizontal="right" wrapText="1"/>
    </xf>
    <xf numFmtId="0" fontId="112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30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3" fillId="2" borderId="80" xfId="0" applyFont="1" applyFill="1" applyBorder="1"/>
    <xf numFmtId="10" fontId="0" fillId="2" borderId="80" xfId="0" applyNumberFormat="1" applyFill="1" applyBorder="1"/>
    <xf numFmtId="0" fontId="133" fillId="49" borderId="0" xfId="0" applyFont="1" applyFill="1"/>
    <xf numFmtId="0" fontId="105" fillId="3" borderId="97" xfId="3" applyFont="1" applyFill="1" applyBorder="1" applyAlignment="1"/>
    <xf numFmtId="0" fontId="0" fillId="3" borderId="54" xfId="0" applyFill="1" applyBorder="1"/>
    <xf numFmtId="172" fontId="112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4" fillId="11" borderId="121" xfId="7" applyNumberFormat="1" applyFont="1" applyFill="1" applyBorder="1" applyAlignment="1" applyProtection="1">
      <alignment wrapText="1"/>
      <protection locked="0"/>
    </xf>
    <xf numFmtId="164" fontId="112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2" fillId="43" borderId="119" xfId="7" applyBorder="1" applyAlignment="1" applyProtection="1">
      <alignment vertical="center" wrapText="1"/>
      <protection locked="0"/>
    </xf>
    <xf numFmtId="164" fontId="135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84" fillId="36" borderId="38" xfId="0" applyFont="1" applyFill="1" applyBorder="1" applyAlignment="1">
      <alignment horizontal="center"/>
    </xf>
    <xf numFmtId="0" fontId="84" fillId="36" borderId="64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100" fillId="38" borderId="45" xfId="0" applyFont="1" applyFill="1" applyBorder="1" applyAlignment="1">
      <alignment horizontal="center"/>
    </xf>
    <xf numFmtId="0" fontId="100" fillId="38" borderId="85" xfId="0" applyFont="1" applyFill="1" applyBorder="1" applyAlignment="1">
      <alignment horizontal="center"/>
    </xf>
    <xf numFmtId="0" fontId="96" fillId="37" borderId="45" xfId="0" applyFont="1" applyFill="1" applyBorder="1" applyAlignment="1">
      <alignment horizontal="center"/>
    </xf>
    <xf numFmtId="0" fontId="96" fillId="37" borderId="85" xfId="0" applyFont="1" applyFill="1" applyBorder="1" applyAlignment="1">
      <alignment horizontal="center"/>
    </xf>
    <xf numFmtId="0" fontId="93" fillId="40" borderId="45" xfId="0" applyFont="1" applyFill="1" applyBorder="1" applyAlignment="1">
      <alignment horizontal="center"/>
    </xf>
    <xf numFmtId="0" fontId="93" fillId="40" borderId="85" xfId="0" applyFont="1" applyFill="1" applyBorder="1" applyAlignment="1">
      <alignment horizontal="center"/>
    </xf>
    <xf numFmtId="0" fontId="81" fillId="2" borderId="71" xfId="0" applyFont="1" applyFill="1" applyBorder="1" applyAlignment="1">
      <alignment horizontal="center"/>
    </xf>
    <xf numFmtId="0" fontId="89" fillId="39" borderId="34" xfId="0" applyFont="1" applyFill="1" applyBorder="1" applyAlignment="1">
      <alignment horizontal="center" vertical="center"/>
    </xf>
    <xf numFmtId="0" fontId="89" fillId="39" borderId="63" xfId="0" applyFont="1" applyFill="1" applyBorder="1" applyAlignment="1">
      <alignment horizontal="center" vertical="center"/>
    </xf>
    <xf numFmtId="0" fontId="89" fillId="39" borderId="35" xfId="0" applyFont="1" applyFill="1" applyBorder="1" applyAlignment="1">
      <alignment horizontal="center" vertical="center"/>
    </xf>
    <xf numFmtId="0" fontId="95" fillId="24" borderId="87" xfId="0" applyFont="1" applyFill="1" applyBorder="1" applyAlignment="1">
      <alignment horizontal="center" vertical="center"/>
    </xf>
    <xf numFmtId="0" fontId="95" fillId="24" borderId="80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98" fillId="31" borderId="87" xfId="0" applyFont="1" applyFill="1" applyBorder="1" applyAlignment="1">
      <alignment horizontal="center"/>
    </xf>
    <xf numFmtId="0" fontId="98" fillId="31" borderId="80" xfId="0" applyFont="1" applyFill="1" applyBorder="1" applyAlignment="1">
      <alignment horizontal="center"/>
    </xf>
    <xf numFmtId="0" fontId="98" fillId="31" borderId="91" xfId="0" applyFont="1" applyFill="1" applyBorder="1" applyAlignment="1">
      <alignment horizontal="center"/>
    </xf>
    <xf numFmtId="0" fontId="89" fillId="39" borderId="19" xfId="0" applyFont="1" applyFill="1" applyBorder="1" applyAlignment="1">
      <alignment horizontal="center"/>
    </xf>
    <xf numFmtId="0" fontId="89" fillId="39" borderId="59" xfId="0" applyFont="1" applyFill="1" applyBorder="1" applyAlignment="1">
      <alignment horizontal="center"/>
    </xf>
    <xf numFmtId="0" fontId="85" fillId="36" borderId="38" xfId="0" applyFont="1" applyFill="1" applyBorder="1" applyAlignment="1">
      <alignment horizontal="center"/>
    </xf>
    <xf numFmtId="0" fontId="85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20" fillId="45" borderId="40" xfId="0" applyFont="1" applyFill="1" applyBorder="1" applyAlignment="1">
      <alignment horizontal="center" vertical="center" wrapText="1"/>
    </xf>
    <xf numFmtId="0" fontId="120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107" fillId="0" borderId="86" xfId="0" applyFont="1" applyBorder="1" applyAlignment="1">
      <alignment horizontal="center"/>
    </xf>
    <xf numFmtId="0" fontId="66" fillId="0" borderId="38" xfId="0" applyFont="1" applyBorder="1" applyAlignment="1">
      <alignment horizontal="center"/>
    </xf>
    <xf numFmtId="0" fontId="66" fillId="0" borderId="62" xfId="0" applyFont="1" applyBorder="1" applyAlignment="1">
      <alignment horizontal="center"/>
    </xf>
    <xf numFmtId="0" fontId="107" fillId="0" borderId="71" xfId="0" applyFont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-0.16799914981375264</c:v>
                </c:pt>
                <c:pt idx="1">
                  <c:v>5.8829517577583333E-2</c:v>
                </c:pt>
                <c:pt idx="2">
                  <c:v>8.5777531820697292E-2</c:v>
                </c:pt>
                <c:pt idx="3">
                  <c:v>-2.3392100415472017E-2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-300635.24413164594</c:v>
                </c:pt>
                <c:pt idx="1">
                  <c:v>123239.87037984765</c:v>
                </c:pt>
                <c:pt idx="2">
                  <c:v>161325.24496000004</c:v>
                </c:pt>
                <c:pt idx="3">
                  <c:v>-16070.128791798255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193661.54354854405</c:v>
                </c:pt>
                <c:pt idx="1">
                  <c:v>0</c:v>
                </c:pt>
                <c:pt idx="2">
                  <c:v>161325.24496000004</c:v>
                </c:pt>
                <c:pt idx="3">
                  <c:v>354986.78850854409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-0.83186287806210835</c:v>
                </c:pt>
                <c:pt idx="1">
                  <c:v>0.34100683558341904</c:v>
                </c:pt>
                <c:pt idx="2">
                  <c:v>0.44638972042058672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0.12093264865027105</c:v>
                </c:pt>
                <c:pt idx="1">
                  <c:v>0</c:v>
                </c:pt>
                <c:pt idx="2">
                  <c:v>0.10074013048582493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-597042.89098653093</c:v>
                </c:pt>
                <c:pt idx="1">
                  <c:v>289201.05103103229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380929.64791771729</c:v>
                </c:pt>
                <c:pt idx="1">
                  <c:v>0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-1.6520279219328471</c:v>
                </c:pt>
                <c:pt idx="1">
                  <c:v>0.80022426959333781</c:v>
                </c:pt>
                <c:pt idx="2">
                  <c:v>0.68853978635578394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0.23787289116880062</c:v>
                </c:pt>
                <c:pt idx="1">
                  <c:v>0</c:v>
                </c:pt>
                <c:pt idx="2">
                  <c:v>0.15538795977830669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-890460.02265850606</c:v>
                </c:pt>
                <c:pt idx="1">
                  <c:v>515859.19805492985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560468.46087554225</c:v>
                </c:pt>
                <c:pt idx="1">
                  <c:v>0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-2.4639181589886721</c:v>
                </c:pt>
                <c:pt idx="1">
                  <c:v>1.4273912508437461</c:v>
                </c:pt>
                <c:pt idx="2">
                  <c:v>1.4833866198184846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0.34998654981612481</c:v>
                </c:pt>
                <c:pt idx="1">
                  <c:v>0</c:v>
                </c:pt>
                <c:pt idx="2">
                  <c:v>0.33476703159885124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5.8829517577583333E-2</c:v>
                </c:pt>
                <c:pt idx="1">
                  <c:v>6.2613538900589613E-2</c:v>
                </c:pt>
                <c:pt idx="2">
                  <c:v>6.6640955341600791E-2</c:v>
                </c:pt>
                <c:pt idx="3">
                  <c:v>7.0927422516273347E-2</c:v>
                </c:pt>
                <c:pt idx="4">
                  <c:v>7.5489603037871389E-2</c:v>
                </c:pt>
                <c:pt idx="5">
                  <c:v>8.0345231289180294E-2</c:v>
                </c:pt>
                <c:pt idx="6">
                  <c:v>8.5513182360667211E-2</c:v>
                </c:pt>
                <c:pt idx="7">
                  <c:v>9.1013545422869047E-2</c:v>
                </c:pt>
                <c:pt idx="8">
                  <c:v>9.6867701818225432E-2</c:v>
                </c:pt>
                <c:pt idx="9">
                  <c:v>0.10309840817592045</c:v>
                </c:pt>
                <c:pt idx="10">
                  <c:v>0.10972988487282176</c:v>
                </c:pt>
                <c:pt idx="11">
                  <c:v>0.11678791018438751</c:v>
                </c:pt>
                <c:pt idx="12">
                  <c:v>0.1242999204915307</c:v>
                </c:pt>
                <c:pt idx="13">
                  <c:v>0.13229511693297097</c:v>
                </c:pt>
                <c:pt idx="14">
                  <c:v>0.14080457891765891</c:v>
                </c:pt>
                <c:pt idx="15">
                  <c:v>0.14986138493852572</c:v>
                </c:pt>
                <c:pt idx="16">
                  <c:v>0.1595007411571924</c:v>
                </c:pt>
                <c:pt idx="17">
                  <c:v>0.16976011825948073</c:v>
                </c:pt>
                <c:pt idx="18">
                  <c:v>0.18067939711371894</c:v>
                </c:pt>
                <c:pt idx="19">
                  <c:v>0.19230102379805461</c:v>
                </c:pt>
                <c:pt idx="20">
                  <c:v>0.20467017459940437</c:v>
                </c:pt>
                <c:pt idx="21">
                  <c:v>0.21783493162543643</c:v>
                </c:pt>
                <c:pt idx="22">
                  <c:v>0.23184646971223466</c:v>
                </c:pt>
                <c:pt idx="23">
                  <c:v>0.24675925535420171</c:v>
                </c:pt>
                <c:pt idx="24">
                  <c:v>0.26263125842948909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  <c:pt idx="15">
                  <c:v>34851.894658851103</c:v>
                </c:pt>
                <c:pt idx="16">
                  <c:v>34470.872625481868</c:v>
                </c:pt>
                <c:pt idx="17">
                  <c:v>34076.839851812532</c:v>
                </c:pt>
                <c:pt idx="18">
                  <c:v>33669.509171538906</c:v>
                </c:pt>
                <c:pt idx="19">
                  <c:v>33248.587540273264</c:v>
                </c:pt>
                <c:pt idx="20">
                  <c:v>32813.77591730882</c:v>
                </c:pt>
                <c:pt idx="21">
                  <c:v>32364.769145016246</c:v>
                </c:pt>
                <c:pt idx="22">
                  <c:v>31901.255825824621</c:v>
                </c:pt>
                <c:pt idx="23">
                  <c:v>31422.918196738712</c:v>
                </c:pt>
                <c:pt idx="24">
                  <c:v>30929.432001343077</c:v>
                </c:pt>
                <c:pt idx="25">
                  <c:v>30420.466359242862</c:v>
                </c:pt>
                <c:pt idx="26">
                  <c:v>29895.68363289001</c:v>
                </c:pt>
                <c:pt idx="27">
                  <c:v>29354.739291742429</c:v>
                </c:pt>
                <c:pt idx="28">
                  <c:v>28797.281773702831</c:v>
                </c:pt>
                <c:pt idx="29">
                  <c:v>28222.952343783101</c:v>
                </c:pt>
                <c:pt idx="30">
                  <c:v>27631.384949938009</c:v>
                </c:pt>
                <c:pt idx="31">
                  <c:v>27022.206076012393</c:v>
                </c:pt>
                <c:pt idx="32">
                  <c:v>26395.034591743657</c:v>
                </c:pt>
                <c:pt idx="33">
                  <c:v>25749.481599760591</c:v>
                </c:pt>
                <c:pt idx="34">
                  <c:v>25085.150279518792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  <c:pt idx="15">
                  <c:v>2.1763391194486763E-2</c:v>
                </c:pt>
                <c:pt idx="16">
                  <c:v>2.1525460612889888E-2</c:v>
                </c:pt>
                <c:pt idx="17">
                  <c:v>2.1279405427633652E-2</c:v>
                </c:pt>
                <c:pt idx="18">
                  <c:v>2.1025046316684719E-2</c:v>
                </c:pt>
                <c:pt idx="19">
                  <c:v>2.0762200287419298E-2</c:v>
                </c:pt>
                <c:pt idx="20">
                  <c:v>2.0490680602790572E-2</c:v>
                </c:pt>
                <c:pt idx="21">
                  <c:v>2.021029670601739E-2</c:v>
                </c:pt>
                <c:pt idx="22">
                  <c:v>1.9920854143764596E-2</c:v>
                </c:pt>
                <c:pt idx="23">
                  <c:v>1.9622154487784885E-2</c:v>
                </c:pt>
                <c:pt idx="24">
                  <c:v>1.9313995254991306E-2</c:v>
                </c:pt>
                <c:pt idx="25">
                  <c:v>1.89961698259291E-2</c:v>
                </c:pt>
                <c:pt idx="26">
                  <c:v>1.8668467361614843E-2</c:v>
                </c:pt>
                <c:pt idx="27">
                  <c:v>1.8330672718710146E-2</c:v>
                </c:pt>
                <c:pt idx="28">
                  <c:v>1.7982566362996649E-2</c:v>
                </c:pt>
                <c:pt idx="29">
                  <c:v>1.7623924281118461E-2</c:v>
                </c:pt>
                <c:pt idx="30">
                  <c:v>1.7254517890557017E-2</c:v>
                </c:pt>
                <c:pt idx="31">
                  <c:v>1.6874113947803419E-2</c:v>
                </c:pt>
                <c:pt idx="32">
                  <c:v>1.648247445469193E-2</c:v>
                </c:pt>
                <c:pt idx="33">
                  <c:v>1.6079356562857867E-2</c:v>
                </c:pt>
                <c:pt idx="34">
                  <c:v>1.5664512476282498E-2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  <c:pt idx="15">
                  <c:v>34851.894658851103</c:v>
                </c:pt>
                <c:pt idx="16">
                  <c:v>34470.872625481868</c:v>
                </c:pt>
                <c:pt idx="17">
                  <c:v>34076.839851812532</c:v>
                </c:pt>
                <c:pt idx="18">
                  <c:v>33669.509171538906</c:v>
                </c:pt>
                <c:pt idx="19">
                  <c:v>33248.587540273264</c:v>
                </c:pt>
                <c:pt idx="20">
                  <c:v>32813.77591730882</c:v>
                </c:pt>
                <c:pt idx="21">
                  <c:v>32364.769145016246</c:v>
                </c:pt>
                <c:pt idx="22">
                  <c:v>31901.255825824621</c:v>
                </c:pt>
                <c:pt idx="23">
                  <c:v>31422.918196738712</c:v>
                </c:pt>
                <c:pt idx="24">
                  <c:v>30929.432001343077</c:v>
                </c:pt>
                <c:pt idx="25">
                  <c:v>30420.466359242862</c:v>
                </c:pt>
                <c:pt idx="26">
                  <c:v>29895.68363289001</c:v>
                </c:pt>
                <c:pt idx="27">
                  <c:v>29354.739291742429</c:v>
                </c:pt>
                <c:pt idx="28">
                  <c:v>28797.281773702831</c:v>
                </c:pt>
                <c:pt idx="29">
                  <c:v>28222.952343783101</c:v>
                </c:pt>
                <c:pt idx="30">
                  <c:v>27631.384949938009</c:v>
                </c:pt>
                <c:pt idx="31">
                  <c:v>27022.206076012393</c:v>
                </c:pt>
                <c:pt idx="32">
                  <c:v>26395.034591743657</c:v>
                </c:pt>
                <c:pt idx="33">
                  <c:v>25749.481599760591</c:v>
                </c:pt>
                <c:pt idx="34">
                  <c:v>25085.150279518792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  <c:pt idx="15">
                  <c:v>2.1763391194486763E-2</c:v>
                </c:pt>
                <c:pt idx="16">
                  <c:v>2.1525460612889888E-2</c:v>
                </c:pt>
                <c:pt idx="17">
                  <c:v>2.1279405427633652E-2</c:v>
                </c:pt>
                <c:pt idx="18">
                  <c:v>2.1025046316684719E-2</c:v>
                </c:pt>
                <c:pt idx="19">
                  <c:v>2.0762200287419298E-2</c:v>
                </c:pt>
                <c:pt idx="20">
                  <c:v>2.0490680602790572E-2</c:v>
                </c:pt>
                <c:pt idx="21">
                  <c:v>2.021029670601739E-2</c:v>
                </c:pt>
                <c:pt idx="22">
                  <c:v>1.9920854143764596E-2</c:v>
                </c:pt>
                <c:pt idx="23">
                  <c:v>1.9622154487784885E-2</c:v>
                </c:pt>
                <c:pt idx="24">
                  <c:v>1.9313995254991306E-2</c:v>
                </c:pt>
                <c:pt idx="25">
                  <c:v>1.89961698259291E-2</c:v>
                </c:pt>
                <c:pt idx="26">
                  <c:v>1.8668467361614843E-2</c:v>
                </c:pt>
                <c:pt idx="27">
                  <c:v>1.8330672718710146E-2</c:v>
                </c:pt>
                <c:pt idx="28">
                  <c:v>1.7982566362996649E-2</c:v>
                </c:pt>
                <c:pt idx="29">
                  <c:v>1.7623924281118461E-2</c:v>
                </c:pt>
                <c:pt idx="30">
                  <c:v>1.7254517890557017E-2</c:v>
                </c:pt>
                <c:pt idx="31">
                  <c:v>1.6874113947803419E-2</c:v>
                </c:pt>
                <c:pt idx="32">
                  <c:v>1.648247445469193E-2</c:v>
                </c:pt>
                <c:pt idx="33">
                  <c:v>1.6079356562857867E-2</c:v>
                </c:pt>
                <c:pt idx="34">
                  <c:v>1.5664512476282498E-2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B$19" max="35" min="1" page="10"/>
</file>

<file path=xl/ctrlProps/ctrlProp2.xml><?xml version="1.0" encoding="utf-8"?>
<formControlPr xmlns="http://schemas.microsoft.com/office/spreadsheetml/2009/9/main" objectType="Spin" dx="31" fmlaLink="$B$22" max="30" min="1" page="10"/>
</file>

<file path=xl/ctrlProps/ctrlProp3.xml><?xml version="1.0" encoding="utf-8"?>
<formControlPr xmlns="http://schemas.microsoft.com/office/spreadsheetml/2009/9/main" objectType="Spin" dx="31" fmlaLink="$C$25" max="10" min="1" page="10"/>
</file>

<file path=xl/ctrlProps/ctrlProp4.xml><?xml version="1.0" encoding="utf-8"?>
<formControlPr xmlns="http://schemas.microsoft.com/office/spreadsheetml/2009/9/main" objectType="Spin" dx="31" fmlaLink="$C$41" max="15" page="10" val="4"/>
</file>

<file path=xl/ctrlProps/ctrlProp5.xml><?xml version="1.0" encoding="utf-8"?>
<formControlPr xmlns="http://schemas.microsoft.com/office/spreadsheetml/2009/9/main" objectType="Spin" dx="31" fmlaLink="$C$42" max="15" page="10" val="3"/>
</file>

<file path=xl/ctrlProps/ctrlProp6.xml><?xml version="1.0" encoding="utf-8"?>
<formControlPr xmlns="http://schemas.microsoft.com/office/spreadsheetml/2009/9/main" objectType="Spin" dx="31" fmlaLink="$C$88" max="35" page="10" val="5"/>
</file>

<file path=xl/ctrlProps/ctrlProp7.xml><?xml version="1.0" encoding="utf-8"?>
<formControlPr xmlns="http://schemas.microsoft.com/office/spreadsheetml/2009/9/main" objectType="Spin" dx="31" fmlaLink="$C$50" max="15" page="10"/>
</file>

<file path=xl/ctrlProps/ctrlProp8.xml><?xml version="1.0" encoding="utf-8"?>
<formControlPr xmlns="http://schemas.microsoft.com/office/spreadsheetml/2009/9/main" objectType="Spin" dx="31" fmlaLink="$C$11" max="24" page="10" val="0"/>
</file>

<file path=xl/ctrlProps/ctrlProp9.xml><?xml version="1.0" encoding="utf-8"?>
<formControlPr xmlns="http://schemas.microsoft.com/office/spreadsheetml/2009/9/main" objectType="Spin" dx="31" fmlaLink="$C$50" max="15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/>
</file>

<file path=xl/ctrlProps/ctrlProp14.xml><?xml version="1.0" encoding="utf-8"?>
<formControlPr xmlns="http://schemas.microsoft.com/office/spreadsheetml/2009/9/main" objectType="Spin" dx="31" fmlaLink="$C$11" max="24" page="10" val="5"/>
</file>

<file path=xl/ctrlProps/ctrlProp15.xml><?xml version="1.0" encoding="utf-8"?>
<formControlPr xmlns="http://schemas.microsoft.com/office/spreadsheetml/2009/9/main" objectType="Spin" dx="31" fmlaLink="$C$50" max="15" page="1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1.png"/><Relationship Id="rId4" Type="http://schemas.openxmlformats.org/officeDocument/2006/relationships/hyperlink" Target="#Outputs!AY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17</xdr:row>
          <xdr:rowOff>38100</xdr:rowOff>
        </xdr:from>
        <xdr:to>
          <xdr:col>5</xdr:col>
          <xdr:colOff>259080</xdr:colOff>
          <xdr:row>18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20</xdr:row>
          <xdr:rowOff>144780</xdr:rowOff>
        </xdr:from>
        <xdr:to>
          <xdr:col>7</xdr:col>
          <xdr:colOff>358140</xdr:colOff>
          <xdr:row>21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23</xdr:row>
          <xdr:rowOff>60960</xdr:rowOff>
        </xdr:from>
        <xdr:to>
          <xdr:col>6</xdr:col>
          <xdr:colOff>449580</xdr:colOff>
          <xdr:row>24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31</xdr:row>
      <xdr:rowOff>25400</xdr:rowOff>
    </xdr:from>
    <xdr:to>
      <xdr:col>5</xdr:col>
      <xdr:colOff>400050</xdr:colOff>
      <xdr:row>49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23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20</xdr:row>
      <xdr:rowOff>133350</xdr:rowOff>
    </xdr:from>
    <xdr:to>
      <xdr:col>9</xdr:col>
      <xdr:colOff>44450</xdr:colOff>
      <xdr:row>21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17</xdr:row>
      <xdr:rowOff>25400</xdr:rowOff>
    </xdr:from>
    <xdr:to>
      <xdr:col>6</xdr:col>
      <xdr:colOff>269779</xdr:colOff>
      <xdr:row>18</xdr:row>
      <xdr:rowOff>170772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23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7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7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7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7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7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7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C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C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C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C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C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C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C31"/>
  <sheetViews>
    <sheetView tabSelected="1" workbookViewId="0">
      <selection activeCell="D5" sqref="D5"/>
    </sheetView>
  </sheetViews>
  <sheetFormatPr defaultColWidth="0" defaultRowHeight="14.4" zeroHeight="1" x14ac:dyDescent="0.3"/>
  <cols>
    <col min="1" max="1" width="8.77734375" style="799" customWidth="1"/>
    <col min="2" max="2" width="8.21875" style="777" customWidth="1"/>
    <col min="3" max="3" width="2.21875" style="777" customWidth="1"/>
    <col min="4" max="4" width="26.44140625" style="777" customWidth="1"/>
    <col min="5" max="5" width="65.5546875" style="777" bestFit="1" customWidth="1"/>
    <col min="6" max="6" width="8.109375" style="777" customWidth="1"/>
    <col min="7" max="16383" width="8.77734375" style="3" hidden="1"/>
    <col min="16384" max="16384" width="0.109375" style="3" customWidth="1"/>
  </cols>
  <sheetData>
    <row r="1" spans="1:6" s="776" customFormat="1" ht="15" thickBot="1" x14ac:dyDescent="0.35">
      <c r="A1" s="799"/>
      <c r="B1" s="799"/>
      <c r="C1" s="799"/>
      <c r="D1" s="799"/>
      <c r="E1" s="799"/>
      <c r="F1" s="799"/>
    </row>
    <row r="2" spans="1:6" s="769" customFormat="1" ht="19.8" thickBot="1" x14ac:dyDescent="0.4">
      <c r="A2" s="799"/>
      <c r="B2" s="778"/>
      <c r="C2" s="779"/>
      <c r="D2" s="780" t="s">
        <v>450</v>
      </c>
      <c r="E2" s="779"/>
      <c r="F2" s="781"/>
    </row>
    <row r="3" spans="1:6" s="769" customFormat="1" ht="18.600000000000001" thickTop="1" thickBot="1" x14ac:dyDescent="0.4">
      <c r="A3" s="799"/>
      <c r="B3" s="782"/>
      <c r="C3" s="783"/>
      <c r="D3" s="783" t="s">
        <v>451</v>
      </c>
      <c r="E3" s="783" t="s">
        <v>452</v>
      </c>
      <c r="F3" s="784"/>
    </row>
    <row r="4" spans="1:6" s="769" customFormat="1" ht="18" thickTop="1" x14ac:dyDescent="0.35">
      <c r="A4" s="799"/>
      <c r="B4" s="782"/>
      <c r="C4" s="785" t="s">
        <v>459</v>
      </c>
      <c r="E4" s="786"/>
      <c r="F4" s="784"/>
    </row>
    <row r="5" spans="1:6" s="769" customFormat="1" x14ac:dyDescent="0.3">
      <c r="A5" s="799"/>
      <c r="B5" s="782"/>
      <c r="D5" s="787" t="s">
        <v>460</v>
      </c>
      <c r="E5" s="788" t="s">
        <v>461</v>
      </c>
      <c r="F5" s="784"/>
    </row>
    <row r="6" spans="1:6" s="769" customFormat="1" x14ac:dyDescent="0.3">
      <c r="A6" s="799"/>
      <c r="B6" s="782"/>
      <c r="D6" s="787" t="s">
        <v>93</v>
      </c>
      <c r="E6" s="788" t="s">
        <v>461</v>
      </c>
      <c r="F6" s="784"/>
    </row>
    <row r="7" spans="1:6" s="769" customFormat="1" ht="15.6" x14ac:dyDescent="0.3">
      <c r="A7" s="799"/>
      <c r="B7" s="782"/>
      <c r="C7" s="789" t="s">
        <v>463</v>
      </c>
      <c r="F7" s="784"/>
    </row>
    <row r="8" spans="1:6" s="769" customFormat="1" x14ac:dyDescent="0.3">
      <c r="A8" s="799"/>
      <c r="B8" s="782"/>
      <c r="D8" s="790" t="s">
        <v>455</v>
      </c>
      <c r="F8" s="784"/>
    </row>
    <row r="9" spans="1:6" s="769" customFormat="1" x14ac:dyDescent="0.3">
      <c r="A9" s="799"/>
      <c r="B9" s="782"/>
      <c r="D9" s="791" t="s">
        <v>463</v>
      </c>
      <c r="E9" s="769" t="s">
        <v>453</v>
      </c>
      <c r="F9" s="784"/>
    </row>
    <row r="10" spans="1:6" s="769" customFormat="1" x14ac:dyDescent="0.3">
      <c r="A10" s="799"/>
      <c r="B10" s="782"/>
      <c r="D10" s="790" t="s">
        <v>456</v>
      </c>
      <c r="F10" s="784"/>
    </row>
    <row r="11" spans="1:6" s="769" customFormat="1" x14ac:dyDescent="0.3">
      <c r="A11" s="799"/>
      <c r="B11" s="782"/>
      <c r="D11" s="790" t="s">
        <v>465</v>
      </c>
      <c r="E11" s="769" t="s">
        <v>466</v>
      </c>
      <c r="F11" s="784"/>
    </row>
    <row r="12" spans="1:6" s="769" customFormat="1" ht="15.6" x14ac:dyDescent="0.3">
      <c r="A12" s="799"/>
      <c r="B12" s="782"/>
      <c r="C12" s="792" t="s">
        <v>462</v>
      </c>
      <c r="F12" s="784"/>
    </row>
    <row r="13" spans="1:6" s="769" customFormat="1" ht="15.6" x14ac:dyDescent="0.3">
      <c r="A13" s="799"/>
      <c r="B13" s="782"/>
      <c r="C13" s="792"/>
      <c r="D13" s="790" t="s">
        <v>467</v>
      </c>
      <c r="E13" s="769" t="s">
        <v>468</v>
      </c>
      <c r="F13" s="784"/>
    </row>
    <row r="14" spans="1:6" s="769" customFormat="1" x14ac:dyDescent="0.3">
      <c r="A14" s="799"/>
      <c r="B14" s="782"/>
      <c r="D14" s="790" t="s">
        <v>152</v>
      </c>
      <c r="E14" s="769" t="s">
        <v>464</v>
      </c>
      <c r="F14" s="784"/>
    </row>
    <row r="15" spans="1:6" s="769" customFormat="1" x14ac:dyDescent="0.3">
      <c r="A15" s="799"/>
      <c r="B15" s="782"/>
      <c r="D15" s="790" t="s">
        <v>322</v>
      </c>
      <c r="E15" s="769" t="s">
        <v>471</v>
      </c>
      <c r="F15" s="784"/>
    </row>
    <row r="16" spans="1:6" s="769" customFormat="1" x14ac:dyDescent="0.3">
      <c r="A16" s="799"/>
      <c r="B16" s="782"/>
      <c r="D16" s="790" t="s">
        <v>469</v>
      </c>
      <c r="E16" s="769" t="s">
        <v>470</v>
      </c>
      <c r="F16" s="784"/>
    </row>
    <row r="17" spans="1:6" s="769" customFormat="1" ht="15.6" x14ac:dyDescent="0.3">
      <c r="A17" s="799"/>
      <c r="B17" s="782"/>
      <c r="C17" s="793" t="s">
        <v>472</v>
      </c>
      <c r="D17" s="790"/>
      <c r="F17" s="784"/>
    </row>
    <row r="18" spans="1:6" s="769" customFormat="1" x14ac:dyDescent="0.3">
      <c r="A18" s="799"/>
      <c r="B18" s="782"/>
      <c r="D18" s="790" t="s">
        <v>473</v>
      </c>
      <c r="E18" s="769" t="s">
        <v>474</v>
      </c>
      <c r="F18" s="784"/>
    </row>
    <row r="19" spans="1:6" s="769" customFormat="1" x14ac:dyDescent="0.3">
      <c r="A19" s="799"/>
      <c r="B19" s="782"/>
      <c r="D19" s="790" t="s">
        <v>475</v>
      </c>
      <c r="E19" s="769" t="s">
        <v>476</v>
      </c>
      <c r="F19" s="784"/>
    </row>
    <row r="20" spans="1:6" s="769" customFormat="1" ht="15.6" x14ac:dyDescent="0.3">
      <c r="A20" s="799"/>
      <c r="B20" s="782"/>
      <c r="C20" s="794" t="s">
        <v>477</v>
      </c>
      <c r="F20" s="784"/>
    </row>
    <row r="21" spans="1:6" s="769" customFormat="1" ht="15.6" x14ac:dyDescent="0.3">
      <c r="A21" s="799"/>
      <c r="B21" s="782"/>
      <c r="C21" s="794"/>
      <c r="D21" s="790" t="s">
        <v>321</v>
      </c>
      <c r="F21" s="784"/>
    </row>
    <row r="22" spans="1:6" s="769" customFormat="1" ht="15.6" x14ac:dyDescent="0.3">
      <c r="A22" s="799"/>
      <c r="B22" s="782"/>
      <c r="C22" s="794"/>
      <c r="D22" s="790" t="s">
        <v>467</v>
      </c>
      <c r="F22" s="784"/>
    </row>
    <row r="23" spans="1:6" s="769" customFormat="1" ht="15.6" x14ac:dyDescent="0.3">
      <c r="A23" s="799"/>
      <c r="B23" s="782"/>
      <c r="C23" s="794"/>
      <c r="D23" s="790" t="s">
        <v>152</v>
      </c>
      <c r="F23" s="784"/>
    </row>
    <row r="24" spans="1:6" s="769" customFormat="1" ht="15.6" x14ac:dyDescent="0.3">
      <c r="A24" s="799"/>
      <c r="B24" s="782"/>
      <c r="C24" s="794"/>
      <c r="D24" s="790" t="s">
        <v>322</v>
      </c>
      <c r="F24" s="784"/>
    </row>
    <row r="25" spans="1:6" s="769" customFormat="1" ht="15.6" x14ac:dyDescent="0.3">
      <c r="A25" s="799"/>
      <c r="B25" s="782"/>
      <c r="C25" s="794"/>
      <c r="D25" s="790" t="s">
        <v>469</v>
      </c>
      <c r="F25" s="784"/>
    </row>
    <row r="26" spans="1:6" s="769" customFormat="1" ht="15.6" x14ac:dyDescent="0.3">
      <c r="A26" s="799"/>
      <c r="B26" s="782"/>
      <c r="C26" s="795" t="s">
        <v>478</v>
      </c>
      <c r="D26" s="790"/>
      <c r="F26" s="784"/>
    </row>
    <row r="27" spans="1:6" s="769" customFormat="1" ht="15.6" x14ac:dyDescent="0.3">
      <c r="A27" s="799"/>
      <c r="B27" s="782"/>
      <c r="C27" s="795"/>
      <c r="D27" s="790" t="s">
        <v>479</v>
      </c>
      <c r="E27" s="769" t="s">
        <v>481</v>
      </c>
      <c r="F27" s="784"/>
    </row>
    <row r="28" spans="1:6" s="769" customFormat="1" ht="15.6" x14ac:dyDescent="0.3">
      <c r="A28" s="799"/>
      <c r="B28" s="782"/>
      <c r="C28" s="795"/>
      <c r="D28" s="790" t="s">
        <v>480</v>
      </c>
      <c r="E28" s="769" t="s">
        <v>482</v>
      </c>
      <c r="F28" s="784"/>
    </row>
    <row r="29" spans="1:6" s="769" customFormat="1" ht="15.6" x14ac:dyDescent="0.3">
      <c r="A29" s="799"/>
      <c r="B29" s="782"/>
      <c r="C29" s="794" t="s">
        <v>483</v>
      </c>
      <c r="D29" s="790"/>
      <c r="F29" s="784"/>
    </row>
    <row r="30" spans="1:6" s="769" customFormat="1" x14ac:dyDescent="0.3">
      <c r="A30" s="799"/>
      <c r="B30" s="782"/>
      <c r="D30" s="787" t="s">
        <v>457</v>
      </c>
      <c r="E30" s="769" t="s">
        <v>458</v>
      </c>
      <c r="F30" s="784"/>
    </row>
    <row r="31" spans="1:6" s="769" customFormat="1" ht="15" thickBot="1" x14ac:dyDescent="0.35">
      <c r="A31" s="799"/>
      <c r="B31" s="796"/>
      <c r="C31" s="797"/>
      <c r="D31" s="797"/>
      <c r="E31" s="797"/>
      <c r="F31" s="798"/>
    </row>
  </sheetData>
  <hyperlinks>
    <hyperlink ref="D9" location="Outputs!A1" display="Modify outputs" xr:uid="{F64697F5-038B-4044-BE85-99C09AB91C12}"/>
    <hyperlink ref="D30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8" location="'Total Result'!A1" display="Total Result" xr:uid="{40D00808-204B-4824-96F2-FAF46FB96424}"/>
    <hyperlink ref="D10" location="Graph!A1" display="Graphs" xr:uid="{C526FE58-6550-42D4-9E32-B48D1A55ED49}"/>
    <hyperlink ref="D14" location="'Total CF'!A1" display="Total CF" xr:uid="{ECF84EEF-8C28-416E-9723-1DB2E05073BD}"/>
    <hyperlink ref="D11" location="'Financial Statement'!A1" display="First year financial statement" xr:uid="{4517DCFE-B5B9-4A1D-B38F-E71004B2FA9C}"/>
    <hyperlink ref="D13" location="'ROI details'!A1" display="4 ways to win" xr:uid="{B3C701A1-96BE-403F-9618-95DE9F271CE6}"/>
    <hyperlink ref="D15" location="'PR Result'!A1" display="Principal Recapture" xr:uid="{801959FA-21FB-4B22-95DD-BA7B104B41F6}"/>
    <hyperlink ref="D16" location="'Principal Recapture'!A1" display="Mortgage payment schedule" xr:uid="{1B1DCC8C-FFF7-4F86-9631-A5CF2711F284}"/>
    <hyperlink ref="D18" location="'Calculating offering price ARV'!A1" display="Reno cost, rental revenue" xr:uid="{241C22BA-AE3B-4E7F-A47C-930DFB973EB1}"/>
    <hyperlink ref="D19" location="'ROI Number insert ARV'!A1" display="New mortgage after refinance" xr:uid="{EE7E726F-9DAF-4A95-BCA8-950A1E757694}"/>
    <hyperlink ref="D22" location="'ROI Detail ARV'!A1" display="4 ways to win" xr:uid="{C9AAC31F-3479-4EDA-83D8-B3ECB5FC6B12}"/>
    <hyperlink ref="D23" location="'Total CF'!A1" display="Total CF" xr:uid="{0A8B9140-F447-46E2-B44C-50D1A3DC99C3}"/>
    <hyperlink ref="D24" location="'PR ARV result'!A1" display="Principal Recapture" xr:uid="{C90BD960-24C5-47F1-B412-5F7199ED77EE}"/>
    <hyperlink ref="D25" location="'Principle Recapture ARV'!A1" display="Mortgage payment schedule" xr:uid="{49512BE8-4F94-4293-8278-B7B214EC6701}"/>
    <hyperlink ref="D27" location="'Mortgage Caculator'!A1" display="Mortgage payment calculator" xr:uid="{1EB982F1-4F78-4B9E-9D3D-5132A7F5C276}"/>
    <hyperlink ref="D28" location="'Debt payment Calculator'!A1" display="Debt payment calculator" xr:uid="{CEB17A5B-6F24-4FB5-883E-F7580236564D}"/>
    <hyperlink ref="D21" location="'Financial Statement ARV'!A1" display="Financial Statement" xr:uid="{F11A6EAC-EAD3-40E4-A38D-AE02990C345E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1"/>
  <sheetViews>
    <sheetView workbookViewId="0">
      <selection activeCell="C17" sqref="C17"/>
    </sheetView>
  </sheetViews>
  <sheetFormatPr defaultColWidth="8.77734375" defaultRowHeight="14.4" x14ac:dyDescent="0.3"/>
  <cols>
    <col min="1" max="1" width="34.7773437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88" t="s">
        <v>454</v>
      </c>
      <c r="W1" s="688" t="s">
        <v>500</v>
      </c>
      <c r="AQ1" s="688" t="s">
        <v>500</v>
      </c>
    </row>
    <row r="2" spans="1:43" ht="15.6" x14ac:dyDescent="0.3">
      <c r="A2" s="833" t="s">
        <v>271</v>
      </c>
      <c r="B2" s="295">
        <f>'ROI Number insert'!C3</f>
        <v>10267800</v>
      </c>
    </row>
    <row r="3" spans="1:43" ht="15.6" x14ac:dyDescent="0.3">
      <c r="A3" s="833" t="s">
        <v>272</v>
      </c>
      <c r="B3" s="425" t="str">
        <f>'ROI Number insert'!C4</f>
        <v>3601 13308 Central Avenue, Surrey</v>
      </c>
    </row>
    <row r="4" spans="1:43" ht="15.6" x14ac:dyDescent="0.3">
      <c r="A4" s="834" t="s">
        <v>268</v>
      </c>
      <c r="B4" s="296">
        <f ca="1">TODAY()-'ROI Number insert'!C2</f>
        <v>0</v>
      </c>
    </row>
    <row r="5" spans="1:43" ht="15.6" x14ac:dyDescent="0.3">
      <c r="A5" s="833" t="s">
        <v>5</v>
      </c>
      <c r="B5" s="127">
        <f>'Calculating offering price'!C4</f>
        <v>1588000</v>
      </c>
    </row>
    <row r="6" spans="1:43" ht="15.6" x14ac:dyDescent="0.3">
      <c r="A6" s="834" t="s">
        <v>95</v>
      </c>
      <c r="B6" s="835">
        <f>'ROI Number insert'!F3</f>
        <v>1550000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361400</v>
      </c>
    </row>
    <row r="8" spans="1:43" x14ac:dyDescent="0.3">
      <c r="A8" s="837" t="s">
        <v>179</v>
      </c>
      <c r="B8" s="297">
        <f>_xlfn.XLOOKUP(A8,'Total Result'!B17:B20,'Total Result'!C17:C20)</f>
        <v>0</v>
      </c>
    </row>
    <row r="9" spans="1:43" ht="15.6" x14ac:dyDescent="0.3">
      <c r="A9" s="836" t="s">
        <v>494</v>
      </c>
      <c r="B9" s="127">
        <f>SUM('ROI details'!H24:H28)</f>
        <v>1737400</v>
      </c>
    </row>
    <row r="10" spans="1:43" ht="15.6" x14ac:dyDescent="0.3">
      <c r="A10" s="836" t="s">
        <v>497</v>
      </c>
      <c r="B10" s="415">
        <f>'Total Result'!C12</f>
        <v>1.9546366783441855</v>
      </c>
      <c r="C10" s="876" t="s">
        <v>513</v>
      </c>
    </row>
    <row r="11" spans="1:43" ht="15.6" x14ac:dyDescent="0.3">
      <c r="A11" s="836" t="s">
        <v>498</v>
      </c>
      <c r="B11" s="852">
        <f>'Total Result'!C13</f>
        <v>-5.952411075345446</v>
      </c>
      <c r="C11" s="1" t="s">
        <v>499</v>
      </c>
    </row>
    <row r="12" spans="1:43" ht="15.6" x14ac:dyDescent="0.3">
      <c r="A12" s="861" t="s">
        <v>217</v>
      </c>
      <c r="B12" s="862">
        <f>'Total Result'!C7</f>
        <v>2.4157361774573054E-2</v>
      </c>
    </row>
    <row r="13" spans="1:43" ht="15.6" x14ac:dyDescent="0.3">
      <c r="A13" s="818" t="s">
        <v>504</v>
      </c>
      <c r="B13" s="292">
        <f>'Calculating offering price'!C59</f>
        <v>516823.52941176464</v>
      </c>
    </row>
    <row r="14" spans="1:43" ht="15.6" x14ac:dyDescent="0.3">
      <c r="A14" s="818" t="s">
        <v>505</v>
      </c>
      <c r="B14" s="415">
        <f>IF(B13&lt;B5, (B13-B5)/B5, "Great Value!")</f>
        <v>-0.67454437694473268</v>
      </c>
    </row>
    <row r="15" spans="1:43" ht="15.6" x14ac:dyDescent="0.3">
      <c r="A15" s="818" t="s">
        <v>506</v>
      </c>
      <c r="B15" s="292">
        <f>'Calculating offering price'!C63</f>
        <v>10435</v>
      </c>
      <c r="C15" s="876" t="s">
        <v>514</v>
      </c>
    </row>
    <row r="16" spans="1:43" ht="15.6" x14ac:dyDescent="0.3">
      <c r="A16" s="818" t="s">
        <v>507</v>
      </c>
      <c r="B16" s="292">
        <f>'Calculating offering price'!C57</f>
        <v>5300</v>
      </c>
      <c r="C16" s="876" t="s">
        <v>515</v>
      </c>
    </row>
    <row r="17" spans="1:7" ht="16.2" thickBot="1" x14ac:dyDescent="0.35">
      <c r="A17" s="818"/>
      <c r="B17" s="415"/>
    </row>
    <row r="18" spans="1:7" ht="15" thickBot="1" x14ac:dyDescent="0.35">
      <c r="B18" s="811" t="s">
        <v>484</v>
      </c>
      <c r="C18" s="812" t="s">
        <v>487</v>
      </c>
      <c r="D18" s="812" t="s">
        <v>485</v>
      </c>
      <c r="E18" s="813" t="s">
        <v>486</v>
      </c>
      <c r="F18" s="737"/>
    </row>
    <row r="19" spans="1:7" ht="16.2" thickBot="1" x14ac:dyDescent="0.35">
      <c r="A19" s="819" t="s">
        <v>488</v>
      </c>
      <c r="B19" s="814">
        <v>1</v>
      </c>
      <c r="C19" s="815" cm="1">
        <f t="array" ref="C19">INDEX('Total CF'!C3:C37,Outputs!$B$19)</f>
        <v>-60714.892742690201</v>
      </c>
      <c r="D19" s="816" cm="1">
        <f t="array" ref="D19">INDEX('Total CF'!D3:D37,Outputs!$B$19)</f>
        <v>-0.16799914981375264</v>
      </c>
      <c r="E19" s="817" cm="1">
        <f t="array" ref="E19">INDEX('Total CF'!E3:E37,Outputs!$B$19)</f>
        <v>-5059.5743952241837</v>
      </c>
    </row>
    <row r="20" spans="1:7" ht="15" thickBot="1" x14ac:dyDescent="0.35"/>
    <row r="21" spans="1:7" s="52" customFormat="1" ht="46.8" customHeight="1" thickBot="1" x14ac:dyDescent="0.35">
      <c r="B21" s="821" t="s">
        <v>491</v>
      </c>
      <c r="C21" s="822" t="s">
        <v>161</v>
      </c>
      <c r="D21" s="822" t="s">
        <v>489</v>
      </c>
      <c r="E21" s="822" t="s">
        <v>490</v>
      </c>
      <c r="F21" s="822" t="s">
        <v>445</v>
      </c>
      <c r="G21" s="823" t="s">
        <v>446</v>
      </c>
    </row>
    <row r="22" spans="1:7" ht="16.2" thickBot="1" x14ac:dyDescent="0.35">
      <c r="A22" s="829" t="s">
        <v>492</v>
      </c>
      <c r="B22" s="824">
        <v>1</v>
      </c>
      <c r="C22" s="825">
        <f>'PR Result'!C4</f>
        <v>8179.9002911065363</v>
      </c>
      <c r="D22" s="826" cm="1">
        <f t="array" ref="D22">INDEX('PR Result'!C5:C34,Outputs!B22)</f>
        <v>21260.987652538617</v>
      </c>
      <c r="E22" s="826" cm="1">
        <f t="array" ref="E22">INDEX('PR Result'!E5:E34,Outputs!$B$22)</f>
        <v>76897.81584073983</v>
      </c>
      <c r="F22" s="827" cm="1">
        <f t="array" ref="F22">INDEX('PR Result'!F5:F34,Outputs!$B$22)</f>
        <v>0.21659786892160407</v>
      </c>
      <c r="G22" s="828" cm="1">
        <f t="array" ref="G22">INDEX('PR Result'!G5:G34,Outputs!$B$22)</f>
        <v>5.8829517577583333E-2</v>
      </c>
    </row>
    <row r="23" spans="1:7" ht="16.2" thickBot="1" x14ac:dyDescent="0.35">
      <c r="A23" s="820"/>
      <c r="C23" s="838"/>
      <c r="D23" s="839"/>
      <c r="E23" s="839"/>
      <c r="F23" s="840"/>
      <c r="G23" s="840"/>
    </row>
    <row r="24" spans="1:7" s="52" customFormat="1" ht="33.6" customHeight="1" thickBot="1" x14ac:dyDescent="0.35">
      <c r="A24" s="841"/>
      <c r="B24" s="843" t="s">
        <v>495</v>
      </c>
      <c r="C24" s="844" t="s">
        <v>140</v>
      </c>
      <c r="D24" s="845" t="s">
        <v>7</v>
      </c>
      <c r="E24" s="845" t="s">
        <v>87</v>
      </c>
      <c r="F24" s="846" t="s">
        <v>446</v>
      </c>
      <c r="G24" s="842"/>
    </row>
    <row r="25" spans="1:7" ht="16.8" customHeight="1" thickBot="1" x14ac:dyDescent="0.35">
      <c r="A25" s="849" t="s">
        <v>496</v>
      </c>
      <c r="B25" s="847">
        <f>'ROI Number insert'!F6</f>
        <v>0.02</v>
      </c>
      <c r="C25" s="848">
        <v>1</v>
      </c>
      <c r="D25" s="850">
        <f>FV(B25,C25,,-B6)</f>
        <v>1581000</v>
      </c>
      <c r="E25" s="850">
        <f>D25-B6</f>
        <v>31000</v>
      </c>
      <c r="F25" s="851">
        <f>E25/B7</f>
        <v>8.5777531820697292E-2</v>
      </c>
    </row>
    <row r="26" spans="1:7" ht="16.2" thickBot="1" x14ac:dyDescent="0.35">
      <c r="A26" s="818"/>
      <c r="B26" s="415"/>
    </row>
    <row r="27" spans="1:7" ht="15.6" x14ac:dyDescent="0.3">
      <c r="A27" s="820" t="s">
        <v>493</v>
      </c>
      <c r="B27" s="831" t="s">
        <v>141</v>
      </c>
      <c r="C27" s="832">
        <f>'Total Result'!C47</f>
        <v>-0.16799914981375264</v>
      </c>
    </row>
    <row r="28" spans="1:7" ht="15.6" x14ac:dyDescent="0.3">
      <c r="B28" s="462" t="s">
        <v>142</v>
      </c>
      <c r="C28" s="512">
        <f>'Total Result'!C48</f>
        <v>5.8829517577583333E-2</v>
      </c>
    </row>
    <row r="29" spans="1:7" ht="15.6" x14ac:dyDescent="0.3">
      <c r="B29" s="462" t="s">
        <v>143</v>
      </c>
      <c r="C29" s="512">
        <f>'Total Result'!C49</f>
        <v>8.5777531820697292E-2</v>
      </c>
    </row>
    <row r="30" spans="1:7" ht="16.2" thickBot="1" x14ac:dyDescent="0.35">
      <c r="B30" s="513" t="s">
        <v>206</v>
      </c>
      <c r="C30" s="514">
        <f>'Total Result'!C50</f>
        <v>0.72661870503597126</v>
      </c>
    </row>
    <row r="31" spans="1:7" ht="16.2" thickBot="1" x14ac:dyDescent="0.35">
      <c r="B31" s="515" t="s">
        <v>449</v>
      </c>
      <c r="C31" s="516">
        <f>'Total Result'!C51</f>
        <v>0.70322660462049924</v>
      </c>
    </row>
  </sheetData>
  <sheetProtection algorithmName="SHA-512" hashValue="zjzbB87QynpzzdbsePUVQ1iwhchT8kpm1SLKwv+LSEv1Ws3Q9jZ8D/GXtlC7YN9LvO5vNtBqRhUS5IbXpC/35g==" saltValue="tAJowTAib/pCA9L2D3JWMA==" spinCount="100000" sheet="1" objects="1" scenarios="1"/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17</xdr:row>
                    <xdr:rowOff>38100</xdr:rowOff>
                  </from>
                  <to>
                    <xdr:col>5</xdr:col>
                    <xdr:colOff>259080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20</xdr:row>
                    <xdr:rowOff>144780</xdr:rowOff>
                  </from>
                  <to>
                    <xdr:col>7</xdr:col>
                    <xdr:colOff>358140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23</xdr:row>
                    <xdr:rowOff>60960</xdr:rowOff>
                  </from>
                  <to>
                    <xdr:col>6</xdr:col>
                    <xdr:colOff>449580</xdr:colOff>
                    <xdr:row>24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12" sqref="C12"/>
    </sheetView>
  </sheetViews>
  <sheetFormatPr defaultColWidth="8.77734375" defaultRowHeight="13.8" x14ac:dyDescent="0.25"/>
  <cols>
    <col min="1" max="1" width="39.6640625" style="430" customWidth="1"/>
    <col min="2" max="2" width="33" style="431" customWidth="1"/>
    <col min="3" max="3" width="17.6640625" style="430" customWidth="1"/>
    <col min="4" max="4" width="15.6640625" style="430" customWidth="1"/>
    <col min="5" max="5" width="17.6640625" style="430" customWidth="1"/>
    <col min="6" max="6" width="12.77734375" style="430" customWidth="1"/>
    <col min="7" max="7" width="26.109375" style="430" customWidth="1"/>
    <col min="8" max="8" width="12.77734375" style="430" customWidth="1"/>
    <col min="9" max="9" width="28.21875" style="430" customWidth="1"/>
    <col min="10" max="10" width="18.33203125" style="430" customWidth="1"/>
    <col min="11" max="16384" width="8.77734375" style="430"/>
  </cols>
  <sheetData>
    <row r="1" spans="1:7" ht="15" thickBot="1" x14ac:dyDescent="0.35">
      <c r="A1" s="688" t="s">
        <v>454</v>
      </c>
      <c r="B1" s="431" t="s">
        <v>269</v>
      </c>
      <c r="C1" s="432">
        <f ca="1">TODAY()</f>
        <v>44973</v>
      </c>
      <c r="G1" s="1"/>
    </row>
    <row r="2" spans="1:7" ht="14.4" x14ac:dyDescent="0.3">
      <c r="B2" s="433" t="s">
        <v>271</v>
      </c>
      <c r="C2" s="434">
        <f>'ROI Number insert'!C3</f>
        <v>10267800</v>
      </c>
      <c r="G2" s="1"/>
    </row>
    <row r="3" spans="1:7" ht="14.4" x14ac:dyDescent="0.3">
      <c r="B3" s="435" t="s">
        <v>272</v>
      </c>
      <c r="C3" s="436" t="str">
        <f>'ROI Number insert'!C4</f>
        <v>3601 13308 Central Avenue, Surrey</v>
      </c>
      <c r="G3" s="1"/>
    </row>
    <row r="4" spans="1:7" ht="15" thickBot="1" x14ac:dyDescent="0.35">
      <c r="B4" s="437" t="s">
        <v>273</v>
      </c>
      <c r="C4" s="438">
        <f>'ROI Number insert'!C5</f>
        <v>1403000</v>
      </c>
      <c r="G4" s="1"/>
    </row>
    <row r="5" spans="1:7" ht="16.2" thickBot="1" x14ac:dyDescent="0.35">
      <c r="C5" s="439" t="s">
        <v>309</v>
      </c>
      <c r="D5" s="440" t="s">
        <v>310</v>
      </c>
      <c r="E5" s="440" t="s">
        <v>311</v>
      </c>
      <c r="G5" s="1"/>
    </row>
    <row r="6" spans="1:7" ht="16.2" thickBot="1" x14ac:dyDescent="0.35">
      <c r="B6" s="441" t="s">
        <v>21</v>
      </c>
      <c r="C6" s="442">
        <f>IF('Calculating offering price'!C19&gt;'Total Result'!C21,'Calculating offering price'!C19,IF('Calculating offering price'!C19&lt;='Total Result'!C21,'Total Result'!C21))</f>
        <v>361400</v>
      </c>
      <c r="D6" s="442">
        <f>IF(E57&gt;0,0,-E57)</f>
        <v>1601400</v>
      </c>
      <c r="E6" s="442"/>
      <c r="G6" s="1"/>
    </row>
    <row r="7" spans="1:7" ht="16.2" thickBot="1" x14ac:dyDescent="0.35">
      <c r="B7" s="443" t="s">
        <v>217</v>
      </c>
      <c r="C7" s="444">
        <f>'ROI details'!H35</f>
        <v>2.4157361774573054E-2</v>
      </c>
      <c r="D7" s="444" t="e">
        <f>'ROI Detail ARV'!H35</f>
        <v>#DIV/0!</v>
      </c>
      <c r="E7" s="445" t="e">
        <f t="shared" ref="E7:E13" si="0">D7-C7</f>
        <v>#DIV/0!</v>
      </c>
      <c r="F7" s="446"/>
      <c r="G7" s="1"/>
    </row>
    <row r="8" spans="1:7" ht="16.2" thickBot="1" x14ac:dyDescent="0.35">
      <c r="A8" s="447" t="s">
        <v>280</v>
      </c>
      <c r="B8" s="443" t="s">
        <v>279</v>
      </c>
      <c r="C8" s="448">
        <f>10*'ROI details'!H34</f>
        <v>374439.10750588233</v>
      </c>
      <c r="D8" s="448">
        <f>10*'ROI Detail ARV'!H34</f>
        <v>391845.10750588233</v>
      </c>
      <c r="E8" s="442">
        <f t="shared" si="0"/>
        <v>17406</v>
      </c>
      <c r="F8" s="446"/>
      <c r="G8" s="1"/>
    </row>
    <row r="9" spans="1:7" ht="16.2" thickBot="1" x14ac:dyDescent="0.35">
      <c r="A9" s="447"/>
      <c r="B9" s="443" t="s">
        <v>330</v>
      </c>
      <c r="C9" s="448">
        <f>IF((C26-C8)&lt;0,0,(C26-C8))</f>
        <v>1175560.8924941176</v>
      </c>
      <c r="D9" s="448"/>
      <c r="E9" s="442"/>
      <c r="F9" s="446"/>
      <c r="G9" s="1"/>
    </row>
    <row r="10" spans="1:7" ht="16.2" thickBot="1" x14ac:dyDescent="0.35">
      <c r="A10" s="447" t="s">
        <v>329</v>
      </c>
      <c r="B10" s="443" t="s">
        <v>328</v>
      </c>
      <c r="C10" s="449">
        <f>C9/C26</f>
        <v>0.75842638225426939</v>
      </c>
      <c r="D10" s="448"/>
      <c r="E10" s="442"/>
      <c r="F10" s="446"/>
      <c r="G10" s="1"/>
    </row>
    <row r="11" spans="1:7" ht="16.2" thickBot="1" x14ac:dyDescent="0.35">
      <c r="A11" s="447"/>
      <c r="B11" s="443" t="s">
        <v>268</v>
      </c>
      <c r="C11" s="450">
        <f ca="1">C1-'ROI Number insert'!C2</f>
        <v>0</v>
      </c>
      <c r="D11" s="450">
        <f ca="1">C11</f>
        <v>0</v>
      </c>
      <c r="E11" s="442"/>
      <c r="F11" s="446"/>
      <c r="G11" s="1"/>
    </row>
    <row r="12" spans="1:7" ht="16.2" thickBot="1" x14ac:dyDescent="0.35">
      <c r="A12" s="447" t="s">
        <v>307</v>
      </c>
      <c r="B12" s="451" t="s">
        <v>306</v>
      </c>
      <c r="C12" s="452">
        <f>('Financial Statement'!C7+'Financial Statement'!C20+'Financial Statement'!C21)/'Financial Statement'!C3</f>
        <v>1.9546366783441855</v>
      </c>
      <c r="D12" s="452">
        <f>('Financial Statement ARV'!C7+'Financial Statement ARV'!C20+'Financial Statement ARV'!C21)/'Financial Statement ARV'!C3</f>
        <v>0.42290112622096815</v>
      </c>
      <c r="E12" s="445">
        <f t="shared" si="0"/>
        <v>-1.5317355521232174</v>
      </c>
      <c r="F12" s="446"/>
      <c r="G12" s="1"/>
    </row>
    <row r="13" spans="1:7" ht="16.2" thickBot="1" x14ac:dyDescent="0.35">
      <c r="A13" s="447" t="s">
        <v>308</v>
      </c>
      <c r="B13" s="451" t="s">
        <v>314</v>
      </c>
      <c r="C13" s="453">
        <f>C21/'Financial Statement'!C22</f>
        <v>-5.952411075345446</v>
      </c>
      <c r="D13" s="453">
        <f>D6/'Financial Statement ARV'!C22</f>
        <v>42.664736211458496</v>
      </c>
      <c r="E13" s="454">
        <f t="shared" si="0"/>
        <v>48.617147286803942</v>
      </c>
      <c r="F13" s="446"/>
      <c r="G13" s="1"/>
    </row>
    <row r="14" spans="1:7" ht="16.2" thickBot="1" x14ac:dyDescent="0.35">
      <c r="A14" s="447" t="s">
        <v>317</v>
      </c>
      <c r="B14" s="455" t="s">
        <v>275</v>
      </c>
      <c r="C14" s="456">
        <f>('ROI Number insert'!F2-'ROI Number insert'!F3)/'ROI Number insert'!F2</f>
        <v>2.3929471032745592E-2</v>
      </c>
      <c r="D14" s="457"/>
      <c r="E14" s="458"/>
      <c r="G14" s="1"/>
    </row>
    <row r="15" spans="1:7" ht="15" thickBot="1" x14ac:dyDescent="0.35">
      <c r="G15" s="1"/>
    </row>
    <row r="16" spans="1:7" ht="15" thickBot="1" x14ac:dyDescent="0.35">
      <c r="B16" s="877" t="s">
        <v>178</v>
      </c>
      <c r="C16" s="878"/>
      <c r="D16" s="879"/>
      <c r="G16" s="1"/>
    </row>
    <row r="17" spans="2:7" ht="15.6" x14ac:dyDescent="0.3">
      <c r="B17" s="459" t="s">
        <v>160</v>
      </c>
      <c r="C17" s="460">
        <f>'ROI Number insert'!F11</f>
        <v>310000</v>
      </c>
      <c r="D17" s="461">
        <f>C17</f>
        <v>310000</v>
      </c>
      <c r="G17" s="1"/>
    </row>
    <row r="18" spans="2:7" ht="15.6" x14ac:dyDescent="0.3">
      <c r="B18" s="462" t="s">
        <v>94</v>
      </c>
      <c r="C18" s="463">
        <f>'ROI Number insert'!F10</f>
        <v>51400</v>
      </c>
      <c r="D18" s="464">
        <f>C18</f>
        <v>51400</v>
      </c>
    </row>
    <row r="19" spans="2:7" ht="15.6" x14ac:dyDescent="0.3">
      <c r="B19" s="462" t="s">
        <v>179</v>
      </c>
      <c r="C19" s="463">
        <f>'ROI Number insert'!F13</f>
        <v>0</v>
      </c>
      <c r="D19" s="464">
        <f>'ROI Number insert ARV'!E13</f>
        <v>45000</v>
      </c>
    </row>
    <row r="20" spans="2:7" ht="15.6" x14ac:dyDescent="0.3">
      <c r="B20" s="462" t="s">
        <v>315</v>
      </c>
      <c r="C20" s="463">
        <f>'ROI Number insert'!F15</f>
        <v>0</v>
      </c>
      <c r="D20" s="464">
        <f>'ROI Number insert ARV'!E15</f>
        <v>7453.3705205882361</v>
      </c>
    </row>
    <row r="21" spans="2:7" ht="16.2" thickBot="1" x14ac:dyDescent="0.35">
      <c r="B21" s="465" t="s">
        <v>180</v>
      </c>
      <c r="C21" s="466">
        <f>SUM(C17:C20)</f>
        <v>361400</v>
      </c>
      <c r="D21" s="467">
        <f>SUM(D17:D20)</f>
        <v>413853.37052058824</v>
      </c>
    </row>
    <row r="22" spans="2:7" ht="14.4" thickBot="1" x14ac:dyDescent="0.3"/>
    <row r="23" spans="2:7" ht="15.6" x14ac:dyDescent="0.3">
      <c r="B23" s="468" t="s">
        <v>181</v>
      </c>
      <c r="C23" s="469" t="str">
        <f>'ROI Number insert'!I24</f>
        <v>More than 15 Years</v>
      </c>
    </row>
    <row r="24" spans="2:7" ht="15.6" x14ac:dyDescent="0.3">
      <c r="B24" s="470" t="s">
        <v>182</v>
      </c>
      <c r="C24" s="471">
        <f>'Calculating offering price'!C5</f>
        <v>516823.52941176464</v>
      </c>
      <c r="D24" s="430" t="s">
        <v>346</v>
      </c>
    </row>
    <row r="25" spans="2:7" ht="15.6" x14ac:dyDescent="0.3">
      <c r="B25" s="470" t="s">
        <v>183</v>
      </c>
      <c r="C25" s="472">
        <f>'Calculating offering price'!C4</f>
        <v>1588000</v>
      </c>
    </row>
    <row r="26" spans="2:7" ht="15.6" x14ac:dyDescent="0.3">
      <c r="B26" s="473" t="s">
        <v>276</v>
      </c>
      <c r="C26" s="474">
        <f>'ROI Number insert'!F3</f>
        <v>1550000</v>
      </c>
    </row>
    <row r="27" spans="2:7" ht="15.6" x14ac:dyDescent="0.3">
      <c r="B27" s="473" t="s">
        <v>316</v>
      </c>
      <c r="C27" s="474">
        <f>'ROI Number insert'!F18</f>
        <v>0</v>
      </c>
    </row>
    <row r="28" spans="2:7" ht="16.2" thickBot="1" x14ac:dyDescent="0.35">
      <c r="B28" s="475" t="s">
        <v>184</v>
      </c>
      <c r="C28" s="476">
        <f>'Calculating offering price'!C14</f>
        <v>382449.41176470584</v>
      </c>
      <c r="D28" s="430" t="s">
        <v>347</v>
      </c>
    </row>
    <row r="29" spans="2:7" ht="14.4" thickBot="1" x14ac:dyDescent="0.3"/>
    <row r="30" spans="2:7" ht="16.2" thickBot="1" x14ac:dyDescent="0.35">
      <c r="B30" s="477" t="s">
        <v>185</v>
      </c>
      <c r="C30" s="478">
        <f>'ROI Number insert'!F27</f>
        <v>63600</v>
      </c>
      <c r="D30" s="478">
        <f>'Financial Statement ARV'!C3</f>
        <v>65040</v>
      </c>
      <c r="E30" s="479">
        <f>D30-C30</f>
        <v>1440</v>
      </c>
    </row>
    <row r="31" spans="2:7" ht="15.6" x14ac:dyDescent="0.3">
      <c r="B31" s="480" t="s">
        <v>186</v>
      </c>
      <c r="C31" s="481">
        <f>'Calculating offering price'!C28</f>
        <v>3932.9457199999997</v>
      </c>
      <c r="D31" s="481">
        <f>'Financial Statement ARV'!C18</f>
        <v>3932.9457199999997</v>
      </c>
      <c r="E31" s="482">
        <f t="shared" ref="E31:E39" si="1">D31-C31</f>
        <v>0</v>
      </c>
    </row>
    <row r="32" spans="2:7" ht="15.6" x14ac:dyDescent="0.3">
      <c r="B32" s="483" t="s">
        <v>188</v>
      </c>
      <c r="C32" s="484">
        <f>SUM('Financial Statement'!C8:C18)-'Financial Statement'!C18-'Financial Statement'!C15-'Financial Statement'!C8</f>
        <v>19043.143529411765</v>
      </c>
      <c r="D32" s="484">
        <f>SUM('Financial Statement ARV'!C8:C18)-'Financial Statement ARV'!C18-'Financial Statement'!C15-'Financial Statement ARV'!C8</f>
        <v>20238.043529411767</v>
      </c>
      <c r="E32" s="485">
        <f t="shared" si="1"/>
        <v>1194.9000000000015</v>
      </c>
    </row>
    <row r="33" spans="2:5" ht="15.6" x14ac:dyDescent="0.3">
      <c r="B33" s="483" t="s">
        <v>189</v>
      </c>
      <c r="C33" s="484">
        <f>'ROI Number insert'!F41</f>
        <v>3180</v>
      </c>
      <c r="D33" s="484">
        <f>'ROI Number insert ARV'!E41</f>
        <v>3334.5</v>
      </c>
      <c r="E33" s="485">
        <f t="shared" si="1"/>
        <v>154.5</v>
      </c>
    </row>
    <row r="34" spans="2:5" ht="16.2" thickBot="1" x14ac:dyDescent="0.35">
      <c r="B34" s="486" t="s">
        <v>190</v>
      </c>
      <c r="C34" s="487">
        <f>'ROI Number insert'!F42</f>
        <v>0</v>
      </c>
      <c r="D34" s="487">
        <f>'ROI Number insert ARV'!E42</f>
        <v>666.9</v>
      </c>
      <c r="E34" s="488">
        <f t="shared" si="1"/>
        <v>666.9</v>
      </c>
    </row>
    <row r="35" spans="2:5" ht="16.2" thickBot="1" x14ac:dyDescent="0.35">
      <c r="B35" s="477" t="s">
        <v>191</v>
      </c>
      <c r="C35" s="478">
        <f>C30-SUM(C31:C34)</f>
        <v>37443.910750588235</v>
      </c>
      <c r="D35" s="478">
        <f t="shared" ref="D35" si="2">D30-SUM(D31:D34)</f>
        <v>36867.610750588232</v>
      </c>
      <c r="E35" s="479">
        <f t="shared" si="1"/>
        <v>-576.30000000000291</v>
      </c>
    </row>
    <row r="36" spans="2:5" ht="15.6" x14ac:dyDescent="0.3">
      <c r="B36" s="489" t="s">
        <v>187</v>
      </c>
      <c r="C36" s="490">
        <f>'Calculating offering price'!C27</f>
        <v>98158.803493278436</v>
      </c>
      <c r="D36" s="490">
        <f>'Calculating offering price ARV'!C27</f>
        <v>0</v>
      </c>
      <c r="E36" s="491">
        <f t="shared" si="1"/>
        <v>-98158.803493278436</v>
      </c>
    </row>
    <row r="37" spans="2:5" ht="16.2" thickBot="1" x14ac:dyDescent="0.35">
      <c r="B37" s="492" t="s">
        <v>247</v>
      </c>
      <c r="C37" s="493">
        <f>'ROI Number insert'!I17</f>
        <v>0</v>
      </c>
      <c r="D37" s="493">
        <f>'Calculating offering price ARV'!C31</f>
        <v>0</v>
      </c>
      <c r="E37" s="494">
        <f t="shared" si="1"/>
        <v>0</v>
      </c>
    </row>
    <row r="38" spans="2:5" ht="15.6" x14ac:dyDescent="0.3">
      <c r="B38" s="495" t="s">
        <v>243</v>
      </c>
      <c r="C38" s="496">
        <f>C35-C36-C37</f>
        <v>-60714.892742690201</v>
      </c>
      <c r="D38" s="496">
        <f>D35-D36-D37</f>
        <v>36867.610750588232</v>
      </c>
      <c r="E38" s="497">
        <f t="shared" si="1"/>
        <v>97582.503493278433</v>
      </c>
    </row>
    <row r="39" spans="2:5" ht="16.2" thickBot="1" x14ac:dyDescent="0.35">
      <c r="B39" s="498" t="s">
        <v>137</v>
      </c>
      <c r="C39" s="499">
        <f>C38/12</f>
        <v>-5059.5743952241837</v>
      </c>
      <c r="D39" s="499">
        <f>D38/12</f>
        <v>3072.3008958823525</v>
      </c>
      <c r="E39" s="500">
        <f t="shared" si="1"/>
        <v>8131.8752911065367</v>
      </c>
    </row>
    <row r="40" spans="2:5" ht="16.2" thickBot="1" x14ac:dyDescent="0.3">
      <c r="B40" s="501" t="s">
        <v>206</v>
      </c>
    </row>
    <row r="41" spans="2:5" ht="15.6" x14ac:dyDescent="0.3">
      <c r="B41" s="502" t="s">
        <v>325</v>
      </c>
      <c r="C41" s="503">
        <f>'ROI Number insert ARV'!E3-'ROI Number insert'!F3</f>
        <v>-1550000</v>
      </c>
    </row>
    <row r="42" spans="2:5" ht="15.6" x14ac:dyDescent="0.3">
      <c r="B42" s="504" t="s">
        <v>326</v>
      </c>
      <c r="C42" s="505">
        <f>D19+D20</f>
        <v>52453.370520588236</v>
      </c>
    </row>
    <row r="43" spans="2:5" ht="15.6" x14ac:dyDescent="0.3">
      <c r="B43" s="504" t="s">
        <v>327</v>
      </c>
      <c r="C43" s="506">
        <f>C41-C42</f>
        <v>-1602453.3705205882</v>
      </c>
    </row>
    <row r="44" spans="2:5" ht="16.2" thickBot="1" x14ac:dyDescent="0.35">
      <c r="B44" s="507" t="s">
        <v>146</v>
      </c>
      <c r="C44" s="508">
        <f>C43/C42</f>
        <v>-30.550055308488069</v>
      </c>
    </row>
    <row r="45" spans="2:5" ht="16.2" thickBot="1" x14ac:dyDescent="0.35">
      <c r="B45" s="509"/>
      <c r="C45" s="510"/>
    </row>
    <row r="46" spans="2:5" ht="16.2" thickBot="1" x14ac:dyDescent="0.35">
      <c r="B46" s="898" t="s">
        <v>448</v>
      </c>
      <c r="C46" s="899"/>
    </row>
    <row r="47" spans="2:5" ht="15.6" x14ac:dyDescent="0.3">
      <c r="B47" s="459" t="s">
        <v>141</v>
      </c>
      <c r="C47" s="511">
        <f>'Financial Statement'!C24</f>
        <v>-0.16799914981375264</v>
      </c>
    </row>
    <row r="48" spans="2:5" ht="15.6" x14ac:dyDescent="0.3">
      <c r="B48" s="462" t="s">
        <v>142</v>
      </c>
      <c r="C48" s="512">
        <f>'Financial Statement'!C34</f>
        <v>5.8829517577583333E-2</v>
      </c>
    </row>
    <row r="49" spans="2:8" ht="15.6" x14ac:dyDescent="0.3">
      <c r="B49" s="462" t="s">
        <v>143</v>
      </c>
      <c r="C49" s="512">
        <f>'Financial Statement'!C41</f>
        <v>8.5777531820697292E-2</v>
      </c>
    </row>
    <row r="50" spans="2:8" ht="16.2" thickBot="1" x14ac:dyDescent="0.35">
      <c r="B50" s="513" t="s">
        <v>206</v>
      </c>
      <c r="C50" s="514">
        <f>'ROI details'!H32</f>
        <v>0.72661870503597126</v>
      </c>
    </row>
    <row r="51" spans="2:8" ht="16.2" thickBot="1" x14ac:dyDescent="0.35">
      <c r="B51" s="515" t="s">
        <v>449</v>
      </c>
      <c r="C51" s="516">
        <f>SUM(C47:C50)</f>
        <v>0.70322660462049924</v>
      </c>
    </row>
    <row r="52" spans="2:8" ht="16.2" thickBot="1" x14ac:dyDescent="0.35">
      <c r="C52" s="886" t="s">
        <v>312</v>
      </c>
      <c r="D52" s="886"/>
      <c r="E52" s="886" t="s">
        <v>310</v>
      </c>
      <c r="F52" s="886"/>
      <c r="G52" s="886" t="s">
        <v>311</v>
      </c>
      <c r="H52" s="886"/>
    </row>
    <row r="53" spans="2:8" ht="15.6" x14ac:dyDescent="0.25">
      <c r="B53" s="887" t="s">
        <v>196</v>
      </c>
      <c r="C53" s="888"/>
      <c r="D53" s="888"/>
      <c r="E53" s="888"/>
      <c r="F53" s="888"/>
      <c r="G53" s="888"/>
      <c r="H53" s="889"/>
    </row>
    <row r="54" spans="2:8" ht="15.6" x14ac:dyDescent="0.3">
      <c r="B54" s="517" t="s">
        <v>141</v>
      </c>
      <c r="C54" s="518">
        <f>'ROI details'!C10</f>
        <v>-300635.24413164594</v>
      </c>
      <c r="D54" s="519">
        <f>'ROI details'!C12*5</f>
        <v>-0.83186287806210835</v>
      </c>
      <c r="E54" s="518">
        <f>'ROI Detail ARV'!C10</f>
        <v>193661.54354854405</v>
      </c>
      <c r="F54" s="519">
        <f>'ROI Detail ARV'!C12*5</f>
        <v>0.12093264865027105</v>
      </c>
      <c r="G54" s="518">
        <f>E54-C54</f>
        <v>494296.78768019</v>
      </c>
      <c r="H54" s="520">
        <f>F54-D54</f>
        <v>0.95279552671237944</v>
      </c>
    </row>
    <row r="55" spans="2:8" ht="15.6" x14ac:dyDescent="0.3">
      <c r="B55" s="517" t="s">
        <v>142</v>
      </c>
      <c r="C55" s="521">
        <f>'ROI details'!I4</f>
        <v>123239.87037984765</v>
      </c>
      <c r="D55" s="519">
        <f>'ROI details'!I5</f>
        <v>0.34100683558341904</v>
      </c>
      <c r="E55" s="521">
        <f>'ROI Detail ARV'!I4</f>
        <v>0</v>
      </c>
      <c r="F55" s="519">
        <f>'ROI Detail ARV'!I5</f>
        <v>0</v>
      </c>
      <c r="G55" s="518">
        <f t="shared" ref="G55:G56" si="3">E55-C55</f>
        <v>-123239.87037984765</v>
      </c>
      <c r="H55" s="520">
        <f>F55-D55</f>
        <v>-0.34100683558341904</v>
      </c>
    </row>
    <row r="56" spans="2:8" ht="15.6" x14ac:dyDescent="0.3">
      <c r="B56" s="517" t="s">
        <v>143</v>
      </c>
      <c r="C56" s="521">
        <f>'ROI details'!I19</f>
        <v>161325.24496000004</v>
      </c>
      <c r="D56" s="519">
        <f>'ROI details'!J19</f>
        <v>0.44638972042058672</v>
      </c>
      <c r="E56" s="521">
        <f>'ROI Detail ARV'!I19</f>
        <v>161325.24496000004</v>
      </c>
      <c r="F56" s="519">
        <f>'ROI Detail ARV'!J19</f>
        <v>0.10074013048582493</v>
      </c>
      <c r="G56" s="518">
        <f t="shared" si="3"/>
        <v>0</v>
      </c>
      <c r="H56" s="520">
        <f>'ROI Detail ARV'!L19</f>
        <v>0</v>
      </c>
    </row>
    <row r="57" spans="2:8" ht="15.6" x14ac:dyDescent="0.3">
      <c r="B57" s="896" t="s">
        <v>320</v>
      </c>
      <c r="C57" s="897"/>
      <c r="D57" s="897"/>
      <c r="E57" s="521">
        <f>'ROI Number insert ARV'!H11-'ROI Number insert'!I11-C21</f>
        <v>-1601400</v>
      </c>
      <c r="F57" s="519"/>
      <c r="G57" s="518"/>
      <c r="H57" s="520"/>
    </row>
    <row r="58" spans="2:8" ht="16.2" thickBot="1" x14ac:dyDescent="0.35">
      <c r="B58" s="522" t="s">
        <v>193</v>
      </c>
      <c r="C58" s="523">
        <f t="shared" ref="C58:H58" si="4">SUM(C54:C56)</f>
        <v>-16070.128791798255</v>
      </c>
      <c r="D58" s="524">
        <f t="shared" si="4"/>
        <v>-4.4466322058102581E-2</v>
      </c>
      <c r="E58" s="523">
        <f t="shared" si="4"/>
        <v>354986.78850854409</v>
      </c>
      <c r="F58" s="525">
        <f t="shared" si="4"/>
        <v>0.22167277913609598</v>
      </c>
      <c r="G58" s="523">
        <f t="shared" si="4"/>
        <v>371056.91730034235</v>
      </c>
      <c r="H58" s="524">
        <f t="shared" si="4"/>
        <v>0.61178869112896039</v>
      </c>
    </row>
    <row r="59" spans="2:8" ht="16.2" thickBot="1" x14ac:dyDescent="0.35">
      <c r="B59" s="884" t="s">
        <v>194</v>
      </c>
      <c r="C59" s="885"/>
      <c r="D59" s="526" t="e">
        <f>_xlfn.RRI(4,C51,D58)</f>
        <v>#NUM!</v>
      </c>
      <c r="E59" s="527"/>
      <c r="F59" s="528">
        <f>_xlfn.RRI(5,D6,E58)</f>
        <v>-0.2601520526601574</v>
      </c>
      <c r="G59" s="527"/>
      <c r="H59" s="526" t="e">
        <f>F59-D59</f>
        <v>#NUM!</v>
      </c>
    </row>
    <row r="60" spans="2:8" ht="15.6" x14ac:dyDescent="0.25">
      <c r="B60" s="890" t="s">
        <v>192</v>
      </c>
      <c r="C60" s="891"/>
      <c r="D60" s="891"/>
      <c r="E60" s="891"/>
      <c r="F60" s="891"/>
      <c r="G60" s="891"/>
      <c r="H60" s="892"/>
    </row>
    <row r="61" spans="2:8" ht="15.6" x14ac:dyDescent="0.3">
      <c r="B61" s="529" t="s">
        <v>141</v>
      </c>
      <c r="C61" s="530">
        <f>'ROI details'!C26</f>
        <v>-597042.89098653093</v>
      </c>
      <c r="D61" s="531">
        <f>'ROI details'!C28*10</f>
        <v>-1.6520279219328471</v>
      </c>
      <c r="E61" s="530">
        <f>'ROI Detail ARV'!C26</f>
        <v>380929.64791771729</v>
      </c>
      <c r="F61" s="531">
        <f>'ROI Detail ARV'!C28*10</f>
        <v>0.23787289116880062</v>
      </c>
      <c r="G61" s="530">
        <f>E61-C61</f>
        <v>977972.53890424827</v>
      </c>
      <c r="H61" s="532">
        <f>F61-D61</f>
        <v>1.8899008131016477</v>
      </c>
    </row>
    <row r="62" spans="2:8" ht="15.6" x14ac:dyDescent="0.3">
      <c r="B62" s="529" t="s">
        <v>142</v>
      </c>
      <c r="C62" s="533">
        <f>'ROI details'!I8</f>
        <v>289201.05103103229</v>
      </c>
      <c r="D62" s="531">
        <f>'ROI details'!I9</f>
        <v>0.80022426959333781</v>
      </c>
      <c r="E62" s="533">
        <f>'ROI Detail ARV'!I8</f>
        <v>0</v>
      </c>
      <c r="F62" s="531">
        <f>'ROI Detail ARV'!I9</f>
        <v>0</v>
      </c>
      <c r="G62" s="530">
        <f t="shared" ref="G62:G63" si="5">E62-C62</f>
        <v>-289201.05103103229</v>
      </c>
      <c r="H62" s="532">
        <f t="shared" ref="H62:H63" si="6">F62-D62</f>
        <v>-0.80022426959333781</v>
      </c>
    </row>
    <row r="63" spans="2:8" ht="15.6" x14ac:dyDescent="0.3">
      <c r="B63" s="529" t="s">
        <v>143</v>
      </c>
      <c r="C63" s="533">
        <f>'ROI details'!I20</f>
        <v>248838.27878898033</v>
      </c>
      <c r="D63" s="531">
        <f>'ROI details'!J20</f>
        <v>0.68853978635578394</v>
      </c>
      <c r="E63" s="533">
        <f>'ROI Detail ARV'!I20</f>
        <v>248838.27878898033</v>
      </c>
      <c r="F63" s="531">
        <f>'ROI Detail ARV'!J20</f>
        <v>0.15538795977830669</v>
      </c>
      <c r="G63" s="530">
        <f t="shared" si="5"/>
        <v>0</v>
      </c>
      <c r="H63" s="532">
        <f t="shared" si="6"/>
        <v>-0.53315182657747728</v>
      </c>
    </row>
    <row r="64" spans="2:8" ht="16.2" thickBot="1" x14ac:dyDescent="0.35">
      <c r="B64" s="534" t="s">
        <v>193</v>
      </c>
      <c r="C64" s="535">
        <f t="shared" ref="C64:H64" si="7">SUM(C61:C63)</f>
        <v>-59003.56116651831</v>
      </c>
      <c r="D64" s="536">
        <f t="shared" si="7"/>
        <v>-0.16326386598372533</v>
      </c>
      <c r="E64" s="535">
        <f t="shared" si="7"/>
        <v>629767.92670669756</v>
      </c>
      <c r="F64" s="537">
        <f t="shared" si="7"/>
        <v>0.39326085094710728</v>
      </c>
      <c r="G64" s="535">
        <f t="shared" si="7"/>
        <v>688771.48787321593</v>
      </c>
      <c r="H64" s="536">
        <f t="shared" si="7"/>
        <v>0.5565247169308325</v>
      </c>
    </row>
    <row r="65" spans="1:8" ht="16.2" thickBot="1" x14ac:dyDescent="0.35">
      <c r="B65" s="882" t="s">
        <v>194</v>
      </c>
      <c r="C65" s="883"/>
      <c r="D65" s="538">
        <f>RATE(9,,-('ROI details'!C5+'PR Result'!C5+'Total Result'!C26*'Calculating offering price'!C87),C64)</f>
        <v>0.24096025683581754</v>
      </c>
      <c r="E65" s="539"/>
      <c r="F65" s="540">
        <f>_xlfn.RRI(10,D6,E64)</f>
        <v>-8.9105517496886444E-2</v>
      </c>
      <c r="G65" s="539"/>
      <c r="H65" s="538">
        <f>F65-D65</f>
        <v>-0.33006577433270401</v>
      </c>
    </row>
    <row r="66" spans="1:8" ht="15.6" x14ac:dyDescent="0.3">
      <c r="B66" s="893" t="s">
        <v>195</v>
      </c>
      <c r="C66" s="894"/>
      <c r="D66" s="894"/>
      <c r="E66" s="894"/>
      <c r="F66" s="894"/>
      <c r="G66" s="894"/>
      <c r="H66" s="895"/>
    </row>
    <row r="67" spans="1:8" ht="15.6" x14ac:dyDescent="0.3">
      <c r="B67" s="541" t="s">
        <v>141</v>
      </c>
      <c r="C67" s="542">
        <f>'ROI details'!C47</f>
        <v>-890460.02265850606</v>
      </c>
      <c r="D67" s="543">
        <f>'ROI details'!C49*15</f>
        <v>-2.4639181589886721</v>
      </c>
      <c r="E67" s="542">
        <f>'ROI Detail ARV'!C47</f>
        <v>560468.46087554225</v>
      </c>
      <c r="F67" s="543">
        <f>'ROI Detail ARV'!C49*15</f>
        <v>0.34998654981612481</v>
      </c>
      <c r="G67" s="542">
        <f>E67-C67</f>
        <v>1450928.4835340483</v>
      </c>
      <c r="H67" s="544">
        <f>F67-D67</f>
        <v>2.813904708804797</v>
      </c>
    </row>
    <row r="68" spans="1:8" ht="15.6" x14ac:dyDescent="0.3">
      <c r="B68" s="541" t="s">
        <v>142</v>
      </c>
      <c r="C68" s="545">
        <f>'ROI details'!I12</f>
        <v>515859.19805492985</v>
      </c>
      <c r="D68" s="543">
        <f>'ROI details'!I13</f>
        <v>1.4273912508437461</v>
      </c>
      <c r="E68" s="545">
        <f>'ROI Detail ARV'!I12</f>
        <v>0</v>
      </c>
      <c r="F68" s="543">
        <f>'ROI Detail ARV'!I13</f>
        <v>0</v>
      </c>
      <c r="G68" s="542">
        <f t="shared" ref="G68:G69" si="8">E68-C68</f>
        <v>-515859.19805492985</v>
      </c>
      <c r="H68" s="544">
        <f t="shared" ref="H68:H69" si="9">F68-D68</f>
        <v>-1.4273912508437461</v>
      </c>
    </row>
    <row r="69" spans="1:8" ht="15.6" x14ac:dyDescent="0.3">
      <c r="B69" s="541" t="s">
        <v>143</v>
      </c>
      <c r="C69" s="545">
        <f>'ROI details'!I21</f>
        <v>536095.92440240039</v>
      </c>
      <c r="D69" s="543">
        <f>'ROI details'!J21</f>
        <v>1.4833866198184846</v>
      </c>
      <c r="E69" s="545">
        <f>'ROI Detail ARV'!I21</f>
        <v>536095.92440240039</v>
      </c>
      <c r="F69" s="543">
        <f>'ROI Detail ARV'!J21</f>
        <v>0.33476703159885124</v>
      </c>
      <c r="G69" s="542">
        <f t="shared" si="8"/>
        <v>0</v>
      </c>
      <c r="H69" s="544">
        <f t="shared" si="9"/>
        <v>-1.1486195882196335</v>
      </c>
    </row>
    <row r="70" spans="1:8" ht="16.2" thickBot="1" x14ac:dyDescent="0.35">
      <c r="B70" s="546" t="s">
        <v>193</v>
      </c>
      <c r="C70" s="547">
        <f t="shared" ref="C70:H70" si="10">SUM(C67:C69)</f>
        <v>161495.09979882417</v>
      </c>
      <c r="D70" s="548">
        <f t="shared" si="10"/>
        <v>0.44685971167355865</v>
      </c>
      <c r="E70" s="547">
        <f t="shared" si="10"/>
        <v>1096564.3852779428</v>
      </c>
      <c r="F70" s="548">
        <f t="shared" si="10"/>
        <v>0.68475358141497611</v>
      </c>
      <c r="G70" s="547">
        <f t="shared" si="10"/>
        <v>935069.28547911847</v>
      </c>
      <c r="H70" s="549">
        <f t="shared" si="10"/>
        <v>0.23789386974141746</v>
      </c>
    </row>
    <row r="71" spans="1:8" ht="16.2" thickBot="1" x14ac:dyDescent="0.35">
      <c r="B71" s="880" t="s">
        <v>194</v>
      </c>
      <c r="C71" s="881"/>
      <c r="D71" s="550" t="e">
        <f>RATE(14,,-('ROI details'!C5+'PR Result'!C5+'Total Result'!C26*'Calculating offering price'!C87),C70)</f>
        <v>#NUM!</v>
      </c>
      <c r="E71" s="551"/>
      <c r="F71" s="550">
        <f>_xlfn.RRI(15,D6,E70)</f>
        <v>-2.4930390369611977E-2</v>
      </c>
      <c r="G71" s="551"/>
      <c r="H71" s="552" t="e">
        <f>F71-D71</f>
        <v>#NUM!</v>
      </c>
    </row>
    <row r="73" spans="1:8" x14ac:dyDescent="0.25">
      <c r="A73" s="553"/>
    </row>
    <row r="75" spans="1:8" x14ac:dyDescent="0.25">
      <c r="A75" s="554"/>
    </row>
  </sheetData>
  <sheetProtection algorithmName="SHA-512" hashValue="pg7apou/JZLDhJA35jcFClL21DblrVGhpz4T8ox6eIJAa+YUc/q0KoF+B5D7CMlKDXcIB2swxJM5f4zRcu5qJA==" saltValue="Ex5o2e1EAVuWHDrt79PC/A==" spinCount="100000" sheet="1" objects="1" scenarios="1"/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J41"/>
  <sheetViews>
    <sheetView workbookViewId="0"/>
  </sheetViews>
  <sheetFormatPr defaultColWidth="8.77734375" defaultRowHeight="14.4" x14ac:dyDescent="0.3"/>
  <cols>
    <col min="1" max="1" width="4.21875" style="643" customWidth="1"/>
    <col min="2" max="2" width="23.6640625" style="643" customWidth="1"/>
    <col min="3" max="3" width="14.77734375" style="643" customWidth="1"/>
    <col min="4" max="4" width="10.33203125" style="643" customWidth="1"/>
    <col min="5" max="5" width="14" style="643" customWidth="1"/>
    <col min="6" max="6" width="17.109375" style="643" customWidth="1"/>
    <col min="7" max="7" width="26" style="643" customWidth="1"/>
    <col min="8" max="9" width="13.6640625" style="643" customWidth="1"/>
    <col min="10" max="10" width="13.77734375" style="643" customWidth="1"/>
    <col min="11" max="16384" width="8.77734375" style="643"/>
  </cols>
  <sheetData>
    <row r="1" spans="1:10" ht="15" thickBot="1" x14ac:dyDescent="0.35">
      <c r="A1" s="688" t="s">
        <v>454</v>
      </c>
    </row>
    <row r="2" spans="1:10" ht="31.8" thickBot="1" x14ac:dyDescent="0.35">
      <c r="B2" s="644" t="s">
        <v>140</v>
      </c>
      <c r="C2" s="645" t="s">
        <v>149</v>
      </c>
      <c r="D2" s="645" t="s">
        <v>150</v>
      </c>
      <c r="E2" s="646" t="s">
        <v>151</v>
      </c>
      <c r="G2" s="647" t="s">
        <v>140</v>
      </c>
      <c r="H2" s="647" t="s">
        <v>149</v>
      </c>
      <c r="I2" s="647" t="s">
        <v>150</v>
      </c>
      <c r="J2" s="648" t="s">
        <v>151</v>
      </c>
    </row>
    <row r="3" spans="1:10" ht="15.6" x14ac:dyDescent="0.3">
      <c r="B3" s="649">
        <v>1</v>
      </c>
      <c r="C3" s="650">
        <f>'ROI details'!C5</f>
        <v>-60714.892742690201</v>
      </c>
      <c r="D3" s="651">
        <f>C3/$C$39</f>
        <v>-0.16799914981375264</v>
      </c>
      <c r="E3" s="652">
        <f>C3/12</f>
        <v>-5059.5743952241837</v>
      </c>
      <c r="G3" s="653">
        <v>1</v>
      </c>
      <c r="H3" s="654">
        <f>'ROI Detail ARV'!C5</f>
        <v>39184.510750588233</v>
      </c>
      <c r="I3" s="655">
        <f>H3/$H$39</f>
        <v>2.4468908923809311E-2</v>
      </c>
      <c r="J3" s="654">
        <f>H3/12</f>
        <v>3265.3758958823528</v>
      </c>
    </row>
    <row r="4" spans="1:10" ht="15.6" x14ac:dyDescent="0.3">
      <c r="B4" s="656">
        <v>2</v>
      </c>
      <c r="C4" s="657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4" s="655">
        <f t="shared" ref="D4:D36" si="0">C4/$C$39</f>
        <v>-0.16726591637740054</v>
      </c>
      <c r="E4" s="658">
        <f t="shared" ref="E4:E37" si="1">C4/12</f>
        <v>-5037.491848232713</v>
      </c>
      <c r="F4" s="1"/>
      <c r="G4" s="653">
        <v>2</v>
      </c>
      <c r="H4" s="657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I4" s="655">
        <f t="shared" ref="I4:I37" si="2">H4/$H$39</f>
        <v>2.4333614940427122E-2</v>
      </c>
      <c r="J4" s="654">
        <f t="shared" ref="J4:J37" si="3">H4/12</f>
        <v>3247.3209137999997</v>
      </c>
    </row>
    <row r="5" spans="1:10" ht="15.6" x14ac:dyDescent="0.3">
      <c r="B5" s="659">
        <v>3</v>
      </c>
      <c r="C5" s="66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5" s="655">
        <f t="shared" si="0"/>
        <v>-0.16656956690145228</v>
      </c>
      <c r="E5" s="661">
        <f t="shared" si="1"/>
        <v>-5016.5201231820711</v>
      </c>
      <c r="F5" s="1"/>
      <c r="G5" s="662">
        <v>3</v>
      </c>
      <c r="H5" s="657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I5" s="655">
        <f t="shared" si="2"/>
        <v>2.4192491716567985E-2</v>
      </c>
      <c r="J5" s="663">
        <f t="shared" si="3"/>
        <v>3228.4880195759979</v>
      </c>
    </row>
    <row r="6" spans="1:10" ht="15.6" x14ac:dyDescent="0.3">
      <c r="B6" s="656">
        <v>4</v>
      </c>
      <c r="C6" s="657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6" s="655">
        <f t="shared" si="0"/>
        <v>-0.16591282368733745</v>
      </c>
      <c r="E6" s="658">
        <f t="shared" si="1"/>
        <v>-4996.7412067169798</v>
      </c>
      <c r="F6" s="1"/>
      <c r="G6" s="653">
        <v>4</v>
      </c>
      <c r="H6" s="657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I6" s="655">
        <f t="shared" si="2"/>
        <v>2.4045407050618344E-2</v>
      </c>
      <c r="J6" s="654">
        <f t="shared" si="3"/>
        <v>3208.8595709050182</v>
      </c>
    </row>
    <row r="7" spans="1:10" ht="15.6" x14ac:dyDescent="0.3">
      <c r="B7" s="656">
        <v>5</v>
      </c>
      <c r="C7" s="657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7" s="655">
        <f t="shared" si="0"/>
        <v>-0.16529853989046978</v>
      </c>
      <c r="E7" s="658">
        <f t="shared" si="1"/>
        <v>-4978.2410263679812</v>
      </c>
      <c r="F7" s="1"/>
      <c r="G7" s="653">
        <v>5</v>
      </c>
      <c r="H7" s="657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I7" s="655">
        <f t="shared" si="2"/>
        <v>2.3892226018848287E-2</v>
      </c>
      <c r="J7" s="654">
        <f t="shared" si="3"/>
        <v>3188.4175622153039</v>
      </c>
    </row>
    <row r="8" spans="1:10" ht="15.6" x14ac:dyDescent="0.3">
      <c r="B8" s="656">
        <v>6</v>
      </c>
      <c r="C8" s="657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8" s="655">
        <f t="shared" si="0"/>
        <v>-0.16472970507903309</v>
      </c>
      <c r="E8" s="658">
        <f t="shared" si="1"/>
        <v>-4961.109617963547</v>
      </c>
      <c r="F8" s="1"/>
      <c r="G8" s="653">
        <v>6</v>
      </c>
      <c r="H8" s="657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I8" s="655">
        <f t="shared" si="2"/>
        <v>2.3732810920578919E-2</v>
      </c>
      <c r="J8" s="654">
        <f t="shared" si="3"/>
        <v>3167.143617351257</v>
      </c>
    </row>
    <row r="9" spans="1:10" ht="15.6" x14ac:dyDescent="0.3">
      <c r="B9" s="656">
        <v>7</v>
      </c>
      <c r="C9" s="657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9" s="655">
        <f t="shared" si="0"/>
        <v>-0.16420945101719869</v>
      </c>
      <c r="E9" s="658">
        <f t="shared" si="1"/>
        <v>-4945.4412998013004</v>
      </c>
      <c r="F9" s="1"/>
      <c r="G9" s="653">
        <v>7</v>
      </c>
      <c r="H9" s="657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I9" s="655">
        <f t="shared" si="2"/>
        <v>2.356702122225094E-2</v>
      </c>
      <c r="J9" s="654">
        <f t="shared" si="3"/>
        <v>3145.0189821093882</v>
      </c>
    </row>
    <row r="10" spans="1:10" ht="15.6" x14ac:dyDescent="0.3">
      <c r="B10" s="659">
        <v>8</v>
      </c>
      <c r="C10" s="657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10" s="655">
        <f t="shared" si="0"/>
        <v>-0.16374105768162323</v>
      </c>
      <c r="E10" s="661">
        <f t="shared" si="1"/>
        <v>-4931.3348538448863</v>
      </c>
      <c r="F10" s="1"/>
      <c r="G10" s="662">
        <v>8</v>
      </c>
      <c r="H10" s="657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I10" s="655">
        <f t="shared" si="2"/>
        <v>2.3394713500372713E-2</v>
      </c>
      <c r="J10" s="663">
        <f t="shared" si="3"/>
        <v>3122.0245166247387</v>
      </c>
    </row>
    <row r="11" spans="1:10" ht="15.6" x14ac:dyDescent="0.3">
      <c r="B11" s="656">
        <v>9</v>
      </c>
      <c r="C11" s="657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11" s="655">
        <f t="shared" si="0"/>
        <v>-0.16332795952042026</v>
      </c>
      <c r="E11" s="658">
        <f t="shared" si="1"/>
        <v>-4918.8937142233235</v>
      </c>
      <c r="F11" s="1"/>
      <c r="G11" s="653">
        <v>9</v>
      </c>
      <c r="H11" s="657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I11" s="655">
        <f t="shared" si="2"/>
        <v>2.321574138332529E-2</v>
      </c>
      <c r="J11" s="654">
        <f t="shared" si="3"/>
        <v>3098.1406876047599</v>
      </c>
    </row>
    <row r="12" spans="1:10" ht="15.6" x14ac:dyDescent="0.3">
      <c r="B12" s="656">
        <v>10</v>
      </c>
      <c r="C12" s="657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12" s="655">
        <f t="shared" si="0"/>
        <v>-0.16297375196415911</v>
      </c>
      <c r="E12" s="658">
        <f t="shared" si="1"/>
        <v>-4908.2261633205917</v>
      </c>
      <c r="F12" s="1"/>
      <c r="G12" s="653">
        <v>10</v>
      </c>
      <c r="H12" s="657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I12" s="655">
        <f t="shared" si="2"/>
        <v>2.3029955492001663E-2</v>
      </c>
      <c r="J12" s="654">
        <f t="shared" si="3"/>
        <v>3073.3475604076216</v>
      </c>
    </row>
    <row r="13" spans="1:10" ht="15.6" x14ac:dyDescent="0.3">
      <c r="B13" s="656">
        <v>11</v>
      </c>
      <c r="C13" s="657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13" s="655">
        <f t="shared" si="0"/>
        <v>-0.16268219819881297</v>
      </c>
      <c r="E13" s="658">
        <f t="shared" si="1"/>
        <v>-4899.4455357542511</v>
      </c>
      <c r="F13" s="1"/>
      <c r="G13" s="653">
        <v>11</v>
      </c>
      <c r="H13" s="657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36571.4974915415</v>
      </c>
      <c r="I13" s="655">
        <f t="shared" si="2"/>
        <v>2.2837203379256588E-2</v>
      </c>
      <c r="J13" s="654">
        <f t="shared" si="3"/>
        <v>3047.6247909617919</v>
      </c>
    </row>
    <row r="14" spans="1:10" ht="15.6" x14ac:dyDescent="0.3">
      <c r="B14" s="656">
        <v>12</v>
      </c>
      <c r="C14" s="657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14" s="655">
        <f t="shared" si="0"/>
        <v>-0.16245723621096872</v>
      </c>
      <c r="E14" s="658">
        <f t="shared" si="1"/>
        <v>-4892.6704305536741</v>
      </c>
      <c r="F14" s="1"/>
      <c r="G14" s="653">
        <v>12</v>
      </c>
      <c r="H14" s="657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36251.419410285336</v>
      </c>
      <c r="I14" s="655">
        <f t="shared" si="2"/>
        <v>2.2637329468143709E-2</v>
      </c>
      <c r="J14" s="654">
        <f t="shared" si="3"/>
        <v>3020.9516175237782</v>
      </c>
    </row>
    <row r="15" spans="1:10" ht="15.6" x14ac:dyDescent="0.3">
      <c r="B15" s="656">
        <v>13</v>
      </c>
      <c r="C15" s="657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15" s="655">
        <f t="shared" si="0"/>
        <v>-0.16230298611600943</v>
      </c>
      <c r="E15" s="658">
        <f t="shared" si="1"/>
        <v>-4888.0249318604838</v>
      </c>
      <c r="F15" s="1"/>
      <c r="G15" s="653">
        <v>13</v>
      </c>
      <c r="H15" s="657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35919.682227248566</v>
      </c>
      <c r="I15" s="655">
        <f t="shared" si="2"/>
        <v>2.2430174988915055E-2</v>
      </c>
      <c r="J15" s="654">
        <f t="shared" si="3"/>
        <v>2993.306852270714</v>
      </c>
    </row>
    <row r="16" spans="1:10" ht="15.6" x14ac:dyDescent="0.3">
      <c r="B16" s="656">
        <v>14</v>
      </c>
      <c r="C16" s="657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16" s="655">
        <f t="shared" si="0"/>
        <v>-0.16222375778039966</v>
      </c>
      <c r="E16" s="658">
        <f t="shared" si="1"/>
        <v>-4885.6388384863703</v>
      </c>
      <c r="F16" s="1"/>
      <c r="G16" s="653">
        <v>14</v>
      </c>
      <c r="H16" s="657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35576.026472694888</v>
      </c>
      <c r="I16" s="655">
        <f t="shared" si="2"/>
        <v>2.221557791475889E-2</v>
      </c>
      <c r="J16" s="654">
        <f t="shared" si="3"/>
        <v>2964.6688727245742</v>
      </c>
    </row>
    <row r="17" spans="2:10" ht="15.6" x14ac:dyDescent="0.3">
      <c r="B17" s="656">
        <v>15</v>
      </c>
      <c r="C17" s="657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17" s="655">
        <f t="shared" si="0"/>
        <v>-0.16222405874963433</v>
      </c>
      <c r="E17" s="658">
        <f t="shared" si="1"/>
        <v>-4885.6479026764873</v>
      </c>
      <c r="F17" s="1"/>
      <c r="G17" s="653">
        <v>15</v>
      </c>
      <c r="H17" s="657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35220.187356054616</v>
      </c>
      <c r="I17" s="655">
        <f t="shared" si="2"/>
        <v>2.1993372896249915E-2</v>
      </c>
      <c r="J17" s="654">
        <f t="shared" si="3"/>
        <v>2935.0156130045511</v>
      </c>
    </row>
    <row r="18" spans="2:10" ht="15.6" x14ac:dyDescent="0.3">
      <c r="B18" s="656">
        <v>16</v>
      </c>
      <c r="C18" s="657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-58658.328941282954</v>
      </c>
      <c r="D18" s="655">
        <f t="shared" si="0"/>
        <v>-0.16230860249386539</v>
      </c>
      <c r="E18" s="658">
        <f t="shared" si="1"/>
        <v>-4888.1940784402459</v>
      </c>
      <c r="F18" s="1"/>
      <c r="G18" s="653">
        <v>16</v>
      </c>
      <c r="H18" s="657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34851.894658851103</v>
      </c>
      <c r="I18" s="655">
        <f t="shared" si="2"/>
        <v>2.1763391194486763E-2</v>
      </c>
      <c r="J18" s="654">
        <f t="shared" si="3"/>
        <v>2904.3245549042585</v>
      </c>
    </row>
    <row r="19" spans="2:10" ht="15.6" x14ac:dyDescent="0.3">
      <c r="B19" s="656">
        <v>17</v>
      </c>
      <c r="C19" s="657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-58721.109357903297</v>
      </c>
      <c r="D19" s="655">
        <f t="shared" si="0"/>
        <v>-0.16248231698368373</v>
      </c>
      <c r="E19" s="658">
        <f t="shared" si="1"/>
        <v>-4893.4257798252747</v>
      </c>
      <c r="F19" s="1"/>
      <c r="G19" s="653">
        <v>17</v>
      </c>
      <c r="H19" s="657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34470.872625481868</v>
      </c>
      <c r="I19" s="655">
        <f t="shared" si="2"/>
        <v>2.1525460612889888E-2</v>
      </c>
      <c r="J19" s="654">
        <f t="shared" si="3"/>
        <v>2872.5727187901557</v>
      </c>
    </row>
    <row r="20" spans="2:10" ht="15.6" x14ac:dyDescent="0.3">
      <c r="B20" s="656">
        <v>18</v>
      </c>
      <c r="C20" s="657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-58817.977794300961</v>
      </c>
      <c r="D20" s="655">
        <f t="shared" si="0"/>
        <v>-0.16275035360902312</v>
      </c>
      <c r="E20" s="658">
        <f t="shared" si="1"/>
        <v>-4901.4981495250804</v>
      </c>
      <c r="G20" s="653">
        <v>18</v>
      </c>
      <c r="H20" s="657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34076.839851812532</v>
      </c>
      <c r="I20" s="655">
        <f t="shared" si="2"/>
        <v>2.1279405427633652E-2</v>
      </c>
      <c r="J20" s="654">
        <f t="shared" si="3"/>
        <v>2839.7366543177109</v>
      </c>
    </row>
    <row r="21" spans="2:10" s="668" customFormat="1" ht="15.6" x14ac:dyDescent="0.3">
      <c r="B21" s="664">
        <v>19</v>
      </c>
      <c r="C21" s="665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-58950.880058712144</v>
      </c>
      <c r="D21" s="666">
        <f t="shared" si="0"/>
        <v>-0.16311809645465453</v>
      </c>
      <c r="E21" s="667">
        <f t="shared" si="1"/>
        <v>-4912.5733382260123</v>
      </c>
      <c r="G21" s="653">
        <v>19</v>
      </c>
      <c r="H21" s="657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33669.509171538906</v>
      </c>
      <c r="I21" s="655">
        <f t="shared" si="2"/>
        <v>2.1025046316684719E-2</v>
      </c>
      <c r="J21" s="654">
        <f t="shared" si="3"/>
        <v>2805.7924309615755</v>
      </c>
    </row>
    <row r="22" spans="2:10" ht="15.6" x14ac:dyDescent="0.3">
      <c r="B22" s="656">
        <v>20</v>
      </c>
      <c r="C22" s="657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-59121.849541379597</v>
      </c>
      <c r="D22" s="655">
        <f t="shared" si="0"/>
        <v>-0.16359117194626341</v>
      </c>
      <c r="E22" s="658">
        <f t="shared" si="1"/>
        <v>-4926.8207951149661</v>
      </c>
      <c r="G22" s="653">
        <v>20</v>
      </c>
      <c r="H22" s="657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33248.587540273264</v>
      </c>
      <c r="I22" s="655">
        <f t="shared" si="2"/>
        <v>2.0762200287419298E-2</v>
      </c>
      <c r="J22" s="654">
        <f t="shared" si="3"/>
        <v>2770.7156283561053</v>
      </c>
    </row>
    <row r="23" spans="2:10" ht="15.6" x14ac:dyDescent="0.3">
      <c r="B23" s="656">
        <v>21</v>
      </c>
      <c r="C23" s="657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-59333.010839827686</v>
      </c>
      <c r="D23" s="655">
        <f t="shared" si="0"/>
        <v>-0.16417545888164828</v>
      </c>
      <c r="E23" s="658">
        <f t="shared" si="1"/>
        <v>-4944.4175699856405</v>
      </c>
      <c r="G23" s="653">
        <v>21</v>
      </c>
      <c r="H23" s="657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32813.77591730882</v>
      </c>
      <c r="I23" s="655">
        <f t="shared" si="2"/>
        <v>2.0490680602790572E-2</v>
      </c>
      <c r="J23" s="654">
        <f t="shared" si="3"/>
        <v>2734.4813264424015</v>
      </c>
    </row>
    <row r="24" spans="2:10" ht="15.6" x14ac:dyDescent="0.3">
      <c r="B24" s="656">
        <v>22</v>
      </c>
      <c r="C24" s="657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-59586.583528777963</v>
      </c>
      <c r="D24" s="655">
        <f t="shared" si="0"/>
        <v>-0.16487709886214158</v>
      </c>
      <c r="E24" s="658">
        <f t="shared" si="1"/>
        <v>-4965.5486273981633</v>
      </c>
      <c r="G24" s="653">
        <v>22</v>
      </c>
      <c r="H24" s="657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32364.769145016246</v>
      </c>
      <c r="I24" s="655">
        <f t="shared" si="2"/>
        <v>2.021029670601739E-2</v>
      </c>
      <c r="J24" s="654">
        <f t="shared" si="3"/>
        <v>2697.0640954180203</v>
      </c>
    </row>
    <row r="25" spans="2:10" ht="15.6" x14ac:dyDescent="0.3">
      <c r="B25" s="656">
        <v>23</v>
      </c>
      <c r="C25" s="657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-59884.886080374985</v>
      </c>
      <c r="D25" s="655">
        <f t="shared" si="0"/>
        <v>-0.16570250713994186</v>
      </c>
      <c r="E25" s="658">
        <f t="shared" si="1"/>
        <v>-4990.4071733645824</v>
      </c>
      <c r="G25" s="653">
        <v>23</v>
      </c>
      <c r="H25" s="657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31901.255825824621</v>
      </c>
      <c r="I25" s="655">
        <f t="shared" si="2"/>
        <v>1.9920854143764596E-2</v>
      </c>
      <c r="J25" s="654">
        <f t="shared" si="3"/>
        <v>2658.4379854853851</v>
      </c>
    </row>
    <row r="26" spans="2:10" ht="15.6" x14ac:dyDescent="0.3">
      <c r="B26" s="656">
        <v>24</v>
      </c>
      <c r="C26" s="657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-60230.339940613114</v>
      </c>
      <c r="D26" s="655">
        <f t="shared" si="0"/>
        <v>-0.16665838389765666</v>
      </c>
      <c r="E26" s="658">
        <f t="shared" si="1"/>
        <v>-5019.1949950510925</v>
      </c>
      <c r="G26" s="653">
        <v>24</v>
      </c>
      <c r="H26" s="657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31422.918196738712</v>
      </c>
      <c r="I26" s="655">
        <f t="shared" si="2"/>
        <v>1.9622154487784885E-2</v>
      </c>
      <c r="J26" s="654">
        <f t="shared" si="3"/>
        <v>2618.5765163948927</v>
      </c>
    </row>
    <row r="27" spans="2:10" ht="15.6" x14ac:dyDescent="0.3">
      <c r="B27" s="656">
        <v>25</v>
      </c>
      <c r="C27" s="657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-60625.473768083109</v>
      </c>
      <c r="D27" s="655">
        <f t="shared" si="0"/>
        <v>-0.16775172597698701</v>
      </c>
      <c r="E27" s="658">
        <f t="shared" si="1"/>
        <v>-5052.1228140069261</v>
      </c>
      <c r="G27" s="653">
        <v>25</v>
      </c>
      <c r="H27" s="657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30929.432001343077</v>
      </c>
      <c r="I27" s="655">
        <f t="shared" si="2"/>
        <v>1.9313995254991306E-2</v>
      </c>
      <c r="J27" s="654">
        <f t="shared" si="3"/>
        <v>2577.4526667785899</v>
      </c>
    </row>
    <row r="28" spans="2:10" ht="15.6" x14ac:dyDescent="0.3">
      <c r="B28" s="656">
        <v>26</v>
      </c>
      <c r="C28" s="657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-61072.927841395634</v>
      </c>
      <c r="D28" s="655">
        <f t="shared" si="0"/>
        <v>-0.16898983907414397</v>
      </c>
      <c r="E28" s="658">
        <f t="shared" si="1"/>
        <v>-5089.4106534496359</v>
      </c>
      <c r="G28" s="653">
        <v>26</v>
      </c>
      <c r="H28" s="657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30420.466359242862</v>
      </c>
      <c r="I28" s="655">
        <f t="shared" si="2"/>
        <v>1.89961698259291E-2</v>
      </c>
      <c r="J28" s="654">
        <f t="shared" si="3"/>
        <v>2535.0388632702384</v>
      </c>
    </row>
    <row r="29" spans="2:10" ht="15.6" x14ac:dyDescent="0.3">
      <c r="B29" s="656">
        <v>27</v>
      </c>
      <c r="C29" s="657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-61575.458641885343</v>
      </c>
      <c r="D29" s="655">
        <f t="shared" si="0"/>
        <v>-0.17038035042026936</v>
      </c>
      <c r="E29" s="658">
        <f t="shared" si="1"/>
        <v>-5131.2882201571119</v>
      </c>
      <c r="G29" s="653">
        <v>27</v>
      </c>
      <c r="H29" s="657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29895.68363289001</v>
      </c>
      <c r="I29" s="655">
        <f t="shared" si="2"/>
        <v>1.8668467361614843E-2</v>
      </c>
      <c r="J29" s="654">
        <f t="shared" si="3"/>
        <v>2491.3069694075007</v>
      </c>
    </row>
    <row r="30" spans="2:10" ht="15.6" x14ac:dyDescent="0.3">
      <c r="B30" s="656">
        <v>28</v>
      </c>
      <c r="C30" s="657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-62135.943618455669</v>
      </c>
      <c r="D30" s="655">
        <f t="shared" si="0"/>
        <v>-0.17193122196584301</v>
      </c>
      <c r="E30" s="658">
        <f t="shared" si="1"/>
        <v>-5177.9953015379724</v>
      </c>
      <c r="G30" s="653">
        <v>28</v>
      </c>
      <c r="H30" s="657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29354.739291742429</v>
      </c>
      <c r="I30" s="655">
        <f t="shared" si="2"/>
        <v>1.8330672718710146E-2</v>
      </c>
      <c r="J30" s="654">
        <f t="shared" si="3"/>
        <v>2446.228274311869</v>
      </c>
    </row>
    <row r="31" spans="2:10" ht="15.6" x14ac:dyDescent="0.3">
      <c r="B31" s="656">
        <v>29</v>
      </c>
      <c r="C31" s="657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-62757.386141690891</v>
      </c>
      <c r="D31" s="655">
        <f t="shared" si="0"/>
        <v>-0.17365076408879604</v>
      </c>
      <c r="E31" s="658">
        <f t="shared" si="1"/>
        <v>-5229.7821784742409</v>
      </c>
      <c r="G31" s="653">
        <v>29</v>
      </c>
      <c r="H31" s="657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28797.281773702831</v>
      </c>
      <c r="I31" s="655">
        <f t="shared" si="2"/>
        <v>1.7982566362996649E-2</v>
      </c>
      <c r="J31" s="654">
        <f t="shared" si="3"/>
        <v>2399.7734811419027</v>
      </c>
    </row>
    <row r="32" spans="2:10" ht="15.6" x14ac:dyDescent="0.3">
      <c r="B32" s="656">
        <v>30</v>
      </c>
      <c r="C32" s="657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-63442.920654639034</v>
      </c>
      <c r="D32" s="655">
        <f t="shared" si="0"/>
        <v>-0.17554764984681526</v>
      </c>
      <c r="E32" s="658">
        <f t="shared" si="1"/>
        <v>-5286.9100545532528</v>
      </c>
      <c r="G32" s="653">
        <v>30</v>
      </c>
      <c r="H32" s="657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28222.952343783101</v>
      </c>
      <c r="I32" s="655">
        <f t="shared" si="2"/>
        <v>1.7623924281118461E-2</v>
      </c>
      <c r="J32" s="654">
        <f t="shared" si="3"/>
        <v>2351.9126953152586</v>
      </c>
    </row>
    <row r="33" spans="2:10" ht="15.6" x14ac:dyDescent="0.3">
      <c r="B33" s="656">
        <v>31</v>
      </c>
      <c r="C33" s="657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655">
        <f t="shared" si="0"/>
        <v>9.3976163434762311E-2</v>
      </c>
      <c r="E33" s="658">
        <f t="shared" si="1"/>
        <v>2830.2487887769253</v>
      </c>
      <c r="G33" s="653">
        <v>31</v>
      </c>
      <c r="H33" s="657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27631.384949938009</v>
      </c>
      <c r="I33" s="655">
        <f t="shared" si="2"/>
        <v>1.7254517890557017E-2</v>
      </c>
      <c r="J33" s="654">
        <f t="shared" si="3"/>
        <v>2302.6154124948339</v>
      </c>
    </row>
    <row r="34" spans="2:10" ht="15.6" x14ac:dyDescent="0.3">
      <c r="B34" s="656">
        <v>32</v>
      </c>
      <c r="C34" s="657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655">
        <f t="shared" si="0"/>
        <v>9.1697045838079722E-2</v>
      </c>
      <c r="E34" s="658">
        <f t="shared" si="1"/>
        <v>2761.6093638235011</v>
      </c>
      <c r="G34" s="653">
        <v>32</v>
      </c>
      <c r="H34" s="657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27022.206076012393</v>
      </c>
      <c r="I34" s="655">
        <f t="shared" si="2"/>
        <v>1.6874113947803419E-2</v>
      </c>
      <c r="J34" s="654">
        <f t="shared" si="3"/>
        <v>2251.8505063343659</v>
      </c>
    </row>
    <row r="35" spans="2:10" ht="15.6" x14ac:dyDescent="0.3">
      <c r="B35" s="656">
        <v>33</v>
      </c>
      <c r="C35" s="657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655">
        <f t="shared" si="0"/>
        <v>8.9212238216146489E-2</v>
      </c>
      <c r="E35" s="658">
        <f t="shared" si="1"/>
        <v>2686.7752409429449</v>
      </c>
      <c r="G35" s="653">
        <v>33</v>
      </c>
      <c r="H35" s="657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26395.034591743657</v>
      </c>
      <c r="I35" s="655">
        <f t="shared" si="2"/>
        <v>1.648247445469193E-2</v>
      </c>
      <c r="J35" s="654">
        <f t="shared" si="3"/>
        <v>2199.5862159786379</v>
      </c>
    </row>
    <row r="36" spans="2:10" ht="15.6" x14ac:dyDescent="0.3">
      <c r="B36" s="656">
        <v>34</v>
      </c>
      <c r="C36" s="657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655">
        <f t="shared" si="0"/>
        <v>8.6511462623034885E-2</v>
      </c>
      <c r="E36" s="658">
        <f t="shared" si="1"/>
        <v>2605.4368826637342</v>
      </c>
      <c r="G36" s="653">
        <v>34</v>
      </c>
      <c r="H36" s="657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25749.481599760591</v>
      </c>
      <c r="I36" s="655">
        <f t="shared" si="2"/>
        <v>1.6079356562857867E-2</v>
      </c>
      <c r="J36" s="654">
        <f t="shared" si="3"/>
        <v>2145.7901333133827</v>
      </c>
    </row>
    <row r="37" spans="2:10" ht="16.2" thickBot="1" x14ac:dyDescent="0.35">
      <c r="B37" s="669">
        <v>35</v>
      </c>
      <c r="C37" s="670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71">
        <f>C37/$C$39</f>
        <v>8.3583998234299711E-2</v>
      </c>
      <c r="E37" s="658">
        <f t="shared" si="1"/>
        <v>2517.2714134896596</v>
      </c>
      <c r="G37" s="653">
        <v>35</v>
      </c>
      <c r="H37" s="657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25085.150279518792</v>
      </c>
      <c r="I37" s="655">
        <f t="shared" si="2"/>
        <v>1.5664512476282498E-2</v>
      </c>
      <c r="J37" s="654">
        <f t="shared" si="3"/>
        <v>2090.4291899598993</v>
      </c>
    </row>
    <row r="38" spans="2:10" ht="15.6" x14ac:dyDescent="0.3">
      <c r="B38" s="672" t="s">
        <v>152</v>
      </c>
      <c r="C38" s="673">
        <f>SUM(C3:C37)</f>
        <v>-1634558.9991314672</v>
      </c>
      <c r="G38" s="674" t="s">
        <v>152</v>
      </c>
      <c r="H38" s="675">
        <f>SUM(H3:H37)</f>
        <v>1168792.6967080659</v>
      </c>
    </row>
    <row r="39" spans="2:10" ht="15.6" x14ac:dyDescent="0.3">
      <c r="B39" s="676" t="s">
        <v>21</v>
      </c>
      <c r="C39" s="677">
        <f>'ROI details'!C11</f>
        <v>361400</v>
      </c>
      <c r="G39" s="678" t="s">
        <v>21</v>
      </c>
      <c r="H39" s="679">
        <f>'ROI Detail ARV'!C11</f>
        <v>1601400</v>
      </c>
    </row>
    <row r="40" spans="2:10" ht="15.6" x14ac:dyDescent="0.3">
      <c r="B40" s="676" t="s">
        <v>153</v>
      </c>
      <c r="C40" s="680">
        <f>C38/C39/35</f>
        <v>-0.12922436549383093</v>
      </c>
      <c r="G40" s="678" t="s">
        <v>153</v>
      </c>
      <c r="H40" s="681">
        <f>H38/H39/35</f>
        <v>2.0853051735232848E-2</v>
      </c>
    </row>
    <row r="41" spans="2:10" s="684" customFormat="1" ht="31.8" thickBot="1" x14ac:dyDescent="0.35">
      <c r="B41" s="682" t="s">
        <v>154</v>
      </c>
      <c r="C41" s="683" t="e">
        <f>RATE(34,,-C3,C37)</f>
        <v>#NUM!</v>
      </c>
      <c r="E41" s="685"/>
      <c r="G41" s="686" t="s">
        <v>154</v>
      </c>
      <c r="H41" s="687">
        <f>RATE(34,,-H3,H37)</f>
        <v>-1.3032144946309504E-2</v>
      </c>
    </row>
  </sheetData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5" customWidth="1"/>
    <col min="2" max="13" width="8.77734375" style="555"/>
    <col min="14" max="14" width="25.44140625" style="555" customWidth="1"/>
    <col min="15" max="16384" width="8.77734375" style="555"/>
  </cols>
  <sheetData>
    <row r="1" spans="1:1" ht="14.4" x14ac:dyDescent="0.3">
      <c r="A1" s="800" t="s">
        <v>454</v>
      </c>
    </row>
    <row r="70" spans="1:1" x14ac:dyDescent="0.25">
      <c r="A70" s="556"/>
    </row>
  </sheetData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workbookViewId="0">
      <selection activeCell="G2" sqref="G2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88" t="s">
        <v>454</v>
      </c>
    </row>
    <row r="2" spans="1:11" ht="21.6" thickBot="1" x14ac:dyDescent="0.45">
      <c r="B2" s="428" t="s">
        <v>141</v>
      </c>
      <c r="G2" s="402" t="s">
        <v>142</v>
      </c>
      <c r="I2" s="117"/>
    </row>
    <row r="3" spans="1:11" ht="15.6" x14ac:dyDescent="0.3">
      <c r="B3" s="1" t="s">
        <v>199</v>
      </c>
      <c r="D3" s="853"/>
      <c r="G3" s="178" t="s">
        <v>205</v>
      </c>
      <c r="H3" s="179" t="s">
        <v>21</v>
      </c>
      <c r="I3" s="180">
        <f>'ROI Number insert'!F19</f>
        <v>361400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SUM('Principal Recapture'!E9:E69)</f>
        <v>123239.87037984765</v>
      </c>
    </row>
    <row r="5" spans="1:11" ht="15.6" x14ac:dyDescent="0.3">
      <c r="B5" s="169">
        <v>1</v>
      </c>
      <c r="C5" s="854">
        <f>'ROI Number insert'!F47</f>
        <v>-60714.892742690201</v>
      </c>
      <c r="D5" s="171">
        <f>C5/$C$11</f>
        <v>-0.16799914981375264</v>
      </c>
      <c r="E5" s="172">
        <f>C5/12</f>
        <v>-5059.5743952241837</v>
      </c>
      <c r="G5" s="163"/>
      <c r="H5" s="181" t="s">
        <v>146</v>
      </c>
      <c r="I5" s="183">
        <f>I4/I3</f>
        <v>0.34100683558341904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6" s="171">
        <f t="shared" ref="D6:D9" si="0">C6/$C$11</f>
        <v>-0.16726591637740054</v>
      </c>
      <c r="E6" s="172">
        <f>C6/12</f>
        <v>-5037.491848232713</v>
      </c>
      <c r="G6" s="163"/>
      <c r="H6" s="181" t="s">
        <v>147</v>
      </c>
      <c r="I6" s="183">
        <f>I5/10</f>
        <v>3.4100683558341907E-2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7" s="171">
        <f t="shared" si="0"/>
        <v>-0.16656956690145228</v>
      </c>
      <c r="E7" s="175">
        <f>C7/12</f>
        <v>-5016.5201231820711</v>
      </c>
      <c r="G7" s="121" t="s">
        <v>144</v>
      </c>
      <c r="H7" s="122" t="s">
        <v>21</v>
      </c>
      <c r="I7" s="123">
        <f>I3</f>
        <v>361400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8" s="171">
        <f t="shared" si="0"/>
        <v>-0.16529853989046978</v>
      </c>
      <c r="E8" s="172">
        <f>C8/12</f>
        <v>-4978.2410263679812</v>
      </c>
      <c r="G8" s="124"/>
      <c r="H8" s="125" t="s">
        <v>145</v>
      </c>
      <c r="I8" s="126">
        <f>SUM('Principal Recapture'!E9:E129)</f>
        <v>289201.05103103229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9" s="171">
        <f t="shared" si="0"/>
        <v>-0.16472970507903309</v>
      </c>
      <c r="E9" s="172">
        <f>C9/12</f>
        <v>-4961.109617963547</v>
      </c>
      <c r="G9" s="124"/>
      <c r="H9" s="125" t="s">
        <v>146</v>
      </c>
      <c r="I9" s="129">
        <f>I8/I7</f>
        <v>0.80022426959333781</v>
      </c>
    </row>
    <row r="10" spans="1:11" ht="16.2" thickBot="1" x14ac:dyDescent="0.35">
      <c r="B10" s="169" t="s">
        <v>152</v>
      </c>
      <c r="C10" s="170">
        <f>SUM(C5:C9)</f>
        <v>-300635.24413164594</v>
      </c>
      <c r="G10" s="224"/>
      <c r="H10" s="130" t="s">
        <v>147</v>
      </c>
      <c r="I10" s="225">
        <f>I9/10</f>
        <v>8.0022426959333787E-2</v>
      </c>
    </row>
    <row r="11" spans="1:11" ht="15.6" x14ac:dyDescent="0.3">
      <c r="B11" s="169" t="s">
        <v>21</v>
      </c>
      <c r="C11" s="170">
        <f>'ROI Number insert'!F19</f>
        <v>361400</v>
      </c>
      <c r="G11" s="226" t="s">
        <v>148</v>
      </c>
      <c r="H11" s="227" t="s">
        <v>21</v>
      </c>
      <c r="I11" s="228">
        <f>I3</f>
        <v>361400</v>
      </c>
    </row>
    <row r="12" spans="1:11" s="76" customFormat="1" ht="15.6" x14ac:dyDescent="0.3">
      <c r="B12" s="174" t="s">
        <v>153</v>
      </c>
      <c r="C12" s="176">
        <f>C10/C11/5</f>
        <v>-0.16637257561242166</v>
      </c>
      <c r="G12" s="131"/>
      <c r="H12" s="132" t="s">
        <v>145</v>
      </c>
      <c r="I12" s="133">
        <f>SUM('Principal Recapture'!E9:E189)</f>
        <v>515859.19805492985</v>
      </c>
      <c r="K12" s="1"/>
    </row>
    <row r="13" spans="1:11" ht="31.2" x14ac:dyDescent="0.3">
      <c r="B13" s="173" t="s">
        <v>154</v>
      </c>
      <c r="C13" s="234">
        <f>_xlfn.RRI(5,D5,D9)</f>
        <v>-3.9228731767171343E-3</v>
      </c>
      <c r="G13" s="131"/>
      <c r="H13" s="132" t="s">
        <v>146</v>
      </c>
      <c r="I13" s="134">
        <f>I12/I11</f>
        <v>1.4273912508437461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9.5159416722916404E-2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-60714.892742690201</v>
      </c>
      <c r="D16" s="141">
        <f>C16/$C$27</f>
        <v>-0.16799914981375264</v>
      </c>
      <c r="E16" s="142">
        <f>C16/12</f>
        <v>-5059.5743952241837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17" s="141">
        <f t="shared" ref="D17:D25" si="1">C17/$C$27</f>
        <v>-0.16726591637740054</v>
      </c>
      <c r="E17" s="142">
        <f t="shared" ref="E17:E25" si="2">C17/12</f>
        <v>-5037.491848232713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18" s="141">
        <f t="shared" si="1"/>
        <v>-0.16656956690145228</v>
      </c>
      <c r="E18" s="142">
        <f t="shared" si="2"/>
        <v>-5016.5201231820711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19" s="141">
        <f t="shared" si="1"/>
        <v>-0.16591282368733745</v>
      </c>
      <c r="E19" s="142">
        <f t="shared" si="2"/>
        <v>-4996.7412067169798</v>
      </c>
      <c r="G19" s="186" t="s">
        <v>201</v>
      </c>
      <c r="H19" s="217">
        <f>'Calculating offering price'!C95</f>
        <v>1711325.24496</v>
      </c>
      <c r="I19" s="218">
        <f>H19-H16</f>
        <v>161325.24496000004</v>
      </c>
      <c r="J19" s="221">
        <f>I19/'ROI Number insert'!$F$19</f>
        <v>0.44638972042058672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20" s="141">
        <f t="shared" si="1"/>
        <v>-0.16529853989046978</v>
      </c>
      <c r="E20" s="142">
        <f t="shared" si="2"/>
        <v>-4978.2410263679812</v>
      </c>
      <c r="G20" s="186" t="s">
        <v>202</v>
      </c>
      <c r="H20" s="217">
        <f>'Calculating offering price'!C106</f>
        <v>1798838.2787889803</v>
      </c>
      <c r="I20" s="218">
        <f>H20-H16</f>
        <v>248838.27878898033</v>
      </c>
      <c r="J20" s="221">
        <f>I20/'ROI Number insert'!$F$19</f>
        <v>0.68853978635578394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21" s="141">
        <f t="shared" si="1"/>
        <v>-0.16472970507903309</v>
      </c>
      <c r="E21" s="142">
        <f t="shared" si="2"/>
        <v>-4961.109617963547</v>
      </c>
      <c r="G21" s="188" t="s">
        <v>203</v>
      </c>
      <c r="H21" s="219">
        <f>'Calculating offering price'!C117</f>
        <v>2086095.9244024004</v>
      </c>
      <c r="I21" s="220">
        <f>H21-H16</f>
        <v>536095.92440240039</v>
      </c>
      <c r="J21" s="221">
        <f>I21/'ROI Number insert'!$F$19</f>
        <v>1.4833866198184846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22" s="141">
        <f t="shared" si="1"/>
        <v>-0.16420945101719869</v>
      </c>
      <c r="E22" s="142">
        <f t="shared" si="2"/>
        <v>-4945.4412998013004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23" s="141">
        <f t="shared" si="1"/>
        <v>-0.16374105768162323</v>
      </c>
      <c r="E23" s="142">
        <f t="shared" si="2"/>
        <v>-4931.3348538448863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24" s="141">
        <f t="shared" si="1"/>
        <v>-0.16332795952042026</v>
      </c>
      <c r="E24" s="142">
        <f t="shared" si="2"/>
        <v>-4918.8937142233235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25" s="141">
        <f t="shared" si="1"/>
        <v>-0.16297375196415911</v>
      </c>
      <c r="E25" s="142">
        <f t="shared" si="2"/>
        <v>-4908.2261633205917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-597042.89098653093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361400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-0.16520279219328471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-3.0323692340331609E-3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830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-60714.892742690201</v>
      </c>
      <c r="D32" s="148">
        <f>C32/$C$48</f>
        <v>-0.16799914981375264</v>
      </c>
      <c r="E32" s="147">
        <f>C32/12</f>
        <v>-5059.5743952241837</v>
      </c>
      <c r="G32" s="213" t="s">
        <v>146</v>
      </c>
      <c r="H32" s="214">
        <f>IF(H30&lt;0,"",H30/H31)</f>
        <v>0.72661870503597126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33" s="148">
        <f t="shared" ref="D33:D46" si="3">C33/$C$48</f>
        <v>-0.16726591637740054</v>
      </c>
      <c r="E33" s="147">
        <f t="shared" ref="E33:E46" si="4">C33/12</f>
        <v>-5037.491848232713</v>
      </c>
      <c r="G33" s="192" t="s">
        <v>217</v>
      </c>
    </row>
    <row r="34" spans="2:11" s="76" customFormat="1" ht="31.2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34" s="201">
        <f t="shared" si="3"/>
        <v>-0.16656956690145228</v>
      </c>
      <c r="E34" s="202">
        <f t="shared" si="4"/>
        <v>-5016.5201231820711</v>
      </c>
      <c r="G34" s="417" t="s">
        <v>218</v>
      </c>
      <c r="H34" s="418">
        <f>'ROI Number insert'!F45</f>
        <v>37443.910750588235</v>
      </c>
      <c r="I34" s="203"/>
      <c r="J34" s="203"/>
      <c r="K34" s="203"/>
    </row>
    <row r="35" spans="2:11" ht="15.6" x14ac:dyDescent="0.3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35" s="148">
        <f t="shared" si="3"/>
        <v>-0.16591282368733745</v>
      </c>
      <c r="E35" s="147">
        <f t="shared" si="4"/>
        <v>-4996.7412067169798</v>
      </c>
      <c r="G35" s="419" t="s">
        <v>217</v>
      </c>
      <c r="H35" s="420">
        <f>H34/'ROI Number insert'!F3</f>
        <v>2.4157361774573054E-2</v>
      </c>
    </row>
    <row r="36" spans="2:11" ht="15.6" x14ac:dyDescent="0.3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36" s="148">
        <f t="shared" si="3"/>
        <v>-0.16529853989046978</v>
      </c>
      <c r="E36" s="147">
        <f t="shared" si="4"/>
        <v>-4978.2410263679812</v>
      </c>
      <c r="G36" s="419" t="s">
        <v>345</v>
      </c>
      <c r="H36" s="422">
        <v>7.0000000000000007E-2</v>
      </c>
    </row>
    <row r="37" spans="2:11" ht="16.2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37" s="148">
        <f t="shared" si="3"/>
        <v>-0.16472970507903309</v>
      </c>
      <c r="E37" s="147">
        <f t="shared" si="4"/>
        <v>-4961.109617963547</v>
      </c>
      <c r="G37" s="421" t="s">
        <v>95</v>
      </c>
      <c r="H37" s="423">
        <f>H34/H36</f>
        <v>534913.01072268898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38" s="148">
        <f t="shared" si="3"/>
        <v>-0.16420945101719869</v>
      </c>
      <c r="E38" s="147">
        <f t="shared" si="4"/>
        <v>-4945.4412998013004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39" s="148">
        <f t="shared" si="3"/>
        <v>-0.16374105768162323</v>
      </c>
      <c r="E39" s="202">
        <f t="shared" si="4"/>
        <v>-4931.3348538448863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40" s="148">
        <f t="shared" si="3"/>
        <v>-0.16332795952042026</v>
      </c>
      <c r="E40" s="147">
        <f t="shared" si="4"/>
        <v>-4918.8937142233235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41" s="148">
        <f t="shared" si="3"/>
        <v>-0.16297375196415911</v>
      </c>
      <c r="E41" s="147">
        <f t="shared" si="4"/>
        <v>-4908.2261633205917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42" s="148">
        <f t="shared" si="3"/>
        <v>-0.16268219819881297</v>
      </c>
      <c r="E42" s="147">
        <f t="shared" si="4"/>
        <v>-4899.4455357542511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43" s="148">
        <f t="shared" si="3"/>
        <v>-0.16245723621096872</v>
      </c>
      <c r="E43" s="147">
        <f t="shared" si="4"/>
        <v>-4892.6704305536741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44" s="148">
        <f t="shared" si="3"/>
        <v>-0.16230298611600943</v>
      </c>
      <c r="E44" s="147">
        <f t="shared" si="4"/>
        <v>-4888.0249318604838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45" s="148">
        <f t="shared" si="3"/>
        <v>-0.16222375778039966</v>
      </c>
      <c r="E45" s="147">
        <f t="shared" si="4"/>
        <v>-4885.6388384863703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46" s="148">
        <f t="shared" si="3"/>
        <v>-0.16222405874963433</v>
      </c>
      <c r="E46" s="147">
        <f t="shared" si="4"/>
        <v>-4885.6479026764873</v>
      </c>
    </row>
    <row r="47" spans="2:11" ht="15.6" x14ac:dyDescent="0.3">
      <c r="B47" s="150" t="s">
        <v>152</v>
      </c>
      <c r="C47" s="151">
        <f>SUM(C32:C46)</f>
        <v>-890460.02265850606</v>
      </c>
      <c r="D47" s="152"/>
      <c r="E47" s="153"/>
    </row>
    <row r="48" spans="2:11" ht="15.6" x14ac:dyDescent="0.3">
      <c r="B48" s="154" t="s">
        <v>21</v>
      </c>
      <c r="C48" s="155">
        <f>C11</f>
        <v>361400</v>
      </c>
      <c r="D48" s="152"/>
      <c r="E48" s="153"/>
    </row>
    <row r="49" spans="2:5" ht="15.6" x14ac:dyDescent="0.3">
      <c r="B49" s="154" t="s">
        <v>153</v>
      </c>
      <c r="C49" s="156">
        <f>C47/C48/15</f>
        <v>-0.16426121059924481</v>
      </c>
      <c r="D49" s="152"/>
      <c r="E49" s="153"/>
    </row>
    <row r="50" spans="2:5" ht="31.2" x14ac:dyDescent="0.3">
      <c r="B50" s="157" t="s">
        <v>154</v>
      </c>
      <c r="C50" s="236">
        <f>_xlfn.RRI(15,D32,D46)</f>
        <v>-2.3293136220352562E-3</v>
      </c>
      <c r="D50" s="166"/>
      <c r="E50" s="167"/>
    </row>
  </sheetData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topLeftCell="A9" workbookViewId="0">
      <selection activeCell="C44" sqref="C44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88" t="s">
        <v>454</v>
      </c>
    </row>
    <row r="2" spans="1:3" ht="21" x14ac:dyDescent="0.4">
      <c r="B2" s="900" t="s">
        <v>253</v>
      </c>
      <c r="C2" s="900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98158.803493278436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406">
        <f>C19-SUM(C20:C21)</f>
        <v>-60714.892742690201</v>
      </c>
    </row>
    <row r="23" spans="2:3" ht="15" thickBot="1" x14ac:dyDescent="0.35">
      <c r="B23" s="408" t="s">
        <v>331</v>
      </c>
      <c r="C23" s="409">
        <f>'Total Result'!C21</f>
        <v>361400</v>
      </c>
    </row>
    <row r="24" spans="2:3" ht="15.6" thickTop="1" thickBot="1" x14ac:dyDescent="0.35">
      <c r="B24" s="410" t="s">
        <v>332</v>
      </c>
      <c r="C24" s="411">
        <f>C22/C23</f>
        <v>-0.16799914981375264</v>
      </c>
    </row>
    <row r="25" spans="2:3" x14ac:dyDescent="0.3">
      <c r="B25" s="1" t="s">
        <v>335</v>
      </c>
      <c r="C25" s="127">
        <f>'Total Result'!C17+'Financial Statement'!C32</f>
        <v>331260.98765253864</v>
      </c>
    </row>
    <row r="26" spans="2:3" x14ac:dyDescent="0.3">
      <c r="B26" s="1" t="s">
        <v>337</v>
      </c>
      <c r="C26" s="414">
        <f>C25/'Total Result'!C26</f>
        <v>0.21371676622744429</v>
      </c>
    </row>
    <row r="27" spans="2:3" ht="15" thickBot="1" x14ac:dyDescent="0.35">
      <c r="B27" s="1" t="s">
        <v>339</v>
      </c>
      <c r="C27" s="414">
        <f>C26-'Calculating offering price'!C13</f>
        <v>1.3716766227444277E-2</v>
      </c>
    </row>
    <row r="28" spans="2:3" ht="15.6" thickTop="1" thickBot="1" x14ac:dyDescent="0.35">
      <c r="B28" s="410" t="s">
        <v>336</v>
      </c>
      <c r="C28" s="411">
        <f>C22/C25</f>
        <v>-0.18328416265658898</v>
      </c>
    </row>
    <row r="31" spans="2:3" x14ac:dyDescent="0.3">
      <c r="B31" s="901" t="s">
        <v>333</v>
      </c>
      <c r="C31" s="901"/>
    </row>
    <row r="32" spans="2:3" x14ac:dyDescent="0.3">
      <c r="B32" s="1" t="s">
        <v>334</v>
      </c>
      <c r="C32" s="292">
        <f>SUM('Principal Recapture'!E9:E20)</f>
        <v>21260.987652538617</v>
      </c>
    </row>
    <row r="33" spans="2:3" ht="15" thickBot="1" x14ac:dyDescent="0.35">
      <c r="B33" s="403" t="s">
        <v>331</v>
      </c>
      <c r="C33" s="412">
        <f>C23</f>
        <v>361400</v>
      </c>
    </row>
    <row r="34" spans="2:3" ht="15" thickTop="1" x14ac:dyDescent="0.3">
      <c r="B34" s="1" t="s">
        <v>338</v>
      </c>
      <c r="C34" s="413">
        <f>C32/C33</f>
        <v>5.8829517577583333E-2</v>
      </c>
    </row>
    <row r="36" spans="2:3" x14ac:dyDescent="0.3">
      <c r="B36" s="901" t="s">
        <v>340</v>
      </c>
      <c r="C36" s="901"/>
    </row>
    <row r="37" spans="2:3" x14ac:dyDescent="0.3">
      <c r="B37" s="1" t="s">
        <v>341</v>
      </c>
      <c r="C37" s="415">
        <f>'ROI Number insert'!F6</f>
        <v>0.02</v>
      </c>
    </row>
    <row r="38" spans="2:3" x14ac:dyDescent="0.3">
      <c r="B38" s="1" t="s">
        <v>95</v>
      </c>
      <c r="C38" s="292">
        <f>'ROI Number insert'!F3</f>
        <v>1550000</v>
      </c>
    </row>
    <row r="39" spans="2:3" x14ac:dyDescent="0.3">
      <c r="B39" s="1" t="s">
        <v>342</v>
      </c>
      <c r="C39" s="127">
        <f>C38*C37</f>
        <v>31000</v>
      </c>
    </row>
    <row r="40" spans="2:3" ht="15" thickBot="1" x14ac:dyDescent="0.35">
      <c r="B40" s="403" t="s">
        <v>331</v>
      </c>
      <c r="C40" s="412">
        <f>C33</f>
        <v>361400</v>
      </c>
    </row>
    <row r="41" spans="2:3" ht="15" thickTop="1" x14ac:dyDescent="0.3">
      <c r="B41" s="1" t="s">
        <v>343</v>
      </c>
      <c r="C41" s="413">
        <f>C39/C40</f>
        <v>8.5777531820697292E-2</v>
      </c>
    </row>
    <row r="43" spans="2:3" ht="15" thickBot="1" x14ac:dyDescent="0.35">
      <c r="B43" s="407" t="s">
        <v>344</v>
      </c>
      <c r="C43" s="416">
        <f>C41+C34+C24</f>
        <v>-2.3392100415472017E-2</v>
      </c>
    </row>
    <row r="44" spans="2:3" ht="15" thickTop="1" x14ac:dyDescent="0.3"/>
  </sheetData>
  <sheetProtection algorithmName="SHA-512" hashValue="o1kqf3Dn5OCYuZlaJGc4+mLPP/YiGevAg/aiP8xG4ZQzENzPbomaSiRU0xO11ZeJtAqtILB40chcXmj/tvsHNg==" saltValue="DRl0NJRQOfwyMNL6KZ5+8A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workbookViewId="0">
      <selection activeCell="C5" sqref="C5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05" t="s">
        <v>1</v>
      </c>
      <c r="C2" s="906"/>
      <c r="F2" s="5"/>
    </row>
    <row r="3" spans="1:8" ht="31.05" customHeight="1" thickTop="1" thickBot="1" x14ac:dyDescent="0.35">
      <c r="B3" s="738" t="s">
        <v>2</v>
      </c>
      <c r="C3" s="709" t="s">
        <v>14</v>
      </c>
      <c r="F3" s="6" t="s">
        <v>4</v>
      </c>
    </row>
    <row r="4" spans="1:8" ht="16.2" thickTop="1" x14ac:dyDescent="0.3">
      <c r="B4" s="739" t="s">
        <v>5</v>
      </c>
      <c r="C4" s="871">
        <v>1588000</v>
      </c>
      <c r="F4" s="7" t="s">
        <v>6</v>
      </c>
      <c r="H4" s="4"/>
    </row>
    <row r="5" spans="1:8" ht="15.6" x14ac:dyDescent="0.3">
      <c r="B5" s="872" t="s">
        <v>7</v>
      </c>
      <c r="C5" s="874">
        <f>C59</f>
        <v>516823.52941176464</v>
      </c>
      <c r="D5" s="875" t="s">
        <v>512</v>
      </c>
      <c r="F5" s="3" t="s">
        <v>8</v>
      </c>
      <c r="H5" s="4"/>
    </row>
    <row r="6" spans="1:8" ht="13.5" customHeight="1" thickBot="1" x14ac:dyDescent="0.35">
      <c r="B6" s="740" t="s">
        <v>9</v>
      </c>
      <c r="C6" s="873">
        <v>1861</v>
      </c>
      <c r="F6" s="3" t="s">
        <v>10</v>
      </c>
      <c r="H6" s="4"/>
    </row>
    <row r="7" spans="1:8" ht="16.2" thickTop="1" x14ac:dyDescent="0.3">
      <c r="B7" s="740" t="s">
        <v>11</v>
      </c>
      <c r="C7" s="743">
        <f>C5*0.8</f>
        <v>413458.82352941175</v>
      </c>
      <c r="F7" s="3" t="s">
        <v>12</v>
      </c>
      <c r="H7" s="4"/>
    </row>
    <row r="8" spans="1:8" ht="15" customHeight="1" thickBot="1" x14ac:dyDescent="0.35">
      <c r="B8" s="740" t="s">
        <v>13</v>
      </c>
      <c r="C8" s="743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741" t="s">
        <v>15</v>
      </c>
      <c r="C9" s="710">
        <v>0</v>
      </c>
      <c r="D9" s="4"/>
      <c r="F9" s="3" t="s">
        <v>16</v>
      </c>
      <c r="H9" s="4"/>
    </row>
    <row r="10" spans="1:8" ht="16.8" thickTop="1" thickBot="1" x14ac:dyDescent="0.35">
      <c r="B10" s="740" t="s">
        <v>17</v>
      </c>
      <c r="C10" s="743">
        <f>C37</f>
        <v>9670.5743952241846</v>
      </c>
      <c r="D10" s="4"/>
      <c r="F10" s="3" t="s">
        <v>3</v>
      </c>
      <c r="H10" s="4"/>
    </row>
    <row r="11" spans="1:8" ht="16.8" thickTop="1" thickBot="1" x14ac:dyDescent="0.35">
      <c r="B11" s="740" t="s">
        <v>18</v>
      </c>
      <c r="C11" s="711">
        <v>0</v>
      </c>
      <c r="D11" s="4"/>
      <c r="F11" s="3" t="s">
        <v>323</v>
      </c>
      <c r="H11" s="4"/>
    </row>
    <row r="12" spans="1:8" ht="16.8" thickTop="1" thickBot="1" x14ac:dyDescent="0.35">
      <c r="B12" s="740" t="s">
        <v>19</v>
      </c>
      <c r="C12" s="743">
        <f>C10*C11</f>
        <v>0</v>
      </c>
      <c r="D12" s="4"/>
      <c r="F12" s="3" t="s">
        <v>501</v>
      </c>
      <c r="H12" s="10"/>
    </row>
    <row r="13" spans="1:8" ht="16.8" thickTop="1" thickBot="1" x14ac:dyDescent="0.35">
      <c r="B13" s="740" t="s">
        <v>20</v>
      </c>
      <c r="C13" s="712">
        <v>0.2</v>
      </c>
      <c r="D13" s="4"/>
      <c r="H13" s="4"/>
    </row>
    <row r="14" spans="1:8" ht="16.8" thickTop="1" thickBot="1" x14ac:dyDescent="0.35">
      <c r="A14" s="196"/>
      <c r="B14" s="742" t="s">
        <v>214</v>
      </c>
      <c r="C14" s="744">
        <f>C7-C9-C12-C8</f>
        <v>382449.41176470584</v>
      </c>
      <c r="D14" s="4"/>
      <c r="H14" s="4"/>
    </row>
    <row r="15" spans="1:8" ht="16.2" thickBot="1" x14ac:dyDescent="0.35">
      <c r="B15" s="907" t="s">
        <v>21</v>
      </c>
      <c r="C15" s="908"/>
      <c r="D15" s="4"/>
      <c r="H15" s="4"/>
    </row>
    <row r="16" spans="1:8" ht="15.6" x14ac:dyDescent="0.3">
      <c r="B16" s="745" t="s">
        <v>22</v>
      </c>
      <c r="C16" s="746">
        <f>C14*C13</f>
        <v>76489.882352941175</v>
      </c>
      <c r="D16" s="4"/>
      <c r="H16" s="4"/>
    </row>
    <row r="17" spans="2:9" ht="15.6" x14ac:dyDescent="0.3">
      <c r="B17" s="747" t="s">
        <v>234</v>
      </c>
      <c r="C17" s="748">
        <f>C14*4.5%</f>
        <v>17210.223529411764</v>
      </c>
      <c r="D17" s="8" t="s">
        <v>23</v>
      </c>
      <c r="H17" s="4"/>
    </row>
    <row r="18" spans="2:9" ht="16.2" thickBot="1" x14ac:dyDescent="0.35">
      <c r="B18" s="747" t="s">
        <v>24</v>
      </c>
      <c r="C18" s="748">
        <f>C9+C16+C17</f>
        <v>93700.105882352946</v>
      </c>
      <c r="D18" s="4"/>
      <c r="H18" s="4"/>
    </row>
    <row r="19" spans="2:9" ht="16.05" customHeight="1" thickTop="1" thickBot="1" x14ac:dyDescent="0.35">
      <c r="B19" s="749" t="s">
        <v>232</v>
      </c>
      <c r="C19" s="710">
        <v>208051</v>
      </c>
      <c r="D19" s="913" t="s">
        <v>235</v>
      </c>
      <c r="E19" s="914"/>
      <c r="F19" s="914"/>
      <c r="G19" s="914"/>
      <c r="H19" s="914"/>
    </row>
    <row r="20" spans="2:9" ht="21.75" customHeight="1" thickBot="1" x14ac:dyDescent="0.35">
      <c r="B20" s="909" t="s">
        <v>7</v>
      </c>
      <c r="C20" s="910"/>
      <c r="D20" s="8"/>
      <c r="E20" s="8"/>
      <c r="F20" s="8"/>
      <c r="G20" s="4"/>
      <c r="H20" s="4"/>
    </row>
    <row r="21" spans="2:9" ht="27.45" customHeight="1" x14ac:dyDescent="0.3">
      <c r="B21" s="750" t="s">
        <v>242</v>
      </c>
      <c r="C21" s="751" t="e">
        <f>C46*C6</f>
        <v>#DIV/0!</v>
      </c>
      <c r="D21" s="915" t="s">
        <v>25</v>
      </c>
      <c r="E21" s="916"/>
      <c r="F21" s="916"/>
      <c r="G21" s="916"/>
      <c r="H21" s="916"/>
      <c r="I21" s="244"/>
    </row>
    <row r="22" spans="2:9" ht="18.75" customHeight="1" x14ac:dyDescent="0.3">
      <c r="B22" s="752" t="str">
        <f>B66</f>
        <v>Conservative CF Multiplier Evaluation</v>
      </c>
      <c r="C22" s="753">
        <f>C78</f>
        <v>549125</v>
      </c>
      <c r="F22" s="4"/>
      <c r="G22" s="4"/>
      <c r="H22" s="4"/>
    </row>
    <row r="23" spans="2:9" ht="16.2" thickBot="1" x14ac:dyDescent="0.35">
      <c r="B23" s="752" t="str">
        <f>B47</f>
        <v>CF Multiplier Evaluation</v>
      </c>
      <c r="C23" s="753">
        <f>C59</f>
        <v>516823.52941176464</v>
      </c>
      <c r="H23" s="4"/>
    </row>
    <row r="24" spans="2:9" ht="16.2" thickBot="1" x14ac:dyDescent="0.35">
      <c r="B24" s="911" t="s">
        <v>26</v>
      </c>
      <c r="C24" s="912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70" t="s">
        <v>29</v>
      </c>
      <c r="C26" s="311">
        <f>'Mortgage Caculator'!C11</f>
        <v>8179.9002911065363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98158.803493278436</v>
      </c>
      <c r="H27" s="4"/>
    </row>
    <row r="28" spans="2:9" ht="16.8" thickTop="1" thickBot="1" x14ac:dyDescent="0.35">
      <c r="B28" s="867" t="s">
        <v>32</v>
      </c>
      <c r="C28" s="870">
        <f>'ROI Number insert'!C5*'Calculating offering price'!I29</f>
        <v>3932.9457199999997</v>
      </c>
      <c r="D28" s="869" t="s">
        <v>211</v>
      </c>
      <c r="G28" s="863" t="str">
        <f>HYPERLINK("https://wowa.ca/taxes/" &amp; I28 &amp; "-property-tax", "Property tax rate web")</f>
        <v>Property tax rate web</v>
      </c>
      <c r="H28" s="864" t="s">
        <v>509</v>
      </c>
      <c r="I28" s="756" t="s">
        <v>510</v>
      </c>
    </row>
    <row r="29" spans="2:9" ht="16.8" thickTop="1" thickBot="1" x14ac:dyDescent="0.35">
      <c r="B29" s="328" t="s">
        <v>33</v>
      </c>
      <c r="C29" s="868">
        <f>C28/12</f>
        <v>327.74547666666666</v>
      </c>
      <c r="E29" s="15"/>
      <c r="F29" s="15"/>
      <c r="H29" s="865" t="s">
        <v>508</v>
      </c>
      <c r="I29" s="866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17" t="s">
        <v>35</v>
      </c>
      <c r="E30" s="916"/>
      <c r="F30" s="916"/>
      <c r="G30" s="916"/>
      <c r="H30" s="916"/>
    </row>
    <row r="31" spans="2:9" ht="16.5" customHeight="1" thickTop="1" thickBot="1" x14ac:dyDescent="0.35">
      <c r="B31" s="330" t="s">
        <v>246</v>
      </c>
      <c r="C31" s="710">
        <v>0</v>
      </c>
      <c r="D31" s="282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713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713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116046.89274269021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9670.5743952241846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714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714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714">
        <v>0</v>
      </c>
      <c r="D43" s="714">
        <v>0</v>
      </c>
      <c r="E43" s="714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710">
        <v>0</v>
      </c>
      <c r="D44" s="710">
        <v>0</v>
      </c>
      <c r="E44" s="710">
        <v>0</v>
      </c>
      <c r="F44" s="4"/>
      <c r="G44" s="914" t="s">
        <v>212</v>
      </c>
      <c r="H44" s="914"/>
      <c r="I44" s="914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715"/>
      <c r="C48" s="716" t="s">
        <v>56</v>
      </c>
      <c r="D48" s="732" t="s">
        <v>57</v>
      </c>
      <c r="E48" s="733" t="s">
        <v>58</v>
      </c>
      <c r="G48" s="4"/>
      <c r="H48" s="4"/>
    </row>
    <row r="49" spans="2:10" ht="16.8" thickTop="1" thickBot="1" x14ac:dyDescent="0.35">
      <c r="B49" s="717" t="s">
        <v>59</v>
      </c>
      <c r="C49" s="713">
        <v>5300</v>
      </c>
      <c r="D49" s="734">
        <v>0</v>
      </c>
      <c r="E49" s="734">
        <v>0</v>
      </c>
      <c r="F49" s="8" t="s">
        <v>60</v>
      </c>
      <c r="G49" s="4"/>
      <c r="H49" s="4"/>
    </row>
    <row r="50" spans="2:10" ht="15" customHeight="1" thickTop="1" thickBot="1" x14ac:dyDescent="0.35">
      <c r="B50" s="718" t="s">
        <v>61</v>
      </c>
      <c r="C50" s="714">
        <v>1</v>
      </c>
      <c r="D50" s="23" t="s">
        <v>503</v>
      </c>
      <c r="E50" s="24"/>
      <c r="F50" s="24"/>
      <c r="G50" s="24"/>
      <c r="H50" s="24"/>
      <c r="I50" s="25"/>
      <c r="J50" s="25"/>
    </row>
    <row r="51" spans="2:10" ht="16.2" thickTop="1" x14ac:dyDescent="0.3">
      <c r="B51" s="718" t="s">
        <v>62</v>
      </c>
      <c r="C51" s="719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718" t="s">
        <v>63</v>
      </c>
      <c r="C52" s="719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718" t="s">
        <v>64</v>
      </c>
      <c r="C53" s="71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718" t="s">
        <v>65</v>
      </c>
      <c r="C54" s="713">
        <v>0</v>
      </c>
      <c r="D54" s="26"/>
      <c r="E54" s="754"/>
      <c r="F54" s="24"/>
      <c r="G54" s="24"/>
      <c r="H54" s="24"/>
      <c r="I54" s="25"/>
      <c r="J54" s="25"/>
    </row>
    <row r="55" spans="2:10" ht="16.8" thickTop="1" thickBot="1" x14ac:dyDescent="0.35">
      <c r="B55" s="718" t="s">
        <v>66</v>
      </c>
      <c r="C55" s="71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718" t="s">
        <v>67</v>
      </c>
      <c r="C56" s="71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718" t="s">
        <v>68</v>
      </c>
      <c r="C57" s="719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720" t="s">
        <v>69</v>
      </c>
      <c r="C58" s="721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722" t="s">
        <v>7</v>
      </c>
      <c r="C59" s="723">
        <f>C58/0.85%</f>
        <v>516823.52941176464</v>
      </c>
      <c r="D59" s="24" t="s">
        <v>502</v>
      </c>
      <c r="E59" s="24"/>
      <c r="F59" s="24"/>
      <c r="G59" s="24"/>
      <c r="H59" s="24"/>
      <c r="I59" s="25"/>
      <c r="J59" s="25"/>
    </row>
    <row r="60" spans="2:10" ht="15.6" x14ac:dyDescent="0.3">
      <c r="B60" s="722" t="s">
        <v>5</v>
      </c>
      <c r="C60" s="723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724" t="s">
        <v>72</v>
      </c>
      <c r="C61" s="725">
        <f>C14*0.6%</f>
        <v>2294.6964705882351</v>
      </c>
      <c r="D61" s="904" t="s">
        <v>213</v>
      </c>
      <c r="E61" s="904"/>
      <c r="F61" s="904"/>
      <c r="G61" s="904"/>
      <c r="H61" s="904"/>
      <c r="I61" s="23"/>
      <c r="J61" s="23"/>
    </row>
    <row r="62" spans="2:10" s="32" customFormat="1" ht="15.6" x14ac:dyDescent="0.3">
      <c r="B62" s="726" t="s">
        <v>74</v>
      </c>
      <c r="C62" s="727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728" t="s">
        <v>76</v>
      </c>
      <c r="C63" s="729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730" t="s">
        <v>78</v>
      </c>
      <c r="C64" s="731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18" t="s">
        <v>73</v>
      </c>
      <c r="E80" s="918"/>
      <c r="F80" s="918"/>
      <c r="G80" s="918"/>
      <c r="H80" s="918"/>
      <c r="I80" s="918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19" t="s">
        <v>81</v>
      </c>
      <c r="C86" s="920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735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44973</v>
      </c>
      <c r="D89" s="2"/>
    </row>
    <row r="90" spans="2:9" ht="15.6" x14ac:dyDescent="0.3">
      <c r="B90" s="356" t="s">
        <v>251</v>
      </c>
      <c r="C90" s="287">
        <f ca="1">C89+C88*366</f>
        <v>46803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203280.31548160012</v>
      </c>
    </row>
    <row r="94" spans="2:9" ht="15.6" x14ac:dyDescent="0.3">
      <c r="B94" s="359" t="s">
        <v>95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FV(C87,C88,,-'ROI Number insert'!F3)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.600000000000001" thickBot="1" x14ac:dyDescent="0.4">
      <c r="B98" s="921" t="s">
        <v>219</v>
      </c>
      <c r="C98" s="922"/>
    </row>
    <row r="99" spans="2:4" ht="16.8" thickTop="1" thickBot="1" x14ac:dyDescent="0.35">
      <c r="B99" s="363" t="s">
        <v>82</v>
      </c>
      <c r="C99" s="736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48633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292938.83013993595</v>
      </c>
    </row>
    <row r="105" spans="2:4" ht="15.6" x14ac:dyDescent="0.3">
      <c r="B105" s="365" t="s">
        <v>95</v>
      </c>
      <c r="C105" s="49">
        <f>C94</f>
        <v>1550000</v>
      </c>
    </row>
    <row r="106" spans="2:4" ht="15.6" x14ac:dyDescent="0.3">
      <c r="B106" s="363" t="s">
        <v>89</v>
      </c>
      <c r="C106" s="47">
        <f>FV(C99,C100,,-'ROI Number insert'!F3)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.600000000000001" thickBot="1" x14ac:dyDescent="0.4">
      <c r="B109" s="902" t="s">
        <v>220</v>
      </c>
      <c r="C109" s="903"/>
    </row>
    <row r="110" spans="2:4" ht="16.8" thickTop="1" thickBot="1" x14ac:dyDescent="0.35">
      <c r="B110" s="366" t="s">
        <v>82</v>
      </c>
      <c r="C110" s="736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50463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587238.92125871731</v>
      </c>
    </row>
    <row r="116" spans="2:3" ht="15.6" x14ac:dyDescent="0.3">
      <c r="B116" s="368" t="s">
        <v>95</v>
      </c>
      <c r="C116" s="195">
        <f>C94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sheetProtection algorithmName="SHA-512" hashValue="IU7cBvFSMynHp4N/vALORpenILIbYUcnk7cdL8DyZTN+eKPrssu/ZJtDTkyTGUJCcr2G5LrMqja+P5irGj7Q5w==" saltValue="yGWzkvckOpKwguxyNsrQ3A==" spinCount="100000" sheet="1" objects="1" scenarios="1"/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disablePrompts="1"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F9" sqref="F9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17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708" t="s">
        <v>454</v>
      </c>
      <c r="C1" s="1"/>
      <c r="E1" s="925" t="s">
        <v>93</v>
      </c>
      <c r="F1" s="925"/>
      <c r="G1" s="925"/>
      <c r="H1" s="925"/>
      <c r="I1" s="925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755">
        <v>44973</v>
      </c>
      <c r="E2" s="767" t="s">
        <v>5</v>
      </c>
      <c r="F2" s="768">
        <f>'Calculating offering price'!C4</f>
        <v>1588000</v>
      </c>
      <c r="G2" s="52"/>
      <c r="H2" s="926" t="s">
        <v>94</v>
      </c>
      <c r="I2" s="927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756">
        <v>10267800</v>
      </c>
      <c r="D3" s="310"/>
      <c r="E3" s="766" t="s">
        <v>95</v>
      </c>
      <c r="F3" s="713">
        <v>1550000</v>
      </c>
      <c r="G3" s="285" t="s">
        <v>248</v>
      </c>
      <c r="H3" s="858" t="s">
        <v>96</v>
      </c>
      <c r="I3" s="859" cm="1">
        <f t="array" ref="I3">_xlfn.IFS(F3&lt;200000, 1%, OR(F3&gt;200001, F3&lt;2000000), 2%, F3&gt;2000001, 3%)</f>
        <v>0.02</v>
      </c>
      <c r="J3" s="1"/>
      <c r="K3" s="860"/>
      <c r="L3" s="1"/>
      <c r="M3" s="1"/>
      <c r="N3" s="1"/>
    </row>
    <row r="4" spans="1:14" ht="30" thickTop="1" thickBot="1" x14ac:dyDescent="0.35">
      <c r="B4" s="308" t="s">
        <v>272</v>
      </c>
      <c r="C4" s="855" t="s">
        <v>511</v>
      </c>
      <c r="D4" s="304"/>
      <c r="E4" s="302" t="s">
        <v>97</v>
      </c>
      <c r="F4" s="711">
        <v>25</v>
      </c>
      <c r="G4" s="285" t="s">
        <v>249</v>
      </c>
      <c r="H4" s="53" t="s">
        <v>98</v>
      </c>
      <c r="I4" s="857">
        <f>F3*I3</f>
        <v>31000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757">
        <v>1403000</v>
      </c>
      <c r="D5" s="304"/>
      <c r="E5" s="303" t="s">
        <v>99</v>
      </c>
      <c r="F5" s="758">
        <v>6.25E-2</v>
      </c>
      <c r="G5" s="1"/>
      <c r="H5" s="53" t="s">
        <v>100</v>
      </c>
      <c r="I5" s="734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758">
        <v>0.02</v>
      </c>
      <c r="G6" s="1"/>
      <c r="H6" s="53" t="s">
        <v>102</v>
      </c>
      <c r="I6" s="734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758">
        <v>3.85E-2</v>
      </c>
      <c r="G7" s="1"/>
      <c r="H7" s="57" t="s">
        <v>103</v>
      </c>
      <c r="I7" s="809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758">
        <v>0.02</v>
      </c>
      <c r="G8" s="1"/>
      <c r="H8" s="57" t="s">
        <v>105</v>
      </c>
      <c r="I8" s="810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15500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51400</v>
      </c>
      <c r="G10" s="1"/>
      <c r="H10" s="928" t="s">
        <v>26</v>
      </c>
      <c r="I10" s="929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310000</v>
      </c>
      <c r="G11" s="1"/>
      <c r="H11" s="279" t="s">
        <v>27</v>
      </c>
      <c r="I11" s="280">
        <f>F12</f>
        <v>1240000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1240000</v>
      </c>
      <c r="G12" s="1"/>
      <c r="H12" s="198" t="s">
        <v>110</v>
      </c>
      <c r="I12" s="65">
        <f>'Calculating offering price'!C26</f>
        <v>8179.9002911065363</v>
      </c>
      <c r="J12" s="1"/>
      <c r="K12" s="1"/>
      <c r="L12" s="1"/>
      <c r="M12" s="1"/>
      <c r="N12" s="1"/>
    </row>
    <row r="13" spans="1:14" ht="31.2" x14ac:dyDescent="0.3">
      <c r="C13" s="1"/>
      <c r="E13" s="762" t="s">
        <v>15</v>
      </c>
      <c r="F13" s="802">
        <f>'Calculating offering price'!C9</f>
        <v>0</v>
      </c>
      <c r="G13" s="1"/>
      <c r="H13" s="67" t="s">
        <v>31</v>
      </c>
      <c r="I13" s="68">
        <f>I12*12</f>
        <v>98158.803493278436</v>
      </c>
      <c r="J13" s="1"/>
      <c r="K13" s="1"/>
      <c r="L13" s="1"/>
      <c r="M13" s="1"/>
      <c r="N13" s="1"/>
    </row>
    <row r="14" spans="1:14" x14ac:dyDescent="0.3">
      <c r="C14" s="1"/>
      <c r="E14" s="801" t="s">
        <v>215</v>
      </c>
      <c r="F14" s="804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63" t="s">
        <v>26</v>
      </c>
      <c r="F15" s="803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64" t="s">
        <v>216</v>
      </c>
      <c r="F16" s="765">
        <f>I23</f>
        <v>9670.5743952241846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760" t="s">
        <v>209</v>
      </c>
      <c r="F17" s="713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761" t="s">
        <v>313</v>
      </c>
      <c r="F18" s="713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361400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361400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32" t="s">
        <v>117</v>
      </c>
      <c r="F22" s="933"/>
      <c r="G22" s="76"/>
      <c r="H22" s="84" t="s">
        <v>41</v>
      </c>
      <c r="I22" s="85">
        <f>I13+I14+I16+I18+I19+I21+I17</f>
        <v>116046.89274269021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9670.5743952241846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856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759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30" t="s">
        <v>187</v>
      </c>
      <c r="F28" s="931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8179.9002911065363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98158.803493278436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23" t="s">
        <v>239</v>
      </c>
      <c r="F31" s="924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806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805" t="s">
        <v>125</v>
      </c>
      <c r="F33" s="808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807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713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713">
        <v>0</v>
      </c>
      <c r="G40" s="1"/>
      <c r="H40" s="52"/>
      <c r="I40" s="1"/>
      <c r="J40" s="1"/>
      <c r="K40" s="1"/>
      <c r="L40" s="1"/>
      <c r="M40" s="1"/>
      <c r="N40" s="1"/>
    </row>
    <row r="41" spans="3:14" ht="16.2" thickTop="1" x14ac:dyDescent="0.3">
      <c r="C41" s="1"/>
      <c r="E41" s="107" t="s">
        <v>132</v>
      </c>
      <c r="F41" s="112">
        <f>F27*0.05</f>
        <v>3180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713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98158.803493278436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-60714.892742690201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-5059.5743952241837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sheetProtection algorithmName="SHA-512" hashValue="N9Ps8W4sHyRRld83u/tyFpnY3JO7zUkwUUeMfnwDZokXkul79yFlzEtf4SZufjV/3euGgxG0UHk/HgVGyS9GsA==" saltValue="muUS5z9qEgDkm9Vm4neTQg==" spinCount="100000" sheet="1" objects="1" scenarios="1"/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>
      <selection activeCell="D17" sqref="D17"/>
    </sheetView>
  </sheetViews>
  <sheetFormatPr defaultColWidth="8.77734375" defaultRowHeight="14.4" x14ac:dyDescent="0.3"/>
  <cols>
    <col min="1" max="1" width="13.77734375" style="561" customWidth="1"/>
    <col min="2" max="2" width="10.6640625" style="561" customWidth="1"/>
    <col min="3" max="3" width="12.21875" style="561" customWidth="1"/>
    <col min="4" max="4" width="16.21875" style="559" customWidth="1"/>
    <col min="5" max="5" width="16.6640625" style="559" customWidth="1"/>
    <col min="6" max="6" width="12.77734375" style="559" customWidth="1"/>
    <col min="7" max="7" width="16.109375" style="561" customWidth="1"/>
    <col min="8" max="8" width="8.77734375" style="561"/>
    <col min="9" max="9" width="26.44140625" style="561" customWidth="1"/>
    <col min="10" max="16384" width="8.77734375" style="561"/>
  </cols>
  <sheetData>
    <row r="1" spans="1:9" x14ac:dyDescent="0.3">
      <c r="A1" s="688" t="s">
        <v>454</v>
      </c>
    </row>
    <row r="2" spans="1:9" ht="15.6" x14ac:dyDescent="0.3">
      <c r="A2" s="935" t="s">
        <v>109</v>
      </c>
      <c r="B2" s="935"/>
      <c r="C2" s="559">
        <f>'ROI Number insert'!F12</f>
        <v>1240000</v>
      </c>
    </row>
    <row r="3" spans="1:9" ht="15.6" x14ac:dyDescent="0.3">
      <c r="A3" s="935" t="s">
        <v>161</v>
      </c>
      <c r="B3" s="935"/>
      <c r="C3" s="559">
        <f>'Mortgage Caculator'!C11</f>
        <v>8179.9002911065363</v>
      </c>
      <c r="I3"/>
    </row>
    <row r="4" spans="1:9" ht="15.6" x14ac:dyDescent="0.3">
      <c r="A4" s="935" t="s">
        <v>167</v>
      </c>
      <c r="B4" s="935"/>
      <c r="C4" s="560">
        <f>'ROI Number insert'!F5</f>
        <v>6.25E-2</v>
      </c>
      <c r="I4"/>
    </row>
    <row r="5" spans="1:9" ht="15.6" x14ac:dyDescent="0.3">
      <c r="A5" s="935" t="s">
        <v>168</v>
      </c>
      <c r="B5" s="935"/>
      <c r="C5" s="561">
        <f>'ROI Number insert'!F4</f>
        <v>25</v>
      </c>
      <c r="I5"/>
    </row>
    <row r="6" spans="1:9" ht="15.6" x14ac:dyDescent="0.3">
      <c r="A6" s="935" t="s">
        <v>169</v>
      </c>
      <c r="B6" s="935"/>
      <c r="C6" s="561">
        <f>'Mortgage Caculator'!C6</f>
        <v>12</v>
      </c>
      <c r="I6"/>
    </row>
    <row r="7" spans="1:9" ht="18" x14ac:dyDescent="0.35">
      <c r="A7" s="934" t="s">
        <v>170</v>
      </c>
      <c r="B7" s="934"/>
      <c r="C7" s="934"/>
      <c r="D7" s="934"/>
      <c r="E7" s="934"/>
      <c r="F7" s="934"/>
      <c r="G7" s="934"/>
      <c r="I7"/>
    </row>
    <row r="8" spans="1:9" s="586" customFormat="1" ht="31.2" x14ac:dyDescent="0.3">
      <c r="A8" s="584" t="s">
        <v>171</v>
      </c>
      <c r="B8" s="584" t="s">
        <v>172</v>
      </c>
      <c r="C8" s="584" t="s">
        <v>173</v>
      </c>
      <c r="D8" s="585" t="s">
        <v>174</v>
      </c>
      <c r="E8" s="585" t="s">
        <v>175</v>
      </c>
      <c r="F8" s="585" t="s">
        <v>176</v>
      </c>
      <c r="G8" s="584" t="s">
        <v>177</v>
      </c>
      <c r="I8"/>
    </row>
    <row r="9" spans="1:9" x14ac:dyDescent="0.3">
      <c r="B9" s="561">
        <v>0</v>
      </c>
      <c r="C9" s="559">
        <f>IF($C$3&lt;G9+(G9*($C$4/$C$6)),$C$3,G9+(G9*($C$4/$C$6)))</f>
        <v>8179.9002911065363</v>
      </c>
      <c r="D9" s="559">
        <f>G9*$C$4/$C$6</f>
        <v>6458.333333333333</v>
      </c>
      <c r="E9" s="559">
        <f>C9-D9</f>
        <v>1721.5669577732033</v>
      </c>
      <c r="G9" s="559">
        <f>C2</f>
        <v>1240000</v>
      </c>
      <c r="I9"/>
    </row>
    <row r="10" spans="1:9" x14ac:dyDescent="0.3">
      <c r="B10" s="561">
        <v>1</v>
      </c>
      <c r="C10" s="559">
        <f t="shared" ref="C10:C73" si="0">IF($C$3&lt;G10+(G10*($C$4/$C$6)),$C$3,G10+(G10*($C$4/$C$6)))</f>
        <v>8179.9002911065363</v>
      </c>
      <c r="D10" s="559">
        <f t="shared" ref="D10:D73" si="1">G10*$C$4/$C$6</f>
        <v>6449.366838761598</v>
      </c>
      <c r="E10" s="559">
        <f t="shared" ref="E10:E73" si="2">C10-D10</f>
        <v>1730.5334523449383</v>
      </c>
      <c r="G10" s="559">
        <f>G9-E9-F9</f>
        <v>1238278.4330422268</v>
      </c>
      <c r="I10"/>
    </row>
    <row r="11" spans="1:9" x14ac:dyDescent="0.3">
      <c r="B11" s="561">
        <v>2</v>
      </c>
      <c r="C11" s="559">
        <f t="shared" si="0"/>
        <v>8179.9002911065363</v>
      </c>
      <c r="D11" s="559">
        <f t="shared" si="1"/>
        <v>6440.3536436973018</v>
      </c>
      <c r="E11" s="559">
        <f t="shared" si="2"/>
        <v>1739.5466474092345</v>
      </c>
      <c r="G11" s="559">
        <f t="shared" ref="G11:G74" si="3">G10-E10-F10</f>
        <v>1236547.899589882</v>
      </c>
      <c r="I11"/>
    </row>
    <row r="12" spans="1:9" x14ac:dyDescent="0.3">
      <c r="B12" s="561">
        <v>3</v>
      </c>
      <c r="C12" s="559">
        <f t="shared" si="0"/>
        <v>8179.9002911065363</v>
      </c>
      <c r="D12" s="559">
        <f t="shared" si="1"/>
        <v>6431.2935049087127</v>
      </c>
      <c r="E12" s="559">
        <f t="shared" si="2"/>
        <v>1748.6067861978236</v>
      </c>
      <c r="G12" s="559">
        <f t="shared" si="3"/>
        <v>1234808.3529424728</v>
      </c>
      <c r="I12"/>
    </row>
    <row r="13" spans="1:9" x14ac:dyDescent="0.3">
      <c r="B13" s="561">
        <v>4</v>
      </c>
      <c r="C13" s="559">
        <f t="shared" si="0"/>
        <v>8179.9002911065363</v>
      </c>
      <c r="D13" s="559">
        <f t="shared" si="1"/>
        <v>6422.1861778972661</v>
      </c>
      <c r="E13" s="559">
        <f t="shared" si="2"/>
        <v>1757.7141132092702</v>
      </c>
      <c r="G13" s="559">
        <f t="shared" si="3"/>
        <v>1233059.746156275</v>
      </c>
      <c r="I13"/>
    </row>
    <row r="14" spans="1:9" x14ac:dyDescent="0.3">
      <c r="B14" s="561">
        <v>5</v>
      </c>
      <c r="C14" s="559">
        <f t="shared" si="0"/>
        <v>8179.9002911065363</v>
      </c>
      <c r="D14" s="559">
        <f t="shared" si="1"/>
        <v>6413.0314168909681</v>
      </c>
      <c r="E14" s="559">
        <f t="shared" si="2"/>
        <v>1766.8688742155682</v>
      </c>
      <c r="G14" s="559">
        <f t="shared" si="3"/>
        <v>1231302.0320430659</v>
      </c>
      <c r="I14"/>
    </row>
    <row r="15" spans="1:9" x14ac:dyDescent="0.3">
      <c r="B15" s="561">
        <v>6</v>
      </c>
      <c r="C15" s="559">
        <f t="shared" si="0"/>
        <v>8179.9002911065363</v>
      </c>
      <c r="D15" s="559">
        <f t="shared" si="1"/>
        <v>6403.828974837762</v>
      </c>
      <c r="E15" s="559">
        <f t="shared" si="2"/>
        <v>1776.0713162687744</v>
      </c>
      <c r="G15" s="559">
        <f t="shared" si="3"/>
        <v>1229535.1631688504</v>
      </c>
      <c r="I15"/>
    </row>
    <row r="16" spans="1:9" x14ac:dyDescent="0.3">
      <c r="B16" s="561">
        <v>7</v>
      </c>
      <c r="C16" s="559">
        <f t="shared" si="0"/>
        <v>8179.9002911065363</v>
      </c>
      <c r="D16" s="559">
        <f t="shared" si="1"/>
        <v>6394.5786033988625</v>
      </c>
      <c r="E16" s="559">
        <f t="shared" si="2"/>
        <v>1785.3216877076738</v>
      </c>
      <c r="G16" s="559">
        <f t="shared" si="3"/>
        <v>1227759.0918525816</v>
      </c>
      <c r="I16"/>
    </row>
    <row r="17" spans="2:9" x14ac:dyDescent="0.3">
      <c r="B17" s="561">
        <v>8</v>
      </c>
      <c r="C17" s="559">
        <f t="shared" si="0"/>
        <v>8179.9002911065363</v>
      </c>
      <c r="D17" s="559">
        <f t="shared" si="1"/>
        <v>6385.280052942052</v>
      </c>
      <c r="E17" s="559">
        <f t="shared" si="2"/>
        <v>1794.6202381644844</v>
      </c>
      <c r="G17" s="559">
        <f t="shared" si="3"/>
        <v>1225973.7701648739</v>
      </c>
      <c r="I17"/>
    </row>
    <row r="18" spans="2:9" x14ac:dyDescent="0.3">
      <c r="B18" s="561">
        <v>9</v>
      </c>
      <c r="C18" s="559">
        <f t="shared" si="0"/>
        <v>8179.9002911065363</v>
      </c>
      <c r="D18" s="559">
        <f t="shared" si="1"/>
        <v>6375.9330725349455</v>
      </c>
      <c r="E18" s="559">
        <f t="shared" si="2"/>
        <v>1803.9672185715908</v>
      </c>
      <c r="G18" s="559">
        <f t="shared" si="3"/>
        <v>1224179.1499267095</v>
      </c>
    </row>
    <row r="19" spans="2:9" x14ac:dyDescent="0.3">
      <c r="B19" s="561">
        <v>10</v>
      </c>
      <c r="C19" s="559">
        <f t="shared" si="0"/>
        <v>8179.9002911065363</v>
      </c>
      <c r="D19" s="559">
        <f t="shared" si="1"/>
        <v>6366.5374099382179</v>
      </c>
      <c r="E19" s="559">
        <f t="shared" si="2"/>
        <v>1813.3628811683184</v>
      </c>
      <c r="G19" s="559">
        <f t="shared" si="3"/>
        <v>1222375.1827081379</v>
      </c>
    </row>
    <row r="20" spans="2:9" x14ac:dyDescent="0.3">
      <c r="B20" s="561">
        <v>11</v>
      </c>
      <c r="C20" s="559">
        <f t="shared" si="0"/>
        <v>8179.9002911065363</v>
      </c>
      <c r="D20" s="559">
        <f t="shared" si="1"/>
        <v>6357.0928115987999</v>
      </c>
      <c r="E20" s="559">
        <f t="shared" si="2"/>
        <v>1822.8074795077364</v>
      </c>
      <c r="G20" s="559">
        <f t="shared" si="3"/>
        <v>1220561.8198269696</v>
      </c>
    </row>
    <row r="21" spans="2:9" x14ac:dyDescent="0.3">
      <c r="B21" s="561">
        <v>12</v>
      </c>
      <c r="C21" s="559">
        <f t="shared" si="0"/>
        <v>8179.9002911065363</v>
      </c>
      <c r="D21" s="559">
        <f t="shared" si="1"/>
        <v>6347.5990226430304</v>
      </c>
      <c r="E21" s="559">
        <f t="shared" si="2"/>
        <v>1832.3012684635059</v>
      </c>
      <c r="G21" s="559">
        <f t="shared" si="3"/>
        <v>1218739.0123474619</v>
      </c>
    </row>
    <row r="22" spans="2:9" x14ac:dyDescent="0.3">
      <c r="B22" s="561">
        <v>13</v>
      </c>
      <c r="C22" s="559">
        <f t="shared" si="0"/>
        <v>8179.9002911065363</v>
      </c>
      <c r="D22" s="559">
        <f t="shared" si="1"/>
        <v>6338.0557868697833</v>
      </c>
      <c r="E22" s="559">
        <f t="shared" si="2"/>
        <v>1841.844504236753</v>
      </c>
      <c r="G22" s="559">
        <f t="shared" si="3"/>
        <v>1216906.7110789984</v>
      </c>
    </row>
    <row r="23" spans="2:9" x14ac:dyDescent="0.3">
      <c r="B23" s="561">
        <v>14</v>
      </c>
      <c r="C23" s="559">
        <f t="shared" si="0"/>
        <v>8179.9002911065363</v>
      </c>
      <c r="D23" s="559">
        <f t="shared" si="1"/>
        <v>6328.4628467435505</v>
      </c>
      <c r="E23" s="559">
        <f t="shared" si="2"/>
        <v>1851.4374443629858</v>
      </c>
      <c r="G23" s="559">
        <f t="shared" si="3"/>
        <v>1215064.8665747617</v>
      </c>
    </row>
    <row r="24" spans="2:9" x14ac:dyDescent="0.3">
      <c r="B24" s="561">
        <v>15</v>
      </c>
      <c r="C24" s="559">
        <f t="shared" si="0"/>
        <v>8179.9002911065363</v>
      </c>
      <c r="D24" s="559">
        <f t="shared" si="1"/>
        <v>6318.8199433874934</v>
      </c>
      <c r="E24" s="559">
        <f t="shared" si="2"/>
        <v>1861.0803477190429</v>
      </c>
      <c r="G24" s="559">
        <f t="shared" si="3"/>
        <v>1213213.4291303987</v>
      </c>
    </row>
    <row r="25" spans="2:9" x14ac:dyDescent="0.3">
      <c r="B25" s="561">
        <v>16</v>
      </c>
      <c r="C25" s="559">
        <f t="shared" si="0"/>
        <v>8179.9002911065363</v>
      </c>
      <c r="D25" s="559">
        <f t="shared" si="1"/>
        <v>6309.1268165764559</v>
      </c>
      <c r="E25" s="559">
        <f t="shared" si="2"/>
        <v>1870.7734745300804</v>
      </c>
      <c r="G25" s="559">
        <f t="shared" si="3"/>
        <v>1211352.3487826795</v>
      </c>
    </row>
    <row r="26" spans="2:9" x14ac:dyDescent="0.3">
      <c r="B26" s="561">
        <v>17</v>
      </c>
      <c r="C26" s="559">
        <f t="shared" si="0"/>
        <v>8179.9002911065363</v>
      </c>
      <c r="D26" s="559">
        <f t="shared" si="1"/>
        <v>6299.3832047299447</v>
      </c>
      <c r="E26" s="559">
        <f t="shared" si="2"/>
        <v>1880.5170863765916</v>
      </c>
      <c r="G26" s="559">
        <f t="shared" si="3"/>
        <v>1209481.5753081494</v>
      </c>
    </row>
    <row r="27" spans="2:9" x14ac:dyDescent="0.3">
      <c r="B27" s="561">
        <v>18</v>
      </c>
      <c r="C27" s="559">
        <f t="shared" si="0"/>
        <v>8179.9002911065363</v>
      </c>
      <c r="D27" s="559">
        <f t="shared" si="1"/>
        <v>6289.5888449050663</v>
      </c>
      <c r="E27" s="559">
        <f t="shared" si="2"/>
        <v>1890.3114462014701</v>
      </c>
      <c r="G27" s="559">
        <f t="shared" si="3"/>
        <v>1207601.0582217728</v>
      </c>
    </row>
    <row r="28" spans="2:9" x14ac:dyDescent="0.3">
      <c r="B28" s="561">
        <v>19</v>
      </c>
      <c r="C28" s="559">
        <f t="shared" si="0"/>
        <v>8179.9002911065363</v>
      </c>
      <c r="D28" s="559">
        <f t="shared" si="1"/>
        <v>6279.7434727894333</v>
      </c>
      <c r="E28" s="559">
        <f t="shared" si="2"/>
        <v>1900.156818317103</v>
      </c>
      <c r="G28" s="559">
        <f t="shared" si="3"/>
        <v>1205710.7467755713</v>
      </c>
    </row>
    <row r="29" spans="2:9" x14ac:dyDescent="0.3">
      <c r="B29" s="561">
        <v>20</v>
      </c>
      <c r="C29" s="559">
        <f t="shared" si="0"/>
        <v>8179.9002911065363</v>
      </c>
      <c r="D29" s="559">
        <f t="shared" si="1"/>
        <v>6269.8468226940322</v>
      </c>
      <c r="E29" s="559">
        <f t="shared" si="2"/>
        <v>1910.0534684125041</v>
      </c>
      <c r="G29" s="559">
        <f t="shared" si="3"/>
        <v>1203810.5899572542</v>
      </c>
    </row>
    <row r="30" spans="2:9" x14ac:dyDescent="0.3">
      <c r="B30" s="561">
        <v>21</v>
      </c>
      <c r="C30" s="559">
        <f t="shared" si="0"/>
        <v>8179.9002911065363</v>
      </c>
      <c r="D30" s="559">
        <f t="shared" si="1"/>
        <v>6259.8986275460511</v>
      </c>
      <c r="E30" s="559">
        <f t="shared" si="2"/>
        <v>1920.0016635604852</v>
      </c>
      <c r="G30" s="559">
        <f t="shared" si="3"/>
        <v>1201900.5364888418</v>
      </c>
    </row>
    <row r="31" spans="2:9" x14ac:dyDescent="0.3">
      <c r="B31" s="561">
        <v>22</v>
      </c>
      <c r="C31" s="559">
        <f t="shared" si="0"/>
        <v>8179.9002911065363</v>
      </c>
      <c r="D31" s="559">
        <f t="shared" si="1"/>
        <v>6249.8986188816734</v>
      </c>
      <c r="E31" s="559">
        <f t="shared" si="2"/>
        <v>1930.0016722248629</v>
      </c>
      <c r="G31" s="559">
        <f t="shared" si="3"/>
        <v>1199980.5348252812</v>
      </c>
    </row>
    <row r="32" spans="2:9" x14ac:dyDescent="0.3">
      <c r="B32" s="561">
        <v>23</v>
      </c>
      <c r="C32" s="559">
        <f t="shared" si="0"/>
        <v>8179.9002911065363</v>
      </c>
      <c r="D32" s="559">
        <f t="shared" si="1"/>
        <v>6239.8465268388354</v>
      </c>
      <c r="E32" s="559">
        <f t="shared" si="2"/>
        <v>1940.0537642677009</v>
      </c>
      <c r="G32" s="559">
        <f t="shared" si="3"/>
        <v>1198050.5331530564</v>
      </c>
    </row>
    <row r="33" spans="2:7" x14ac:dyDescent="0.3">
      <c r="B33" s="561">
        <v>24</v>
      </c>
      <c r="C33" s="559">
        <f t="shared" si="0"/>
        <v>8179.9002911065363</v>
      </c>
      <c r="D33" s="559">
        <f t="shared" si="1"/>
        <v>6229.742080149942</v>
      </c>
      <c r="E33" s="559">
        <f t="shared" si="2"/>
        <v>1950.1582109565943</v>
      </c>
      <c r="G33" s="559">
        <f t="shared" si="3"/>
        <v>1196110.4793887888</v>
      </c>
    </row>
    <row r="34" spans="2:7" x14ac:dyDescent="0.3">
      <c r="B34" s="561">
        <v>25</v>
      </c>
      <c r="C34" s="559">
        <f t="shared" si="0"/>
        <v>8179.9002911065363</v>
      </c>
      <c r="D34" s="559">
        <f t="shared" si="1"/>
        <v>6219.5850061345436</v>
      </c>
      <c r="E34" s="559">
        <f t="shared" si="2"/>
        <v>1960.3152849719927</v>
      </c>
      <c r="G34" s="559">
        <f t="shared" si="3"/>
        <v>1194160.3211778323</v>
      </c>
    </row>
    <row r="35" spans="2:7" x14ac:dyDescent="0.3">
      <c r="B35" s="561">
        <v>26</v>
      </c>
      <c r="C35" s="559">
        <f t="shared" si="0"/>
        <v>8179.9002911065363</v>
      </c>
      <c r="D35" s="559">
        <f t="shared" si="1"/>
        <v>6209.3750306919801</v>
      </c>
      <c r="E35" s="559">
        <f t="shared" si="2"/>
        <v>1970.5252604145562</v>
      </c>
      <c r="G35" s="559">
        <f t="shared" si="3"/>
        <v>1192200.0058928602</v>
      </c>
    </row>
    <row r="36" spans="2:7" x14ac:dyDescent="0.3">
      <c r="B36" s="561">
        <v>27</v>
      </c>
      <c r="C36" s="559">
        <f t="shared" si="0"/>
        <v>8179.9002911065363</v>
      </c>
      <c r="D36" s="559">
        <f t="shared" si="1"/>
        <v>6199.1118782939884</v>
      </c>
      <c r="E36" s="559">
        <f t="shared" si="2"/>
        <v>1980.7884128125479</v>
      </c>
      <c r="G36" s="559">
        <f t="shared" si="3"/>
        <v>1190229.4806324458</v>
      </c>
    </row>
    <row r="37" spans="2:7" x14ac:dyDescent="0.3">
      <c r="B37" s="561">
        <v>28</v>
      </c>
      <c r="C37" s="559">
        <f t="shared" si="0"/>
        <v>8179.9002911065363</v>
      </c>
      <c r="D37" s="559">
        <f t="shared" si="1"/>
        <v>6188.7952719772557</v>
      </c>
      <c r="E37" s="559">
        <f t="shared" si="2"/>
        <v>1991.1050191292807</v>
      </c>
      <c r="G37" s="559">
        <f t="shared" si="3"/>
        <v>1188248.6922196331</v>
      </c>
    </row>
    <row r="38" spans="2:7" x14ac:dyDescent="0.3">
      <c r="B38" s="561">
        <v>29</v>
      </c>
      <c r="C38" s="559">
        <f t="shared" si="0"/>
        <v>8179.9002911065363</v>
      </c>
      <c r="D38" s="559">
        <f t="shared" si="1"/>
        <v>6178.4249333359576</v>
      </c>
      <c r="E38" s="559">
        <f t="shared" si="2"/>
        <v>2001.4753577705787</v>
      </c>
      <c r="G38" s="559">
        <f t="shared" si="3"/>
        <v>1186257.5872005038</v>
      </c>
    </row>
    <row r="39" spans="2:7" x14ac:dyDescent="0.3">
      <c r="B39" s="561">
        <v>30</v>
      </c>
      <c r="C39" s="559">
        <f t="shared" si="0"/>
        <v>8179.9002911065363</v>
      </c>
      <c r="D39" s="559">
        <f t="shared" si="1"/>
        <v>6168.0005825142352</v>
      </c>
      <c r="E39" s="559">
        <f t="shared" si="2"/>
        <v>2011.8997085923011</v>
      </c>
      <c r="G39" s="559">
        <f t="shared" si="3"/>
        <v>1184256.1118427331</v>
      </c>
    </row>
    <row r="40" spans="2:7" x14ac:dyDescent="0.3">
      <c r="B40" s="561">
        <v>31</v>
      </c>
      <c r="C40" s="559">
        <f t="shared" si="0"/>
        <v>8179.9002911065363</v>
      </c>
      <c r="D40" s="559">
        <f t="shared" si="1"/>
        <v>6157.5219381986499</v>
      </c>
      <c r="E40" s="559">
        <f t="shared" si="2"/>
        <v>2022.3783529078864</v>
      </c>
      <c r="G40" s="559">
        <f t="shared" si="3"/>
        <v>1182244.2121341408</v>
      </c>
    </row>
    <row r="41" spans="2:7" x14ac:dyDescent="0.3">
      <c r="B41" s="561">
        <v>32</v>
      </c>
      <c r="C41" s="559">
        <f t="shared" si="0"/>
        <v>8179.9002911065363</v>
      </c>
      <c r="D41" s="559">
        <f t="shared" si="1"/>
        <v>6146.9887176105876</v>
      </c>
      <c r="E41" s="559">
        <f t="shared" si="2"/>
        <v>2032.9115734959487</v>
      </c>
      <c r="G41" s="559">
        <f t="shared" si="3"/>
        <v>1180221.8337812328</v>
      </c>
    </row>
    <row r="42" spans="2:7" x14ac:dyDescent="0.3">
      <c r="B42" s="561">
        <v>33</v>
      </c>
      <c r="C42" s="559">
        <f t="shared" si="0"/>
        <v>8179.9002911065363</v>
      </c>
      <c r="D42" s="559">
        <f t="shared" si="1"/>
        <v>6136.4006364986299</v>
      </c>
      <c r="E42" s="559">
        <f t="shared" si="2"/>
        <v>2043.4996546079065</v>
      </c>
      <c r="G42" s="559">
        <f t="shared" si="3"/>
        <v>1178188.9222077369</v>
      </c>
    </row>
    <row r="43" spans="2:7" x14ac:dyDescent="0.3">
      <c r="B43" s="561">
        <v>34</v>
      </c>
      <c r="C43" s="559">
        <f t="shared" si="0"/>
        <v>8179.9002911065363</v>
      </c>
      <c r="D43" s="559">
        <f t="shared" si="1"/>
        <v>6125.7574091308807</v>
      </c>
      <c r="E43" s="559">
        <f t="shared" si="2"/>
        <v>2054.1428819756557</v>
      </c>
      <c r="G43" s="559">
        <f t="shared" si="3"/>
        <v>1176145.422553129</v>
      </c>
    </row>
    <row r="44" spans="2:7" x14ac:dyDescent="0.3">
      <c r="B44" s="561">
        <v>35</v>
      </c>
      <c r="C44" s="559">
        <f t="shared" si="0"/>
        <v>8179.9002911065363</v>
      </c>
      <c r="D44" s="559">
        <f t="shared" si="1"/>
        <v>6115.058748287257</v>
      </c>
      <c r="E44" s="559">
        <f t="shared" si="2"/>
        <v>2064.8415428192793</v>
      </c>
      <c r="G44" s="559">
        <f t="shared" si="3"/>
        <v>1174091.2796711533</v>
      </c>
    </row>
    <row r="45" spans="2:7" x14ac:dyDescent="0.3">
      <c r="B45" s="561">
        <v>36</v>
      </c>
      <c r="C45" s="559">
        <f t="shared" si="0"/>
        <v>8179.9002911065363</v>
      </c>
      <c r="D45" s="559">
        <f t="shared" si="1"/>
        <v>6104.3043652517399</v>
      </c>
      <c r="E45" s="559">
        <f t="shared" si="2"/>
        <v>2075.5959258547964</v>
      </c>
      <c r="G45" s="559">
        <f t="shared" si="3"/>
        <v>1172026.438128334</v>
      </c>
    </row>
    <row r="46" spans="2:7" x14ac:dyDescent="0.3">
      <c r="B46" s="561">
        <v>37</v>
      </c>
      <c r="C46" s="559">
        <f t="shared" si="0"/>
        <v>8179.9002911065363</v>
      </c>
      <c r="D46" s="559">
        <f t="shared" si="1"/>
        <v>6093.4939698045791</v>
      </c>
      <c r="E46" s="559">
        <f t="shared" si="2"/>
        <v>2086.4063213019572</v>
      </c>
      <c r="G46" s="559">
        <f t="shared" si="3"/>
        <v>1169950.8422024793</v>
      </c>
    </row>
    <row r="47" spans="2:7" x14ac:dyDescent="0.3">
      <c r="B47" s="561">
        <v>38</v>
      </c>
      <c r="C47" s="559">
        <f t="shared" si="0"/>
        <v>8179.9002911065363</v>
      </c>
      <c r="D47" s="559">
        <f t="shared" si="1"/>
        <v>6082.6272702144643</v>
      </c>
      <c r="E47" s="559">
        <f t="shared" si="2"/>
        <v>2097.2730208920721</v>
      </c>
      <c r="G47" s="559">
        <f t="shared" si="3"/>
        <v>1167864.4358811772</v>
      </c>
    </row>
    <row r="48" spans="2:7" x14ac:dyDescent="0.3">
      <c r="B48" s="561">
        <v>39</v>
      </c>
      <c r="C48" s="559">
        <f t="shared" si="0"/>
        <v>8179.9002911065363</v>
      </c>
      <c r="D48" s="559">
        <f t="shared" si="1"/>
        <v>6071.7039732306512</v>
      </c>
      <c r="E48" s="559">
        <f t="shared" si="2"/>
        <v>2108.1963178758851</v>
      </c>
      <c r="G48" s="559">
        <f t="shared" si="3"/>
        <v>1165767.162860285</v>
      </c>
    </row>
    <row r="49" spans="2:7" x14ac:dyDescent="0.3">
      <c r="B49" s="561">
        <v>40</v>
      </c>
      <c r="C49" s="559">
        <f t="shared" si="0"/>
        <v>8179.9002911065363</v>
      </c>
      <c r="D49" s="559">
        <f t="shared" si="1"/>
        <v>6060.7237840750468</v>
      </c>
      <c r="E49" s="559">
        <f t="shared" si="2"/>
        <v>2119.1765070314896</v>
      </c>
      <c r="G49" s="559">
        <f t="shared" si="3"/>
        <v>1163658.966542409</v>
      </c>
    </row>
    <row r="50" spans="2:7" x14ac:dyDescent="0.3">
      <c r="B50" s="561">
        <v>41</v>
      </c>
      <c r="C50" s="559">
        <f t="shared" si="0"/>
        <v>8179.9002911065363</v>
      </c>
      <c r="D50" s="559">
        <f t="shared" si="1"/>
        <v>6049.6864064342581</v>
      </c>
      <c r="E50" s="559">
        <f t="shared" si="2"/>
        <v>2130.2138846722783</v>
      </c>
      <c r="G50" s="559">
        <f t="shared" si="3"/>
        <v>1161539.7900353775</v>
      </c>
    </row>
    <row r="51" spans="2:7" x14ac:dyDescent="0.3">
      <c r="B51" s="561">
        <v>42</v>
      </c>
      <c r="C51" s="559">
        <f t="shared" si="0"/>
        <v>8179.9002911065363</v>
      </c>
      <c r="D51" s="559">
        <f t="shared" si="1"/>
        <v>6038.5915424515888</v>
      </c>
      <c r="E51" s="559">
        <f t="shared" si="2"/>
        <v>2141.3087486549475</v>
      </c>
      <c r="G51" s="559">
        <f t="shared" si="3"/>
        <v>1159409.5761507051</v>
      </c>
    </row>
    <row r="52" spans="2:7" x14ac:dyDescent="0.3">
      <c r="B52" s="561">
        <v>43</v>
      </c>
      <c r="C52" s="559">
        <f t="shared" si="0"/>
        <v>8179.9002911065363</v>
      </c>
      <c r="D52" s="559">
        <f t="shared" si="1"/>
        <v>6027.4388927190112</v>
      </c>
      <c r="E52" s="559">
        <f t="shared" si="2"/>
        <v>2152.4613983875252</v>
      </c>
      <c r="G52" s="559">
        <f t="shared" si="3"/>
        <v>1157268.2674020501</v>
      </c>
    </row>
    <row r="53" spans="2:7" x14ac:dyDescent="0.3">
      <c r="B53" s="561">
        <v>44</v>
      </c>
      <c r="C53" s="559">
        <f t="shared" si="0"/>
        <v>8179.9002911065363</v>
      </c>
      <c r="D53" s="559">
        <f t="shared" si="1"/>
        <v>6016.228156269076</v>
      </c>
      <c r="E53" s="559">
        <f t="shared" si="2"/>
        <v>2163.6721348374604</v>
      </c>
      <c r="G53" s="559">
        <f t="shared" si="3"/>
        <v>1155115.8060036625</v>
      </c>
    </row>
    <row r="54" spans="2:7" x14ac:dyDescent="0.3">
      <c r="B54" s="561">
        <v>45</v>
      </c>
      <c r="C54" s="559">
        <f t="shared" si="0"/>
        <v>8179.9002911065363</v>
      </c>
      <c r="D54" s="559">
        <f t="shared" si="1"/>
        <v>6004.959030566798</v>
      </c>
      <c r="E54" s="559">
        <f t="shared" si="2"/>
        <v>2174.9412605397383</v>
      </c>
      <c r="G54" s="559">
        <f t="shared" si="3"/>
        <v>1152952.1338688252</v>
      </c>
    </row>
    <row r="55" spans="2:7" x14ac:dyDescent="0.3">
      <c r="B55" s="561">
        <v>46</v>
      </c>
      <c r="C55" s="559">
        <f t="shared" si="0"/>
        <v>8179.9002911065363</v>
      </c>
      <c r="D55" s="559">
        <f t="shared" si="1"/>
        <v>5993.6312115014871</v>
      </c>
      <c r="E55" s="559">
        <f t="shared" si="2"/>
        <v>2186.2690796050492</v>
      </c>
      <c r="G55" s="559">
        <f t="shared" si="3"/>
        <v>1150777.1926082855</v>
      </c>
    </row>
    <row r="56" spans="2:7" x14ac:dyDescent="0.3">
      <c r="B56" s="561">
        <v>47</v>
      </c>
      <c r="C56" s="559">
        <f t="shared" si="0"/>
        <v>8179.9002911065363</v>
      </c>
      <c r="D56" s="559">
        <f t="shared" si="1"/>
        <v>5982.2443933785435</v>
      </c>
      <c r="E56" s="559">
        <f t="shared" si="2"/>
        <v>2197.6558977279929</v>
      </c>
      <c r="G56" s="559">
        <f t="shared" si="3"/>
        <v>1148590.9235286803</v>
      </c>
    </row>
    <row r="57" spans="2:7" x14ac:dyDescent="0.3">
      <c r="B57" s="561">
        <v>48</v>
      </c>
      <c r="C57" s="559">
        <f t="shared" si="0"/>
        <v>8179.9002911065363</v>
      </c>
      <c r="D57" s="559">
        <f t="shared" si="1"/>
        <v>5970.7982689112105</v>
      </c>
      <c r="E57" s="559">
        <f t="shared" si="2"/>
        <v>2209.1020221953258</v>
      </c>
      <c r="G57" s="559">
        <f t="shared" si="3"/>
        <v>1146393.2676309524</v>
      </c>
    </row>
    <row r="58" spans="2:7" x14ac:dyDescent="0.3">
      <c r="B58" s="561">
        <v>49</v>
      </c>
      <c r="C58" s="559">
        <f t="shared" si="0"/>
        <v>8179.9002911065363</v>
      </c>
      <c r="D58" s="559">
        <f t="shared" si="1"/>
        <v>5959.2925292122773</v>
      </c>
      <c r="E58" s="559">
        <f t="shared" si="2"/>
        <v>2220.6077618942591</v>
      </c>
      <c r="G58" s="559">
        <f t="shared" si="3"/>
        <v>1144184.1656087572</v>
      </c>
    </row>
    <row r="59" spans="2:7" x14ac:dyDescent="0.3">
      <c r="B59" s="561">
        <v>50</v>
      </c>
      <c r="C59" s="559">
        <f t="shared" si="0"/>
        <v>8179.9002911065363</v>
      </c>
      <c r="D59" s="559">
        <f t="shared" si="1"/>
        <v>5947.7268637857442</v>
      </c>
      <c r="E59" s="559">
        <f t="shared" si="2"/>
        <v>2232.1734273207921</v>
      </c>
      <c r="G59" s="559">
        <f t="shared" si="3"/>
        <v>1141963.5578468628</v>
      </c>
    </row>
    <row r="60" spans="2:7" x14ac:dyDescent="0.3">
      <c r="B60" s="561">
        <v>51</v>
      </c>
      <c r="C60" s="559">
        <f t="shared" si="0"/>
        <v>8179.9002911065363</v>
      </c>
      <c r="D60" s="559">
        <f t="shared" si="1"/>
        <v>5936.1009605184481</v>
      </c>
      <c r="E60" s="559">
        <f t="shared" si="2"/>
        <v>2243.7993305880882</v>
      </c>
      <c r="G60" s="559">
        <f t="shared" si="3"/>
        <v>1139731.384419542</v>
      </c>
    </row>
    <row r="61" spans="2:7" x14ac:dyDescent="0.3">
      <c r="B61" s="561">
        <v>52</v>
      </c>
      <c r="C61" s="559">
        <f t="shared" si="0"/>
        <v>8179.9002911065363</v>
      </c>
      <c r="D61" s="559">
        <f t="shared" si="1"/>
        <v>5924.4145056716343</v>
      </c>
      <c r="E61" s="559">
        <f t="shared" si="2"/>
        <v>2255.485785434902</v>
      </c>
      <c r="G61" s="559">
        <f t="shared" si="3"/>
        <v>1137487.5850889538</v>
      </c>
    </row>
    <row r="62" spans="2:7" x14ac:dyDescent="0.3">
      <c r="B62" s="561">
        <v>53</v>
      </c>
      <c r="C62" s="559">
        <f t="shared" si="0"/>
        <v>8179.9002911065363</v>
      </c>
      <c r="D62" s="559">
        <f t="shared" si="1"/>
        <v>5912.6671838724942</v>
      </c>
      <c r="E62" s="559">
        <f t="shared" si="2"/>
        <v>2267.2331072340421</v>
      </c>
      <c r="G62" s="559">
        <f t="shared" si="3"/>
        <v>1135232.0993035189</v>
      </c>
    </row>
    <row r="63" spans="2:7" x14ac:dyDescent="0.3">
      <c r="B63" s="561">
        <v>54</v>
      </c>
      <c r="C63" s="559">
        <f t="shared" si="0"/>
        <v>8179.9002911065363</v>
      </c>
      <c r="D63" s="559">
        <f t="shared" si="1"/>
        <v>5900.8586781056501</v>
      </c>
      <c r="E63" s="559">
        <f t="shared" si="2"/>
        <v>2279.0416130008862</v>
      </c>
      <c r="G63" s="559">
        <f t="shared" si="3"/>
        <v>1132964.8661962848</v>
      </c>
    </row>
    <row r="64" spans="2:7" x14ac:dyDescent="0.3">
      <c r="B64" s="561">
        <v>55</v>
      </c>
      <c r="C64" s="559">
        <f t="shared" si="0"/>
        <v>8179.9002911065363</v>
      </c>
      <c r="D64" s="559">
        <f t="shared" si="1"/>
        <v>5888.9886697046031</v>
      </c>
      <c r="E64" s="559">
        <f t="shared" si="2"/>
        <v>2290.9116214019332</v>
      </c>
      <c r="G64" s="559">
        <f t="shared" si="3"/>
        <v>1130685.8245832839</v>
      </c>
    </row>
    <row r="65" spans="2:7" x14ac:dyDescent="0.3">
      <c r="B65" s="561">
        <v>56</v>
      </c>
      <c r="C65" s="559">
        <f t="shared" si="0"/>
        <v>8179.9002911065363</v>
      </c>
      <c r="D65" s="559">
        <f t="shared" si="1"/>
        <v>5877.0568383431346</v>
      </c>
      <c r="E65" s="559">
        <f t="shared" si="2"/>
        <v>2302.8434527634017</v>
      </c>
      <c r="G65" s="559">
        <f t="shared" si="3"/>
        <v>1128394.9129618818</v>
      </c>
    </row>
    <row r="66" spans="2:7" x14ac:dyDescent="0.3">
      <c r="B66" s="561">
        <v>57</v>
      </c>
      <c r="C66" s="559">
        <f t="shared" si="0"/>
        <v>8179.9002911065363</v>
      </c>
      <c r="D66" s="559">
        <f t="shared" si="1"/>
        <v>5865.062862026658</v>
      </c>
      <c r="E66" s="559">
        <f t="shared" si="2"/>
        <v>2314.8374290798783</v>
      </c>
      <c r="G66" s="559">
        <f t="shared" si="3"/>
        <v>1126092.0695091183</v>
      </c>
    </row>
    <row r="67" spans="2:7" x14ac:dyDescent="0.3">
      <c r="B67" s="561">
        <v>58</v>
      </c>
      <c r="C67" s="559">
        <f t="shared" si="0"/>
        <v>8179.9002911065363</v>
      </c>
      <c r="D67" s="559">
        <f t="shared" si="1"/>
        <v>5853.0064170835331</v>
      </c>
      <c r="E67" s="559">
        <f t="shared" si="2"/>
        <v>2326.8938740230033</v>
      </c>
      <c r="G67" s="559">
        <f t="shared" si="3"/>
        <v>1123777.2320800384</v>
      </c>
    </row>
    <row r="68" spans="2:7" x14ac:dyDescent="0.3">
      <c r="B68" s="561">
        <v>59</v>
      </c>
      <c r="C68" s="559">
        <f t="shared" si="0"/>
        <v>8179.9002911065363</v>
      </c>
      <c r="D68" s="559">
        <f t="shared" si="1"/>
        <v>5840.8871781563294</v>
      </c>
      <c r="E68" s="559">
        <f t="shared" si="2"/>
        <v>2339.013112950207</v>
      </c>
      <c r="G68" s="559">
        <f t="shared" si="3"/>
        <v>1121450.3382060153</v>
      </c>
    </row>
    <row r="69" spans="2:7" x14ac:dyDescent="0.3">
      <c r="B69" s="561">
        <v>60</v>
      </c>
      <c r="C69" s="559">
        <f t="shared" si="0"/>
        <v>8179.9002911065363</v>
      </c>
      <c r="D69" s="559">
        <f t="shared" si="1"/>
        <v>5828.7048181930477</v>
      </c>
      <c r="E69" s="559">
        <f t="shared" si="2"/>
        <v>2351.1954729134886</v>
      </c>
      <c r="G69" s="559">
        <f t="shared" si="3"/>
        <v>1119111.3250930652</v>
      </c>
    </row>
    <row r="70" spans="2:7" x14ac:dyDescent="0.3">
      <c r="B70" s="561">
        <v>61</v>
      </c>
      <c r="C70" s="559">
        <f t="shared" si="0"/>
        <v>8179.9002911065363</v>
      </c>
      <c r="D70" s="559">
        <f t="shared" si="1"/>
        <v>5816.4590084382899</v>
      </c>
      <c r="E70" s="559">
        <f t="shared" si="2"/>
        <v>2363.4412826682465</v>
      </c>
      <c r="G70" s="559">
        <f t="shared" si="3"/>
        <v>1116760.1296201516</v>
      </c>
    </row>
    <row r="71" spans="2:7" x14ac:dyDescent="0.3">
      <c r="B71" s="561">
        <v>62</v>
      </c>
      <c r="C71" s="559">
        <f t="shared" si="0"/>
        <v>8179.9002911065363</v>
      </c>
      <c r="D71" s="559">
        <f t="shared" si="1"/>
        <v>5804.1494184243929</v>
      </c>
      <c r="E71" s="559">
        <f t="shared" si="2"/>
        <v>2375.7508726821434</v>
      </c>
      <c r="G71" s="559">
        <f t="shared" si="3"/>
        <v>1114396.6883374834</v>
      </c>
    </row>
    <row r="72" spans="2:7" x14ac:dyDescent="0.3">
      <c r="B72" s="561">
        <v>63</v>
      </c>
      <c r="C72" s="559">
        <f t="shared" si="0"/>
        <v>8179.9002911065363</v>
      </c>
      <c r="D72" s="559">
        <f t="shared" si="1"/>
        <v>5791.7757159625071</v>
      </c>
      <c r="E72" s="559">
        <f t="shared" si="2"/>
        <v>2388.1245751440292</v>
      </c>
      <c r="G72" s="559">
        <f t="shared" si="3"/>
        <v>1112020.9374648014</v>
      </c>
    </row>
    <row r="73" spans="2:7" x14ac:dyDescent="0.3">
      <c r="B73" s="561">
        <v>64</v>
      </c>
      <c r="C73" s="559">
        <f t="shared" si="0"/>
        <v>8179.9002911065363</v>
      </c>
      <c r="D73" s="559">
        <f t="shared" si="1"/>
        <v>5779.3375671336325</v>
      </c>
      <c r="E73" s="559">
        <f t="shared" si="2"/>
        <v>2400.5627239729038</v>
      </c>
      <c r="G73" s="559">
        <f t="shared" si="3"/>
        <v>1109632.8128896574</v>
      </c>
    </row>
    <row r="74" spans="2:7" x14ac:dyDescent="0.3">
      <c r="B74" s="561">
        <v>65</v>
      </c>
      <c r="C74" s="559">
        <f t="shared" ref="C74:C137" si="4">IF($C$3&lt;G74+(G74*($C$4/$C$6)),$C$3,G74+(G74*($C$4/$C$6)))</f>
        <v>8179.9002911065363</v>
      </c>
      <c r="D74" s="559">
        <f t="shared" ref="D74:D137" si="5">G74*$C$4/$C$6</f>
        <v>5766.8346362796074</v>
      </c>
      <c r="E74" s="559">
        <f t="shared" ref="E74:E137" si="6">C74-D74</f>
        <v>2413.0656548269289</v>
      </c>
      <c r="G74" s="559">
        <f t="shared" si="3"/>
        <v>1107232.2501656846</v>
      </c>
    </row>
    <row r="75" spans="2:7" x14ac:dyDescent="0.3">
      <c r="B75" s="561">
        <v>66</v>
      </c>
      <c r="C75" s="559">
        <f t="shared" si="4"/>
        <v>8179.9002911065363</v>
      </c>
      <c r="D75" s="559">
        <f t="shared" si="5"/>
        <v>5754.2665859940507</v>
      </c>
      <c r="E75" s="559">
        <f t="shared" si="6"/>
        <v>2425.6337051124856</v>
      </c>
      <c r="G75" s="559">
        <f t="shared" ref="G75:G138" si="7">G74-E74-F74</f>
        <v>1104819.1845108578</v>
      </c>
    </row>
    <row r="76" spans="2:7" x14ac:dyDescent="0.3">
      <c r="B76" s="561">
        <v>67</v>
      </c>
      <c r="C76" s="559">
        <f t="shared" si="4"/>
        <v>8179.9002911065363</v>
      </c>
      <c r="D76" s="559">
        <f t="shared" si="5"/>
        <v>5741.6330771132571</v>
      </c>
      <c r="E76" s="559">
        <f t="shared" si="6"/>
        <v>2438.2672139932793</v>
      </c>
      <c r="G76" s="559">
        <f t="shared" si="7"/>
        <v>1102393.5508057454</v>
      </c>
    </row>
    <row r="77" spans="2:7" x14ac:dyDescent="0.3">
      <c r="B77" s="561">
        <v>68</v>
      </c>
      <c r="C77" s="559">
        <f t="shared" si="4"/>
        <v>8179.9002911065363</v>
      </c>
      <c r="D77" s="559">
        <f t="shared" si="5"/>
        <v>5728.9337687070429</v>
      </c>
      <c r="E77" s="559">
        <f t="shared" si="6"/>
        <v>2450.9665223994934</v>
      </c>
      <c r="G77" s="559">
        <f t="shared" si="7"/>
        <v>1099955.2835917522</v>
      </c>
    </row>
    <row r="78" spans="2:7" x14ac:dyDescent="0.3">
      <c r="B78" s="561">
        <v>69</v>
      </c>
      <c r="C78" s="559">
        <f t="shared" si="4"/>
        <v>8179.9002911065363</v>
      </c>
      <c r="D78" s="559">
        <f t="shared" si="5"/>
        <v>5716.1683180695445</v>
      </c>
      <c r="E78" s="559">
        <f t="shared" si="6"/>
        <v>2463.7319730369918</v>
      </c>
      <c r="G78" s="559">
        <f t="shared" si="7"/>
        <v>1097504.3170693526</v>
      </c>
    </row>
    <row r="79" spans="2:7" x14ac:dyDescent="0.3">
      <c r="B79" s="561">
        <v>70</v>
      </c>
      <c r="C79" s="559">
        <f t="shared" si="4"/>
        <v>8179.9002911065363</v>
      </c>
      <c r="D79" s="559">
        <f t="shared" si="5"/>
        <v>5703.3363807099777</v>
      </c>
      <c r="E79" s="559">
        <f t="shared" si="6"/>
        <v>2476.5639103965586</v>
      </c>
      <c r="G79" s="559">
        <f t="shared" si="7"/>
        <v>1095040.5850963157</v>
      </c>
    </row>
    <row r="80" spans="2:7" x14ac:dyDescent="0.3">
      <c r="B80" s="561">
        <v>71</v>
      </c>
      <c r="C80" s="559">
        <f t="shared" si="4"/>
        <v>8179.9002911065363</v>
      </c>
      <c r="D80" s="559">
        <f t="shared" si="5"/>
        <v>5690.4376103433287</v>
      </c>
      <c r="E80" s="559">
        <f t="shared" si="6"/>
        <v>2489.4626807632076</v>
      </c>
      <c r="G80" s="559">
        <f t="shared" si="7"/>
        <v>1092564.0211859192</v>
      </c>
    </row>
    <row r="81" spans="2:7" x14ac:dyDescent="0.3">
      <c r="B81" s="561">
        <v>72</v>
      </c>
      <c r="C81" s="559">
        <f t="shared" si="4"/>
        <v>8179.9002911065363</v>
      </c>
      <c r="D81" s="559">
        <f t="shared" si="5"/>
        <v>5677.4716588810215</v>
      </c>
      <c r="E81" s="559">
        <f t="shared" si="6"/>
        <v>2502.4286322255148</v>
      </c>
      <c r="G81" s="559">
        <f t="shared" si="7"/>
        <v>1090074.5585051561</v>
      </c>
    </row>
    <row r="82" spans="2:7" x14ac:dyDescent="0.3">
      <c r="B82" s="561">
        <v>73</v>
      </c>
      <c r="C82" s="559">
        <f t="shared" si="4"/>
        <v>8179.9002911065363</v>
      </c>
      <c r="D82" s="559">
        <f t="shared" si="5"/>
        <v>5664.4381764215132</v>
      </c>
      <c r="E82" s="559">
        <f t="shared" si="6"/>
        <v>2515.4621146850232</v>
      </c>
      <c r="G82" s="559">
        <f t="shared" si="7"/>
        <v>1087572.1298729305</v>
      </c>
    </row>
    <row r="83" spans="2:7" x14ac:dyDescent="0.3">
      <c r="B83" s="561">
        <v>74</v>
      </c>
      <c r="C83" s="559">
        <f t="shared" si="4"/>
        <v>8179.9002911065363</v>
      </c>
      <c r="D83" s="559">
        <f t="shared" si="5"/>
        <v>5651.3368112408616</v>
      </c>
      <c r="E83" s="559">
        <f t="shared" si="6"/>
        <v>2528.5634798656747</v>
      </c>
      <c r="G83" s="559">
        <f t="shared" si="7"/>
        <v>1085056.6677582455</v>
      </c>
    </row>
    <row r="84" spans="2:7" x14ac:dyDescent="0.3">
      <c r="B84" s="561">
        <v>75</v>
      </c>
      <c r="C84" s="559">
        <f t="shared" si="4"/>
        <v>8179.9002911065363</v>
      </c>
      <c r="D84" s="559">
        <f t="shared" si="5"/>
        <v>5638.1672097832279</v>
      </c>
      <c r="E84" s="559">
        <f t="shared" si="6"/>
        <v>2541.7330813233084</v>
      </c>
      <c r="G84" s="559">
        <f t="shared" si="7"/>
        <v>1082528.1042783798</v>
      </c>
    </row>
    <row r="85" spans="2:7" x14ac:dyDescent="0.3">
      <c r="B85" s="561">
        <v>76</v>
      </c>
      <c r="C85" s="559">
        <f t="shared" si="4"/>
        <v>8179.9002911065363</v>
      </c>
      <c r="D85" s="559">
        <f t="shared" si="5"/>
        <v>5624.9290166513356</v>
      </c>
      <c r="E85" s="559">
        <f t="shared" si="6"/>
        <v>2554.9712744552007</v>
      </c>
      <c r="G85" s="559">
        <f t="shared" si="7"/>
        <v>1079986.3711970565</v>
      </c>
    </row>
    <row r="86" spans="2:7" x14ac:dyDescent="0.3">
      <c r="B86" s="561">
        <v>77</v>
      </c>
      <c r="C86" s="559">
        <f t="shared" si="4"/>
        <v>8179.9002911065363</v>
      </c>
      <c r="D86" s="559">
        <f t="shared" si="5"/>
        <v>5611.6218745968808</v>
      </c>
      <c r="E86" s="559">
        <f t="shared" si="6"/>
        <v>2568.2784165096555</v>
      </c>
      <c r="G86" s="559">
        <f t="shared" si="7"/>
        <v>1077431.3999226012</v>
      </c>
    </row>
    <row r="87" spans="2:7" x14ac:dyDescent="0.3">
      <c r="B87" s="561">
        <v>78</v>
      </c>
      <c r="C87" s="559">
        <f t="shared" si="4"/>
        <v>8179.9002911065363</v>
      </c>
      <c r="D87" s="559">
        <f t="shared" si="5"/>
        <v>5598.2454245108929</v>
      </c>
      <c r="E87" s="559">
        <f t="shared" si="6"/>
        <v>2581.6548665956434</v>
      </c>
      <c r="G87" s="559">
        <f t="shared" si="7"/>
        <v>1074863.1215060914</v>
      </c>
    </row>
    <row r="88" spans="2:7" x14ac:dyDescent="0.3">
      <c r="B88" s="561">
        <v>79</v>
      </c>
      <c r="C88" s="559">
        <f t="shared" si="4"/>
        <v>8179.9002911065363</v>
      </c>
      <c r="D88" s="559">
        <f t="shared" si="5"/>
        <v>5584.7993054140397</v>
      </c>
      <c r="E88" s="559">
        <f t="shared" si="6"/>
        <v>2595.1009856924966</v>
      </c>
      <c r="G88" s="559">
        <f t="shared" si="7"/>
        <v>1072281.4666394957</v>
      </c>
    </row>
    <row r="89" spans="2:7" x14ac:dyDescent="0.3">
      <c r="B89" s="561">
        <v>80</v>
      </c>
      <c r="C89" s="559">
        <f t="shared" si="4"/>
        <v>8179.9002911065363</v>
      </c>
      <c r="D89" s="559">
        <f t="shared" si="5"/>
        <v>5571.2831544468909</v>
      </c>
      <c r="E89" s="559">
        <f t="shared" si="6"/>
        <v>2608.6171366596454</v>
      </c>
      <c r="G89" s="559">
        <f t="shared" si="7"/>
        <v>1069686.3656538031</v>
      </c>
    </row>
    <row r="90" spans="2:7" x14ac:dyDescent="0.3">
      <c r="B90" s="561">
        <v>81</v>
      </c>
      <c r="C90" s="559">
        <f t="shared" si="4"/>
        <v>8179.9002911065363</v>
      </c>
      <c r="D90" s="559">
        <f t="shared" si="5"/>
        <v>5557.6966068601223</v>
      </c>
      <c r="E90" s="559">
        <f t="shared" si="6"/>
        <v>2622.203684246414</v>
      </c>
      <c r="G90" s="559">
        <f t="shared" si="7"/>
        <v>1067077.7485171435</v>
      </c>
    </row>
    <row r="91" spans="2:7" x14ac:dyDescent="0.3">
      <c r="B91" s="561">
        <v>82</v>
      </c>
      <c r="C91" s="559">
        <f t="shared" si="4"/>
        <v>8179.9002911065363</v>
      </c>
      <c r="D91" s="559">
        <f t="shared" si="5"/>
        <v>5544.0392960046729</v>
      </c>
      <c r="E91" s="559">
        <f t="shared" si="6"/>
        <v>2635.8609951018634</v>
      </c>
      <c r="G91" s="559">
        <f t="shared" si="7"/>
        <v>1064455.5448328971</v>
      </c>
    </row>
    <row r="92" spans="2:7" x14ac:dyDescent="0.3">
      <c r="B92" s="561">
        <v>83</v>
      </c>
      <c r="C92" s="559">
        <f t="shared" si="4"/>
        <v>8179.9002911065363</v>
      </c>
      <c r="D92" s="559">
        <f t="shared" si="5"/>
        <v>5530.3108533218501</v>
      </c>
      <c r="E92" s="559">
        <f t="shared" si="6"/>
        <v>2649.5894377846862</v>
      </c>
      <c r="G92" s="559">
        <f t="shared" si="7"/>
        <v>1061819.6838377952</v>
      </c>
    </row>
    <row r="93" spans="2:7" x14ac:dyDescent="0.3">
      <c r="B93" s="561">
        <v>84</v>
      </c>
      <c r="C93" s="559">
        <f t="shared" si="4"/>
        <v>8179.9002911065363</v>
      </c>
      <c r="D93" s="559">
        <f t="shared" si="5"/>
        <v>5516.5109083333882</v>
      </c>
      <c r="E93" s="559">
        <f t="shared" si="6"/>
        <v>2663.3893827731481</v>
      </c>
      <c r="G93" s="559">
        <f t="shared" si="7"/>
        <v>1059170.0944000105</v>
      </c>
    </row>
    <row r="94" spans="2:7" x14ac:dyDescent="0.3">
      <c r="B94" s="561">
        <v>85</v>
      </c>
      <c r="C94" s="559">
        <f t="shared" si="4"/>
        <v>8179.9002911065363</v>
      </c>
      <c r="D94" s="559">
        <f t="shared" si="5"/>
        <v>5502.6390886314448</v>
      </c>
      <c r="E94" s="559">
        <f t="shared" si="6"/>
        <v>2677.2612024750915</v>
      </c>
      <c r="G94" s="559">
        <f t="shared" si="7"/>
        <v>1056506.7050172375</v>
      </c>
    </row>
    <row r="95" spans="2:7" x14ac:dyDescent="0.3">
      <c r="B95" s="561">
        <v>86</v>
      </c>
      <c r="C95" s="559">
        <f t="shared" si="4"/>
        <v>8179.9002911065363</v>
      </c>
      <c r="D95" s="559">
        <f t="shared" si="5"/>
        <v>5488.6950198685545</v>
      </c>
      <c r="E95" s="559">
        <f t="shared" si="6"/>
        <v>2691.2052712379818</v>
      </c>
      <c r="G95" s="559">
        <f t="shared" si="7"/>
        <v>1053829.4438147624</v>
      </c>
    </row>
    <row r="96" spans="2:7" x14ac:dyDescent="0.3">
      <c r="B96" s="561">
        <v>87</v>
      </c>
      <c r="C96" s="559">
        <f t="shared" si="4"/>
        <v>8179.9002911065363</v>
      </c>
      <c r="D96" s="559">
        <f t="shared" si="5"/>
        <v>5474.6783257475226</v>
      </c>
      <c r="E96" s="559">
        <f t="shared" si="6"/>
        <v>2705.2219653590137</v>
      </c>
      <c r="G96" s="559">
        <f t="shared" si="7"/>
        <v>1051138.2385435244</v>
      </c>
    </row>
    <row r="97" spans="2:7" x14ac:dyDescent="0.3">
      <c r="B97" s="561">
        <v>88</v>
      </c>
      <c r="C97" s="559">
        <f t="shared" si="4"/>
        <v>8179.9002911065363</v>
      </c>
      <c r="D97" s="559">
        <f t="shared" si="5"/>
        <v>5460.5886280112782</v>
      </c>
      <c r="E97" s="559">
        <f t="shared" si="6"/>
        <v>2719.3116630952582</v>
      </c>
      <c r="G97" s="559">
        <f t="shared" si="7"/>
        <v>1048433.0165781653</v>
      </c>
    </row>
    <row r="98" spans="2:7" x14ac:dyDescent="0.3">
      <c r="B98" s="561">
        <v>89</v>
      </c>
      <c r="C98" s="559">
        <f t="shared" si="4"/>
        <v>8179.9002911065363</v>
      </c>
      <c r="D98" s="559">
        <f t="shared" si="5"/>
        <v>5446.425546432657</v>
      </c>
      <c r="E98" s="559">
        <f t="shared" si="6"/>
        <v>2733.4747446738793</v>
      </c>
      <c r="G98" s="559">
        <f t="shared" si="7"/>
        <v>1045713.7049150701</v>
      </c>
    </row>
    <row r="99" spans="2:7" x14ac:dyDescent="0.3">
      <c r="B99" s="561">
        <v>90</v>
      </c>
      <c r="C99" s="559">
        <f t="shared" si="4"/>
        <v>8179.9002911065363</v>
      </c>
      <c r="D99" s="559">
        <f t="shared" si="5"/>
        <v>5432.188698804147</v>
      </c>
      <c r="E99" s="559">
        <f t="shared" si="6"/>
        <v>2747.7115923023894</v>
      </c>
      <c r="G99" s="559">
        <f t="shared" si="7"/>
        <v>1042980.2301703962</v>
      </c>
    </row>
    <row r="100" spans="2:7" x14ac:dyDescent="0.3">
      <c r="B100" s="561">
        <v>91</v>
      </c>
      <c r="C100" s="559">
        <f t="shared" si="4"/>
        <v>8179.9002911065363</v>
      </c>
      <c r="D100" s="559">
        <f t="shared" si="5"/>
        <v>5417.8777009275718</v>
      </c>
      <c r="E100" s="559">
        <f t="shared" si="6"/>
        <v>2762.0225901789645</v>
      </c>
      <c r="G100" s="559">
        <f t="shared" si="7"/>
        <v>1040232.5185780937</v>
      </c>
    </row>
    <row r="101" spans="2:7" x14ac:dyDescent="0.3">
      <c r="B101" s="561">
        <v>92</v>
      </c>
      <c r="C101" s="559">
        <f t="shared" si="4"/>
        <v>8179.9002911065363</v>
      </c>
      <c r="D101" s="559">
        <f t="shared" si="5"/>
        <v>5403.4921666037226</v>
      </c>
      <c r="E101" s="559">
        <f t="shared" si="6"/>
        <v>2776.4081245028137</v>
      </c>
      <c r="G101" s="559">
        <f t="shared" si="7"/>
        <v>1037470.4959879147</v>
      </c>
    </row>
    <row r="102" spans="2:7" x14ac:dyDescent="0.3">
      <c r="B102" s="561">
        <v>93</v>
      </c>
      <c r="C102" s="559">
        <f t="shared" si="4"/>
        <v>8179.9002911065363</v>
      </c>
      <c r="D102" s="559">
        <f t="shared" si="5"/>
        <v>5389.0317076219371</v>
      </c>
      <c r="E102" s="559">
        <f t="shared" si="6"/>
        <v>2790.8685834845992</v>
      </c>
      <c r="G102" s="559">
        <f t="shared" si="7"/>
        <v>1034694.0878634119</v>
      </c>
    </row>
    <row r="103" spans="2:7" x14ac:dyDescent="0.3">
      <c r="B103" s="561">
        <v>94</v>
      </c>
      <c r="C103" s="559">
        <f t="shared" si="4"/>
        <v>8179.9002911065363</v>
      </c>
      <c r="D103" s="559">
        <f t="shared" si="5"/>
        <v>5374.4959337496211</v>
      </c>
      <c r="E103" s="559">
        <f t="shared" si="6"/>
        <v>2805.4043573569152</v>
      </c>
      <c r="G103" s="559">
        <f t="shared" si="7"/>
        <v>1031903.2192799273</v>
      </c>
    </row>
    <row r="104" spans="2:7" x14ac:dyDescent="0.3">
      <c r="B104" s="561">
        <v>95</v>
      </c>
      <c r="C104" s="559">
        <f t="shared" si="4"/>
        <v>8179.9002911065363</v>
      </c>
      <c r="D104" s="559">
        <f t="shared" si="5"/>
        <v>5359.8844527217207</v>
      </c>
      <c r="E104" s="559">
        <f t="shared" si="6"/>
        <v>2820.0158383848157</v>
      </c>
      <c r="G104" s="559">
        <f t="shared" si="7"/>
        <v>1029097.8149225704</v>
      </c>
    </row>
    <row r="105" spans="2:7" x14ac:dyDescent="0.3">
      <c r="B105" s="561">
        <v>96</v>
      </c>
      <c r="C105" s="559">
        <f t="shared" si="4"/>
        <v>8179.9002911065363</v>
      </c>
      <c r="D105" s="559">
        <f t="shared" si="5"/>
        <v>5345.1968702301328</v>
      </c>
      <c r="E105" s="559">
        <f t="shared" si="6"/>
        <v>2834.7034208764035</v>
      </c>
      <c r="G105" s="559">
        <f t="shared" si="7"/>
        <v>1026277.7990841855</v>
      </c>
    </row>
    <row r="106" spans="2:7" x14ac:dyDescent="0.3">
      <c r="B106" s="561">
        <v>97</v>
      </c>
      <c r="C106" s="559">
        <f t="shared" si="4"/>
        <v>8179.9002911065363</v>
      </c>
      <c r="D106" s="559">
        <f t="shared" si="5"/>
        <v>5330.4327899130685</v>
      </c>
      <c r="E106" s="559">
        <f t="shared" si="6"/>
        <v>2849.4675011934678</v>
      </c>
      <c r="G106" s="559">
        <f t="shared" si="7"/>
        <v>1023443.0956633091</v>
      </c>
    </row>
    <row r="107" spans="2:7" x14ac:dyDescent="0.3">
      <c r="B107" s="561">
        <v>98</v>
      </c>
      <c r="C107" s="559">
        <f t="shared" si="4"/>
        <v>8179.9002911065363</v>
      </c>
      <c r="D107" s="559">
        <f t="shared" si="5"/>
        <v>5315.591813344352</v>
      </c>
      <c r="E107" s="559">
        <f t="shared" si="6"/>
        <v>2864.3084777621843</v>
      </c>
      <c r="G107" s="559">
        <f t="shared" si="7"/>
        <v>1020593.6281621156</v>
      </c>
    </row>
    <row r="108" spans="2:7" x14ac:dyDescent="0.3">
      <c r="B108" s="561">
        <v>99</v>
      </c>
      <c r="C108" s="559">
        <f t="shared" si="4"/>
        <v>8179.9002911065363</v>
      </c>
      <c r="D108" s="559">
        <f t="shared" si="5"/>
        <v>5300.6735400226744</v>
      </c>
      <c r="E108" s="559">
        <f t="shared" si="6"/>
        <v>2879.2267510838619</v>
      </c>
      <c r="G108" s="559">
        <f t="shared" si="7"/>
        <v>1017729.3196843534</v>
      </c>
    </row>
    <row r="109" spans="2:7" x14ac:dyDescent="0.3">
      <c r="B109" s="561">
        <v>100</v>
      </c>
      <c r="C109" s="559">
        <f t="shared" si="4"/>
        <v>8179.9002911065363</v>
      </c>
      <c r="D109" s="559">
        <f t="shared" si="5"/>
        <v>5285.677567360779</v>
      </c>
      <c r="E109" s="559">
        <f t="shared" si="6"/>
        <v>2894.2227237457573</v>
      </c>
      <c r="G109" s="559">
        <f t="shared" si="7"/>
        <v>1014850.0929332696</v>
      </c>
    </row>
    <row r="110" spans="2:7" x14ac:dyDescent="0.3">
      <c r="B110" s="561">
        <v>101</v>
      </c>
      <c r="C110" s="559">
        <f t="shared" si="4"/>
        <v>8179.9002911065363</v>
      </c>
      <c r="D110" s="559">
        <f t="shared" si="5"/>
        <v>5270.6034906746036</v>
      </c>
      <c r="E110" s="559">
        <f t="shared" si="6"/>
        <v>2909.2968004319328</v>
      </c>
      <c r="G110" s="559">
        <f t="shared" si="7"/>
        <v>1011955.8702095238</v>
      </c>
    </row>
    <row r="111" spans="2:7" x14ac:dyDescent="0.3">
      <c r="B111" s="561">
        <v>102</v>
      </c>
      <c r="C111" s="559">
        <f t="shared" si="4"/>
        <v>8179.9002911065363</v>
      </c>
      <c r="D111" s="559">
        <f t="shared" si="5"/>
        <v>5255.4509031723537</v>
      </c>
      <c r="E111" s="559">
        <f t="shared" si="6"/>
        <v>2924.4493879341826</v>
      </c>
      <c r="G111" s="559">
        <f t="shared" si="7"/>
        <v>1009046.5734090919</v>
      </c>
    </row>
    <row r="112" spans="2:7" x14ac:dyDescent="0.3">
      <c r="B112" s="561">
        <v>103</v>
      </c>
      <c r="C112" s="559">
        <f t="shared" si="4"/>
        <v>8179.9002911065363</v>
      </c>
      <c r="D112" s="559">
        <f t="shared" si="5"/>
        <v>5240.2193959435299</v>
      </c>
      <c r="E112" s="559">
        <f t="shared" si="6"/>
        <v>2939.6808951630064</v>
      </c>
      <c r="G112" s="559">
        <f t="shared" si="7"/>
        <v>1006122.1240211577</v>
      </c>
    </row>
    <row r="113" spans="2:7" x14ac:dyDescent="0.3">
      <c r="B113" s="561">
        <v>104</v>
      </c>
      <c r="C113" s="559">
        <f t="shared" si="4"/>
        <v>8179.9002911065363</v>
      </c>
      <c r="D113" s="559">
        <f t="shared" si="5"/>
        <v>5224.9085579478897</v>
      </c>
      <c r="E113" s="559">
        <f t="shared" si="6"/>
        <v>2954.9917331586466</v>
      </c>
      <c r="G113" s="559">
        <f t="shared" si="7"/>
        <v>1003182.4431259948</v>
      </c>
    </row>
    <row r="114" spans="2:7" x14ac:dyDescent="0.3">
      <c r="B114" s="561">
        <v>105</v>
      </c>
      <c r="C114" s="559">
        <f t="shared" si="4"/>
        <v>8179.9002911065363</v>
      </c>
      <c r="D114" s="559">
        <f t="shared" si="5"/>
        <v>5209.5179760043548</v>
      </c>
      <c r="E114" s="559">
        <f t="shared" si="6"/>
        <v>2970.3823151021816</v>
      </c>
      <c r="G114" s="559">
        <f t="shared" si="7"/>
        <v>1000227.4513928362</v>
      </c>
    </row>
    <row r="115" spans="2:7" x14ac:dyDescent="0.3">
      <c r="B115" s="561">
        <v>106</v>
      </c>
      <c r="C115" s="559">
        <f t="shared" si="4"/>
        <v>8179.9002911065363</v>
      </c>
      <c r="D115" s="559">
        <f t="shared" si="5"/>
        <v>5194.047234779865</v>
      </c>
      <c r="E115" s="559">
        <f t="shared" si="6"/>
        <v>2985.8530563266713</v>
      </c>
      <c r="G115" s="559">
        <f t="shared" si="7"/>
        <v>997257.06907773402</v>
      </c>
    </row>
    <row r="116" spans="2:7" x14ac:dyDescent="0.3">
      <c r="B116" s="561">
        <v>107</v>
      </c>
      <c r="C116" s="559">
        <f t="shared" si="4"/>
        <v>8179.9002911065363</v>
      </c>
      <c r="D116" s="559">
        <f t="shared" si="5"/>
        <v>5178.4959167781635</v>
      </c>
      <c r="E116" s="559">
        <f t="shared" si="6"/>
        <v>3001.4043743283728</v>
      </c>
      <c r="G116" s="559">
        <f t="shared" si="7"/>
        <v>994271.2160214074</v>
      </c>
    </row>
    <row r="117" spans="2:7" x14ac:dyDescent="0.3">
      <c r="B117" s="561">
        <v>108</v>
      </c>
      <c r="C117" s="559">
        <f t="shared" si="4"/>
        <v>8179.9002911065363</v>
      </c>
      <c r="D117" s="559">
        <f t="shared" si="5"/>
        <v>5162.8636023285371</v>
      </c>
      <c r="E117" s="559">
        <f t="shared" si="6"/>
        <v>3017.0366887779992</v>
      </c>
      <c r="G117" s="559">
        <f t="shared" si="7"/>
        <v>991269.81164707907</v>
      </c>
    </row>
    <row r="118" spans="2:7" x14ac:dyDescent="0.3">
      <c r="B118" s="561">
        <v>109</v>
      </c>
      <c r="C118" s="559">
        <f t="shared" si="4"/>
        <v>8179.9002911065363</v>
      </c>
      <c r="D118" s="559">
        <f t="shared" si="5"/>
        <v>5147.1498695744849</v>
      </c>
      <c r="E118" s="559">
        <f t="shared" si="6"/>
        <v>3032.7504215320514</v>
      </c>
      <c r="G118" s="559">
        <f t="shared" si="7"/>
        <v>988252.7749583011</v>
      </c>
    </row>
    <row r="119" spans="2:7" x14ac:dyDescent="0.3">
      <c r="B119" s="561">
        <v>110</v>
      </c>
      <c r="C119" s="559">
        <f t="shared" si="4"/>
        <v>8179.9002911065363</v>
      </c>
      <c r="D119" s="559">
        <f t="shared" si="5"/>
        <v>5131.3542944623387</v>
      </c>
      <c r="E119" s="559">
        <f t="shared" si="6"/>
        <v>3048.5459966441977</v>
      </c>
      <c r="G119" s="559">
        <f t="shared" si="7"/>
        <v>985220.02453676902</v>
      </c>
    </row>
    <row r="120" spans="2:7" x14ac:dyDescent="0.3">
      <c r="B120" s="561">
        <v>111</v>
      </c>
      <c r="C120" s="559">
        <f t="shared" si="4"/>
        <v>8179.9002911065363</v>
      </c>
      <c r="D120" s="559">
        <f t="shared" si="5"/>
        <v>5115.4764507298169</v>
      </c>
      <c r="E120" s="559">
        <f t="shared" si="6"/>
        <v>3064.4238403767195</v>
      </c>
      <c r="G120" s="559">
        <f t="shared" si="7"/>
        <v>982171.47854012484</v>
      </c>
    </row>
    <row r="121" spans="2:7" x14ac:dyDescent="0.3">
      <c r="B121" s="561">
        <v>112</v>
      </c>
      <c r="C121" s="559">
        <f t="shared" si="4"/>
        <v>8179.9002911065363</v>
      </c>
      <c r="D121" s="559">
        <f t="shared" si="5"/>
        <v>5099.5159098945214</v>
      </c>
      <c r="E121" s="559">
        <f t="shared" si="6"/>
        <v>3080.3843812120149</v>
      </c>
      <c r="G121" s="559">
        <f t="shared" si="7"/>
        <v>979107.05469974817</v>
      </c>
    </row>
    <row r="122" spans="2:7" x14ac:dyDescent="0.3">
      <c r="B122" s="561">
        <v>113</v>
      </c>
      <c r="C122" s="559">
        <f t="shared" si="4"/>
        <v>8179.9002911065363</v>
      </c>
      <c r="D122" s="559">
        <f t="shared" si="5"/>
        <v>5083.4722412423753</v>
      </c>
      <c r="E122" s="559">
        <f t="shared" si="6"/>
        <v>3096.428049864161</v>
      </c>
      <c r="G122" s="559">
        <f t="shared" si="7"/>
        <v>976026.67031853611</v>
      </c>
    </row>
    <row r="123" spans="2:7" x14ac:dyDescent="0.3">
      <c r="B123" s="561">
        <v>114</v>
      </c>
      <c r="C123" s="559">
        <f t="shared" si="4"/>
        <v>8179.9002911065363</v>
      </c>
      <c r="D123" s="559">
        <f t="shared" si="5"/>
        <v>5067.3450118159999</v>
      </c>
      <c r="E123" s="559">
        <f t="shared" si="6"/>
        <v>3112.5552792905364</v>
      </c>
      <c r="G123" s="559">
        <f t="shared" si="7"/>
        <v>972930.24226867198</v>
      </c>
    </row>
    <row r="124" spans="2:7" x14ac:dyDescent="0.3">
      <c r="B124" s="561">
        <v>115</v>
      </c>
      <c r="C124" s="559">
        <f t="shared" si="4"/>
        <v>8179.9002911065363</v>
      </c>
      <c r="D124" s="559">
        <f t="shared" si="5"/>
        <v>5051.1337864030284</v>
      </c>
      <c r="E124" s="559">
        <f t="shared" si="6"/>
        <v>3128.766504703508</v>
      </c>
      <c r="G124" s="559">
        <f t="shared" si="7"/>
        <v>969817.68698938144</v>
      </c>
    </row>
    <row r="125" spans="2:7" x14ac:dyDescent="0.3">
      <c r="B125" s="561">
        <v>116</v>
      </c>
      <c r="C125" s="559">
        <f t="shared" si="4"/>
        <v>8179.9002911065363</v>
      </c>
      <c r="D125" s="559">
        <f t="shared" si="5"/>
        <v>5034.8381275243637</v>
      </c>
      <c r="E125" s="559">
        <f t="shared" si="6"/>
        <v>3145.0621635821726</v>
      </c>
      <c r="G125" s="559">
        <f t="shared" si="7"/>
        <v>966688.92048467789</v>
      </c>
    </row>
    <row r="126" spans="2:7" x14ac:dyDescent="0.3">
      <c r="B126" s="561">
        <v>117</v>
      </c>
      <c r="C126" s="559">
        <f t="shared" si="4"/>
        <v>8179.9002911065363</v>
      </c>
      <c r="D126" s="559">
        <f t="shared" si="5"/>
        <v>5018.4575954223737</v>
      </c>
      <c r="E126" s="559">
        <f t="shared" si="6"/>
        <v>3161.4426956841626</v>
      </c>
      <c r="G126" s="559">
        <f t="shared" si="7"/>
        <v>963543.8583210957</v>
      </c>
    </row>
    <row r="127" spans="2:7" x14ac:dyDescent="0.3">
      <c r="B127" s="561">
        <v>118</v>
      </c>
      <c r="C127" s="559">
        <f t="shared" si="4"/>
        <v>8179.9002911065363</v>
      </c>
      <c r="D127" s="559">
        <f t="shared" si="5"/>
        <v>5001.9917480490185</v>
      </c>
      <c r="E127" s="559">
        <f t="shared" si="6"/>
        <v>3177.9085430575178</v>
      </c>
      <c r="G127" s="559">
        <f t="shared" si="7"/>
        <v>960382.41562541155</v>
      </c>
    </row>
    <row r="128" spans="2:7" x14ac:dyDescent="0.3">
      <c r="B128" s="561">
        <v>119</v>
      </c>
      <c r="C128" s="559">
        <f t="shared" si="4"/>
        <v>8179.9002911065363</v>
      </c>
      <c r="D128" s="559">
        <f t="shared" si="5"/>
        <v>4985.4401410539276</v>
      </c>
      <c r="E128" s="559">
        <f t="shared" si="6"/>
        <v>3194.4601500526087</v>
      </c>
      <c r="G128" s="559">
        <f t="shared" si="7"/>
        <v>957204.50708235404</v>
      </c>
    </row>
    <row r="129" spans="2:7" x14ac:dyDescent="0.3">
      <c r="B129" s="561">
        <v>120</v>
      </c>
      <c r="C129" s="559">
        <f t="shared" si="4"/>
        <v>8179.9002911065363</v>
      </c>
      <c r="D129" s="559">
        <f t="shared" si="5"/>
        <v>4968.8023277724033</v>
      </c>
      <c r="E129" s="559">
        <f t="shared" si="6"/>
        <v>3211.0979633341331</v>
      </c>
      <c r="G129" s="559">
        <f t="shared" si="7"/>
        <v>954010.04693230148</v>
      </c>
    </row>
    <row r="130" spans="2:7" x14ac:dyDescent="0.3">
      <c r="B130" s="561">
        <v>121</v>
      </c>
      <c r="C130" s="559">
        <f t="shared" si="4"/>
        <v>8179.9002911065363</v>
      </c>
      <c r="D130" s="559">
        <f t="shared" si="5"/>
        <v>4952.0778592133711</v>
      </c>
      <c r="E130" s="559">
        <f t="shared" si="6"/>
        <v>3227.8224318931652</v>
      </c>
      <c r="G130" s="559">
        <f t="shared" si="7"/>
        <v>950798.94896896731</v>
      </c>
    </row>
    <row r="131" spans="2:7" x14ac:dyDescent="0.3">
      <c r="B131" s="561">
        <v>122</v>
      </c>
      <c r="C131" s="559">
        <f t="shared" si="4"/>
        <v>8179.9002911065363</v>
      </c>
      <c r="D131" s="559">
        <f t="shared" si="5"/>
        <v>4935.2662840472613</v>
      </c>
      <c r="E131" s="559">
        <f t="shared" si="6"/>
        <v>3244.6340070592751</v>
      </c>
      <c r="G131" s="559">
        <f t="shared" si="7"/>
        <v>947571.1265370741</v>
      </c>
    </row>
    <row r="132" spans="2:7" x14ac:dyDescent="0.3">
      <c r="B132" s="561">
        <v>123</v>
      </c>
      <c r="C132" s="559">
        <f t="shared" si="4"/>
        <v>8179.9002911065363</v>
      </c>
      <c r="D132" s="559">
        <f t="shared" si="5"/>
        <v>4918.3671485938276</v>
      </c>
      <c r="E132" s="559">
        <f t="shared" si="6"/>
        <v>3261.5331425127088</v>
      </c>
      <c r="G132" s="559">
        <f t="shared" si="7"/>
        <v>944326.49253001483</v>
      </c>
    </row>
    <row r="133" spans="2:7" x14ac:dyDescent="0.3">
      <c r="B133" s="561">
        <v>124</v>
      </c>
      <c r="C133" s="559">
        <f t="shared" si="4"/>
        <v>8179.9002911065363</v>
      </c>
      <c r="D133" s="559">
        <f t="shared" si="5"/>
        <v>4901.3799968099074</v>
      </c>
      <c r="E133" s="559">
        <f t="shared" si="6"/>
        <v>3278.5202942966289</v>
      </c>
      <c r="G133" s="559">
        <f t="shared" si="7"/>
        <v>941064.95938750217</v>
      </c>
    </row>
    <row r="134" spans="2:7" x14ac:dyDescent="0.3">
      <c r="B134" s="561">
        <v>125</v>
      </c>
      <c r="C134" s="559">
        <f t="shared" si="4"/>
        <v>8179.9002911065363</v>
      </c>
      <c r="D134" s="559">
        <f t="shared" si="5"/>
        <v>4884.304370277112</v>
      </c>
      <c r="E134" s="559">
        <f t="shared" si="6"/>
        <v>3295.5959208294244</v>
      </c>
      <c r="G134" s="559">
        <f t="shared" si="7"/>
        <v>937786.4390932055</v>
      </c>
    </row>
    <row r="135" spans="2:7" x14ac:dyDescent="0.3">
      <c r="B135" s="561">
        <v>126</v>
      </c>
      <c r="C135" s="559">
        <f t="shared" si="4"/>
        <v>8179.9002911065363</v>
      </c>
      <c r="D135" s="559">
        <f t="shared" si="5"/>
        <v>4867.1398081894586</v>
      </c>
      <c r="E135" s="559">
        <f t="shared" si="6"/>
        <v>3312.7604829170778</v>
      </c>
      <c r="G135" s="559">
        <f t="shared" si="7"/>
        <v>934490.84317237604</v>
      </c>
    </row>
    <row r="136" spans="2:7" x14ac:dyDescent="0.3">
      <c r="B136" s="561">
        <v>127</v>
      </c>
      <c r="C136" s="559">
        <f t="shared" si="4"/>
        <v>8179.9002911065363</v>
      </c>
      <c r="D136" s="559">
        <f t="shared" si="5"/>
        <v>4849.8858473409318</v>
      </c>
      <c r="E136" s="559">
        <f t="shared" si="6"/>
        <v>3330.0144437656045</v>
      </c>
      <c r="G136" s="559">
        <f t="shared" si="7"/>
        <v>931178.08268945897</v>
      </c>
    </row>
    <row r="137" spans="2:7" x14ac:dyDescent="0.3">
      <c r="B137" s="561">
        <v>128</v>
      </c>
      <c r="C137" s="559">
        <f t="shared" si="4"/>
        <v>8179.9002911065363</v>
      </c>
      <c r="D137" s="559">
        <f t="shared" si="5"/>
        <v>4832.5420221129862</v>
      </c>
      <c r="E137" s="559">
        <f t="shared" si="6"/>
        <v>3347.3582689935502</v>
      </c>
      <c r="G137" s="559">
        <f t="shared" si="7"/>
        <v>927848.06824569334</v>
      </c>
    </row>
    <row r="138" spans="2:7" x14ac:dyDescent="0.3">
      <c r="B138" s="561">
        <v>129</v>
      </c>
      <c r="C138" s="559">
        <f t="shared" ref="C138:C201" si="8">IF($C$3&lt;G138+(G138*($C$4/$C$6)),$C$3,G138+(G138*($C$4/$C$6)))</f>
        <v>8179.9002911065363</v>
      </c>
      <c r="D138" s="559">
        <f t="shared" ref="D138:D201" si="9">G138*$C$4/$C$6</f>
        <v>4815.1078644619784</v>
      </c>
      <c r="E138" s="559">
        <f t="shared" ref="E138:E201" si="10">C138-D138</f>
        <v>3364.792426644558</v>
      </c>
      <c r="G138" s="559">
        <f t="shared" si="7"/>
        <v>924500.70997669979</v>
      </c>
    </row>
    <row r="139" spans="2:7" x14ac:dyDescent="0.3">
      <c r="B139" s="561">
        <v>130</v>
      </c>
      <c r="C139" s="559">
        <f t="shared" si="8"/>
        <v>8179.9002911065363</v>
      </c>
      <c r="D139" s="559">
        <f t="shared" si="9"/>
        <v>4797.5829039065375</v>
      </c>
      <c r="E139" s="559">
        <f t="shared" si="10"/>
        <v>3382.3173871999988</v>
      </c>
      <c r="G139" s="559">
        <f t="shared" ref="G139:G202" si="11">G138-E138-F138</f>
        <v>921135.91755005519</v>
      </c>
    </row>
    <row r="140" spans="2:7" x14ac:dyDescent="0.3">
      <c r="B140" s="561">
        <v>131</v>
      </c>
      <c r="C140" s="559">
        <f t="shared" si="8"/>
        <v>8179.9002911065363</v>
      </c>
      <c r="D140" s="559">
        <f t="shared" si="9"/>
        <v>4779.966667514871</v>
      </c>
      <c r="E140" s="559">
        <f t="shared" si="10"/>
        <v>3399.9336235916653</v>
      </c>
      <c r="G140" s="559">
        <f t="shared" si="11"/>
        <v>917753.60016285523</v>
      </c>
    </row>
    <row r="141" spans="2:7" x14ac:dyDescent="0.3">
      <c r="B141" s="561">
        <v>132</v>
      </c>
      <c r="C141" s="559">
        <f t="shared" si="8"/>
        <v>8179.9002911065363</v>
      </c>
      <c r="D141" s="559">
        <f t="shared" si="9"/>
        <v>4762.2586798919974</v>
      </c>
      <c r="E141" s="559">
        <f t="shared" si="10"/>
        <v>3417.6416112145389</v>
      </c>
      <c r="G141" s="559">
        <f t="shared" si="11"/>
        <v>914353.66653926356</v>
      </c>
    </row>
    <row r="142" spans="2:7" x14ac:dyDescent="0.3">
      <c r="B142" s="561">
        <v>133</v>
      </c>
      <c r="C142" s="559">
        <f t="shared" si="8"/>
        <v>8179.9002911065363</v>
      </c>
      <c r="D142" s="559">
        <f t="shared" si="9"/>
        <v>4744.4584631669222</v>
      </c>
      <c r="E142" s="559">
        <f t="shared" si="10"/>
        <v>3435.4418279396141</v>
      </c>
      <c r="G142" s="559">
        <f t="shared" si="11"/>
        <v>910936.02492804907</v>
      </c>
    </row>
    <row r="143" spans="2:7" x14ac:dyDescent="0.3">
      <c r="B143" s="561">
        <v>134</v>
      </c>
      <c r="C143" s="559">
        <f t="shared" si="8"/>
        <v>8179.9002911065363</v>
      </c>
      <c r="D143" s="559">
        <f t="shared" si="9"/>
        <v>4726.5655369797369</v>
      </c>
      <c r="E143" s="559">
        <f t="shared" si="10"/>
        <v>3453.3347541267995</v>
      </c>
      <c r="G143" s="559">
        <f t="shared" si="11"/>
        <v>907500.58310010948</v>
      </c>
    </row>
    <row r="144" spans="2:7" x14ac:dyDescent="0.3">
      <c r="B144" s="561">
        <v>135</v>
      </c>
      <c r="C144" s="559">
        <f t="shared" si="8"/>
        <v>8179.9002911065363</v>
      </c>
      <c r="D144" s="559">
        <f t="shared" si="9"/>
        <v>4708.5794184686592</v>
      </c>
      <c r="E144" s="559">
        <f t="shared" si="10"/>
        <v>3471.3208726378771</v>
      </c>
      <c r="G144" s="559">
        <f t="shared" si="11"/>
        <v>904047.24834598263</v>
      </c>
    </row>
    <row r="145" spans="2:7" x14ac:dyDescent="0.3">
      <c r="B145" s="561">
        <v>136</v>
      </c>
      <c r="C145" s="559">
        <f t="shared" si="8"/>
        <v>8179.9002911065363</v>
      </c>
      <c r="D145" s="559">
        <f t="shared" si="9"/>
        <v>4690.4996222570035</v>
      </c>
      <c r="E145" s="559">
        <f t="shared" si="10"/>
        <v>3489.4006688495328</v>
      </c>
      <c r="G145" s="559">
        <f t="shared" si="11"/>
        <v>900575.92747334472</v>
      </c>
    </row>
    <row r="146" spans="2:7" x14ac:dyDescent="0.3">
      <c r="B146" s="561">
        <v>137</v>
      </c>
      <c r="C146" s="559">
        <f t="shared" si="8"/>
        <v>8179.9002911065363</v>
      </c>
      <c r="D146" s="559">
        <f t="shared" si="9"/>
        <v>4672.3256604400785</v>
      </c>
      <c r="E146" s="559">
        <f t="shared" si="10"/>
        <v>3507.5746306664578</v>
      </c>
      <c r="G146" s="559">
        <f t="shared" si="11"/>
        <v>897086.52680449514</v>
      </c>
    </row>
    <row r="147" spans="2:7" x14ac:dyDescent="0.3">
      <c r="B147" s="561">
        <v>138</v>
      </c>
      <c r="C147" s="559">
        <f t="shared" si="8"/>
        <v>8179.9002911065363</v>
      </c>
      <c r="D147" s="559">
        <f t="shared" si="9"/>
        <v>4654.0570425720243</v>
      </c>
      <c r="E147" s="559">
        <f t="shared" si="10"/>
        <v>3525.843248534512</v>
      </c>
      <c r="G147" s="559">
        <f t="shared" si="11"/>
        <v>893578.95217382873</v>
      </c>
    </row>
    <row r="148" spans="2:7" x14ac:dyDescent="0.3">
      <c r="B148" s="561">
        <v>139</v>
      </c>
      <c r="C148" s="559">
        <f t="shared" si="8"/>
        <v>8179.9002911065363</v>
      </c>
      <c r="D148" s="559">
        <f t="shared" si="9"/>
        <v>4635.6932756525739</v>
      </c>
      <c r="E148" s="559">
        <f t="shared" si="10"/>
        <v>3544.2070154539624</v>
      </c>
      <c r="G148" s="559">
        <f t="shared" si="11"/>
        <v>890053.10892529425</v>
      </c>
    </row>
    <row r="149" spans="2:7" x14ac:dyDescent="0.3">
      <c r="B149" s="561">
        <v>140</v>
      </c>
      <c r="C149" s="559">
        <f t="shared" si="8"/>
        <v>8179.9002911065363</v>
      </c>
      <c r="D149" s="559">
        <f t="shared" si="9"/>
        <v>4617.2338641137512</v>
      </c>
      <c r="E149" s="559">
        <f t="shared" si="10"/>
        <v>3562.6664269927851</v>
      </c>
      <c r="G149" s="559">
        <f t="shared" si="11"/>
        <v>886508.90190984029</v>
      </c>
    </row>
    <row r="150" spans="2:7" x14ac:dyDescent="0.3">
      <c r="B150" s="561">
        <v>141</v>
      </c>
      <c r="C150" s="559">
        <f t="shared" si="8"/>
        <v>8179.9002911065363</v>
      </c>
      <c r="D150" s="559">
        <f t="shared" si="9"/>
        <v>4598.678309806498</v>
      </c>
      <c r="E150" s="559">
        <f t="shared" si="10"/>
        <v>3581.2219813000384</v>
      </c>
      <c r="G150" s="559">
        <f t="shared" si="11"/>
        <v>882946.23548284755</v>
      </c>
    </row>
    <row r="151" spans="2:7" x14ac:dyDescent="0.3">
      <c r="B151" s="561">
        <v>142</v>
      </c>
      <c r="C151" s="559">
        <f t="shared" si="8"/>
        <v>8179.9002911065363</v>
      </c>
      <c r="D151" s="559">
        <f t="shared" si="9"/>
        <v>4580.0261119872266</v>
      </c>
      <c r="E151" s="559">
        <f t="shared" si="10"/>
        <v>3599.8741791193097</v>
      </c>
      <c r="G151" s="559">
        <f t="shared" si="11"/>
        <v>879365.01350154751</v>
      </c>
    </row>
    <row r="152" spans="2:7" x14ac:dyDescent="0.3">
      <c r="B152" s="561">
        <v>143</v>
      </c>
      <c r="C152" s="559">
        <f t="shared" si="8"/>
        <v>8179.9002911065363</v>
      </c>
      <c r="D152" s="559">
        <f t="shared" si="9"/>
        <v>4561.2767673043136</v>
      </c>
      <c r="E152" s="559">
        <f t="shared" si="10"/>
        <v>3618.6235238022227</v>
      </c>
      <c r="G152" s="559">
        <f t="shared" si="11"/>
        <v>875765.13932242815</v>
      </c>
    </row>
    <row r="153" spans="2:7" x14ac:dyDescent="0.3">
      <c r="B153" s="561">
        <v>144</v>
      </c>
      <c r="C153" s="559">
        <f t="shared" si="8"/>
        <v>8179.9002911065363</v>
      </c>
      <c r="D153" s="559">
        <f t="shared" si="9"/>
        <v>4542.4297697845095</v>
      </c>
      <c r="E153" s="559">
        <f t="shared" si="10"/>
        <v>3637.4705213220268</v>
      </c>
      <c r="G153" s="559">
        <f t="shared" si="11"/>
        <v>872146.51579862589</v>
      </c>
    </row>
    <row r="154" spans="2:7" x14ac:dyDescent="0.3">
      <c r="B154" s="561">
        <v>145</v>
      </c>
      <c r="C154" s="559">
        <f t="shared" si="8"/>
        <v>8179.9002911065363</v>
      </c>
      <c r="D154" s="559">
        <f t="shared" si="9"/>
        <v>4523.4846108192914</v>
      </c>
      <c r="E154" s="559">
        <f t="shared" si="10"/>
        <v>3656.4156802872449</v>
      </c>
      <c r="G154" s="559">
        <f t="shared" si="11"/>
        <v>868509.0452773039</v>
      </c>
    </row>
    <row r="155" spans="2:7" x14ac:dyDescent="0.3">
      <c r="B155" s="561">
        <v>146</v>
      </c>
      <c r="C155" s="559">
        <f t="shared" si="8"/>
        <v>8179.9002911065363</v>
      </c>
      <c r="D155" s="559">
        <f t="shared" si="9"/>
        <v>4504.4407791511285</v>
      </c>
      <c r="E155" s="559">
        <f t="shared" si="10"/>
        <v>3675.4595119554078</v>
      </c>
      <c r="G155" s="559">
        <f t="shared" si="11"/>
        <v>864852.62959701661</v>
      </c>
    </row>
    <row r="156" spans="2:7" x14ac:dyDescent="0.3">
      <c r="B156" s="561">
        <v>147</v>
      </c>
      <c r="C156" s="559">
        <f t="shared" si="8"/>
        <v>8179.9002911065363</v>
      </c>
      <c r="D156" s="559">
        <f t="shared" si="9"/>
        <v>4485.2977608596939</v>
      </c>
      <c r="E156" s="559">
        <f t="shared" si="10"/>
        <v>3694.6025302468424</v>
      </c>
      <c r="G156" s="559">
        <f t="shared" si="11"/>
        <v>861177.17008506123</v>
      </c>
    </row>
    <row r="157" spans="2:7" x14ac:dyDescent="0.3">
      <c r="B157" s="561">
        <v>148</v>
      </c>
      <c r="C157" s="559">
        <f t="shared" si="8"/>
        <v>8179.9002911065363</v>
      </c>
      <c r="D157" s="559">
        <f t="shared" si="9"/>
        <v>4466.0550393479916</v>
      </c>
      <c r="E157" s="559">
        <f t="shared" si="10"/>
        <v>3713.8452517585447</v>
      </c>
      <c r="G157" s="559">
        <f t="shared" si="11"/>
        <v>857482.56755481439</v>
      </c>
    </row>
    <row r="158" spans="2:7" x14ac:dyDescent="0.3">
      <c r="B158" s="561">
        <v>149</v>
      </c>
      <c r="C158" s="559">
        <f t="shared" si="8"/>
        <v>8179.9002911065363</v>
      </c>
      <c r="D158" s="559">
        <f t="shared" si="9"/>
        <v>4446.7120953284157</v>
      </c>
      <c r="E158" s="559">
        <f t="shared" si="10"/>
        <v>3733.1881957781206</v>
      </c>
      <c r="G158" s="559">
        <f t="shared" si="11"/>
        <v>853768.72230305581</v>
      </c>
    </row>
    <row r="159" spans="2:7" x14ac:dyDescent="0.3">
      <c r="B159" s="561">
        <v>150</v>
      </c>
      <c r="C159" s="559">
        <f t="shared" si="8"/>
        <v>8179.9002911065363</v>
      </c>
      <c r="D159" s="559">
        <f t="shared" si="9"/>
        <v>4427.2684068087374</v>
      </c>
      <c r="E159" s="559">
        <f t="shared" si="10"/>
        <v>3752.6318842977989</v>
      </c>
      <c r="G159" s="559">
        <f t="shared" si="11"/>
        <v>850035.53410727764</v>
      </c>
    </row>
    <row r="160" spans="2:7" x14ac:dyDescent="0.3">
      <c r="B160" s="561">
        <v>151</v>
      </c>
      <c r="C160" s="559">
        <f t="shared" si="8"/>
        <v>8179.9002911065363</v>
      </c>
      <c r="D160" s="559">
        <f t="shared" si="9"/>
        <v>4407.7234490780202</v>
      </c>
      <c r="E160" s="559">
        <f t="shared" si="10"/>
        <v>3772.1768420285161</v>
      </c>
      <c r="G160" s="559">
        <f t="shared" si="11"/>
        <v>846282.90222297981</v>
      </c>
    </row>
    <row r="161" spans="2:7" x14ac:dyDescent="0.3">
      <c r="B161" s="561">
        <v>152</v>
      </c>
      <c r="C161" s="559">
        <f t="shared" si="8"/>
        <v>8179.9002911065363</v>
      </c>
      <c r="D161" s="559">
        <f t="shared" si="9"/>
        <v>4388.076694692455</v>
      </c>
      <c r="E161" s="559">
        <f t="shared" si="10"/>
        <v>3791.8235964140813</v>
      </c>
      <c r="G161" s="559">
        <f t="shared" si="11"/>
        <v>842510.72538095131</v>
      </c>
    </row>
    <row r="162" spans="2:7" x14ac:dyDescent="0.3">
      <c r="B162" s="561">
        <v>153</v>
      </c>
      <c r="C162" s="559">
        <f t="shared" si="8"/>
        <v>8179.9002911065363</v>
      </c>
      <c r="D162" s="559">
        <f t="shared" si="9"/>
        <v>4368.3276134611315</v>
      </c>
      <c r="E162" s="559">
        <f t="shared" si="10"/>
        <v>3811.5726776454048</v>
      </c>
      <c r="G162" s="559">
        <f t="shared" si="11"/>
        <v>838718.90178453724</v>
      </c>
    </row>
    <row r="163" spans="2:7" x14ac:dyDescent="0.3">
      <c r="B163" s="561">
        <v>154</v>
      </c>
      <c r="C163" s="559">
        <f t="shared" si="8"/>
        <v>8179.9002911065363</v>
      </c>
      <c r="D163" s="559">
        <f t="shared" si="9"/>
        <v>4348.4756724317285</v>
      </c>
      <c r="E163" s="559">
        <f t="shared" si="10"/>
        <v>3831.4246186748078</v>
      </c>
      <c r="G163" s="559">
        <f t="shared" si="11"/>
        <v>834907.32910689188</v>
      </c>
    </row>
    <row r="164" spans="2:7" x14ac:dyDescent="0.3">
      <c r="B164" s="561">
        <v>155</v>
      </c>
      <c r="C164" s="559">
        <f t="shared" si="8"/>
        <v>8179.9002911065363</v>
      </c>
      <c r="D164" s="559">
        <f t="shared" si="9"/>
        <v>4328.520335876131</v>
      </c>
      <c r="E164" s="559">
        <f t="shared" si="10"/>
        <v>3851.3799552304054</v>
      </c>
      <c r="G164" s="559">
        <f t="shared" si="11"/>
        <v>831075.90448821709</v>
      </c>
    </row>
    <row r="165" spans="2:7" x14ac:dyDescent="0.3">
      <c r="B165" s="561">
        <v>156</v>
      </c>
      <c r="C165" s="559">
        <f t="shared" si="8"/>
        <v>8179.9002911065363</v>
      </c>
      <c r="D165" s="559">
        <f t="shared" si="9"/>
        <v>4308.461065275972</v>
      </c>
      <c r="E165" s="559">
        <f t="shared" si="10"/>
        <v>3871.4392258305643</v>
      </c>
      <c r="G165" s="559">
        <f t="shared" si="11"/>
        <v>827224.52453298669</v>
      </c>
    </row>
    <row r="166" spans="2:7" x14ac:dyDescent="0.3">
      <c r="B166" s="561">
        <v>157</v>
      </c>
      <c r="C166" s="559">
        <f t="shared" si="8"/>
        <v>8179.9002911065363</v>
      </c>
      <c r="D166" s="559">
        <f t="shared" si="9"/>
        <v>4288.2973193081043</v>
      </c>
      <c r="E166" s="559">
        <f t="shared" si="10"/>
        <v>3891.602971798432</v>
      </c>
      <c r="G166" s="559">
        <f t="shared" si="11"/>
        <v>823353.08530715609</v>
      </c>
    </row>
    <row r="167" spans="2:7" x14ac:dyDescent="0.3">
      <c r="B167" s="561">
        <v>158</v>
      </c>
      <c r="C167" s="559">
        <f t="shared" si="8"/>
        <v>8179.9002911065363</v>
      </c>
      <c r="D167" s="559">
        <f t="shared" si="9"/>
        <v>4268.0285538299877</v>
      </c>
      <c r="E167" s="559">
        <f t="shared" si="10"/>
        <v>3911.8717372765486</v>
      </c>
      <c r="G167" s="559">
        <f t="shared" si="11"/>
        <v>819461.48233535769</v>
      </c>
    </row>
    <row r="168" spans="2:7" x14ac:dyDescent="0.3">
      <c r="B168" s="561">
        <v>159</v>
      </c>
      <c r="C168" s="559">
        <f t="shared" si="8"/>
        <v>8179.9002911065363</v>
      </c>
      <c r="D168" s="559">
        <f t="shared" si="9"/>
        <v>4247.6542218650056</v>
      </c>
      <c r="E168" s="559">
        <f t="shared" si="10"/>
        <v>3932.2460692415307</v>
      </c>
      <c r="G168" s="559">
        <f t="shared" si="11"/>
        <v>815549.61059808114</v>
      </c>
    </row>
    <row r="169" spans="2:7" x14ac:dyDescent="0.3">
      <c r="B169" s="561">
        <v>160</v>
      </c>
      <c r="C169" s="559">
        <f t="shared" si="8"/>
        <v>8179.9002911065363</v>
      </c>
      <c r="D169" s="559">
        <f t="shared" si="9"/>
        <v>4227.1737735877059</v>
      </c>
      <c r="E169" s="559">
        <f t="shared" si="10"/>
        <v>3952.7265175188304</v>
      </c>
      <c r="G169" s="559">
        <f t="shared" si="11"/>
        <v>811617.36452883959</v>
      </c>
    </row>
    <row r="170" spans="2:7" x14ac:dyDescent="0.3">
      <c r="B170" s="561">
        <v>161</v>
      </c>
      <c r="C170" s="559">
        <f t="shared" si="8"/>
        <v>8179.9002911065363</v>
      </c>
      <c r="D170" s="559">
        <f t="shared" si="9"/>
        <v>4206.5866563089621</v>
      </c>
      <c r="E170" s="559">
        <f t="shared" si="10"/>
        <v>3973.3136347975742</v>
      </c>
      <c r="G170" s="559">
        <f t="shared" si="11"/>
        <v>807664.63801132073</v>
      </c>
    </row>
    <row r="171" spans="2:7" x14ac:dyDescent="0.3">
      <c r="B171" s="561">
        <v>162</v>
      </c>
      <c r="C171" s="559">
        <f t="shared" si="8"/>
        <v>8179.9002911065363</v>
      </c>
      <c r="D171" s="559">
        <f t="shared" si="9"/>
        <v>4185.892314461058</v>
      </c>
      <c r="E171" s="559">
        <f t="shared" si="10"/>
        <v>3994.0079766454783</v>
      </c>
      <c r="G171" s="559">
        <f t="shared" si="11"/>
        <v>803691.32437652315</v>
      </c>
    </row>
    <row r="172" spans="2:7" x14ac:dyDescent="0.3">
      <c r="B172" s="561">
        <v>163</v>
      </c>
      <c r="C172" s="559">
        <f t="shared" si="8"/>
        <v>8179.9002911065363</v>
      </c>
      <c r="D172" s="559">
        <f t="shared" si="9"/>
        <v>4165.0901895826964</v>
      </c>
      <c r="E172" s="559">
        <f t="shared" si="10"/>
        <v>4014.8101015238399</v>
      </c>
      <c r="G172" s="559">
        <f t="shared" si="11"/>
        <v>799697.31639987766</v>
      </c>
    </row>
    <row r="173" spans="2:7" x14ac:dyDescent="0.3">
      <c r="B173" s="561">
        <v>164</v>
      </c>
      <c r="C173" s="559">
        <f t="shared" si="8"/>
        <v>8179.9002911065363</v>
      </c>
      <c r="D173" s="559">
        <f t="shared" si="9"/>
        <v>4144.1797203039259</v>
      </c>
      <c r="E173" s="559">
        <f t="shared" si="10"/>
        <v>4035.7205708026104</v>
      </c>
      <c r="G173" s="559">
        <f t="shared" si="11"/>
        <v>795682.50629835378</v>
      </c>
    </row>
    <row r="174" spans="2:7" x14ac:dyDescent="0.3">
      <c r="B174" s="561">
        <v>165</v>
      </c>
      <c r="C174" s="559">
        <f t="shared" si="8"/>
        <v>8179.9002911065363</v>
      </c>
      <c r="D174" s="559">
        <f t="shared" si="9"/>
        <v>4123.1603423309962</v>
      </c>
      <c r="E174" s="559">
        <f t="shared" si="10"/>
        <v>4056.7399487755401</v>
      </c>
      <c r="G174" s="559">
        <f t="shared" si="11"/>
        <v>791646.78572755121</v>
      </c>
    </row>
    <row r="175" spans="2:7" x14ac:dyDescent="0.3">
      <c r="B175" s="561">
        <v>166</v>
      </c>
      <c r="C175" s="559">
        <f t="shared" si="8"/>
        <v>8179.9002911065363</v>
      </c>
      <c r="D175" s="559">
        <f t="shared" si="9"/>
        <v>4102.0314884311238</v>
      </c>
      <c r="E175" s="559">
        <f t="shared" si="10"/>
        <v>4077.8688026754126</v>
      </c>
      <c r="G175" s="559">
        <f t="shared" si="11"/>
        <v>787590.0457787757</v>
      </c>
    </row>
    <row r="176" spans="2:7" x14ac:dyDescent="0.3">
      <c r="B176" s="561">
        <v>167</v>
      </c>
      <c r="C176" s="559">
        <f t="shared" si="8"/>
        <v>8179.9002911065363</v>
      </c>
      <c r="D176" s="559">
        <f t="shared" si="9"/>
        <v>4080.7925884171891</v>
      </c>
      <c r="E176" s="559">
        <f t="shared" si="10"/>
        <v>4099.1077026893472</v>
      </c>
      <c r="G176" s="559">
        <f t="shared" si="11"/>
        <v>783512.17697610031</v>
      </c>
    </row>
    <row r="177" spans="2:7" x14ac:dyDescent="0.3">
      <c r="B177" s="561">
        <v>168</v>
      </c>
      <c r="C177" s="559">
        <f t="shared" si="8"/>
        <v>8179.9002911065363</v>
      </c>
      <c r="D177" s="559">
        <f t="shared" si="9"/>
        <v>4059.4430691323487</v>
      </c>
      <c r="E177" s="559">
        <f t="shared" si="10"/>
        <v>4120.4572219741876</v>
      </c>
      <c r="G177" s="559">
        <f t="shared" si="11"/>
        <v>779413.06927341095</v>
      </c>
    </row>
    <row r="178" spans="2:7" x14ac:dyDescent="0.3">
      <c r="B178" s="561">
        <v>169</v>
      </c>
      <c r="C178" s="559">
        <f t="shared" si="8"/>
        <v>8179.9002911065363</v>
      </c>
      <c r="D178" s="559">
        <f t="shared" si="9"/>
        <v>4037.9823544345668</v>
      </c>
      <c r="E178" s="559">
        <f t="shared" si="10"/>
        <v>4141.9179366719691</v>
      </c>
      <c r="G178" s="559">
        <f t="shared" si="11"/>
        <v>775292.61205143679</v>
      </c>
    </row>
    <row r="179" spans="2:7" x14ac:dyDescent="0.3">
      <c r="B179" s="561">
        <v>170</v>
      </c>
      <c r="C179" s="559">
        <f t="shared" si="8"/>
        <v>8179.9002911065363</v>
      </c>
      <c r="D179" s="559">
        <f t="shared" si="9"/>
        <v>4016.4098651810668</v>
      </c>
      <c r="E179" s="559">
        <f t="shared" si="10"/>
        <v>4163.490425925469</v>
      </c>
      <c r="G179" s="559">
        <f t="shared" si="11"/>
        <v>771150.6941147648</v>
      </c>
    </row>
    <row r="180" spans="2:7" x14ac:dyDescent="0.3">
      <c r="B180" s="561">
        <v>171</v>
      </c>
      <c r="C180" s="559">
        <f t="shared" si="8"/>
        <v>8179.9002911065363</v>
      </c>
      <c r="D180" s="559">
        <f t="shared" si="9"/>
        <v>3994.7250192127049</v>
      </c>
      <c r="E180" s="559">
        <f t="shared" si="10"/>
        <v>4185.1752718938315</v>
      </c>
      <c r="G180" s="559">
        <f t="shared" si="11"/>
        <v>766987.20368883933</v>
      </c>
    </row>
    <row r="181" spans="2:7" x14ac:dyDescent="0.3">
      <c r="B181" s="561">
        <v>172</v>
      </c>
      <c r="C181" s="559">
        <f t="shared" si="8"/>
        <v>8179.9002911065363</v>
      </c>
      <c r="D181" s="559">
        <f t="shared" si="9"/>
        <v>3972.9272313382576</v>
      </c>
      <c r="E181" s="559">
        <f t="shared" si="10"/>
        <v>4206.9730597682792</v>
      </c>
      <c r="G181" s="559">
        <f t="shared" si="11"/>
        <v>762802.02841694548</v>
      </c>
    </row>
    <row r="182" spans="2:7" x14ac:dyDescent="0.3">
      <c r="B182" s="561">
        <v>173</v>
      </c>
      <c r="C182" s="559">
        <f t="shared" si="8"/>
        <v>8179.9002911065363</v>
      </c>
      <c r="D182" s="559">
        <f t="shared" si="9"/>
        <v>3951.0159133186312</v>
      </c>
      <c r="E182" s="559">
        <f t="shared" si="10"/>
        <v>4228.8843777879047</v>
      </c>
      <c r="G182" s="559">
        <f t="shared" si="11"/>
        <v>758595.05535717716</v>
      </c>
    </row>
    <row r="183" spans="2:7" x14ac:dyDescent="0.3">
      <c r="B183" s="561">
        <v>174</v>
      </c>
      <c r="C183" s="559">
        <f t="shared" si="8"/>
        <v>8179.9002911065363</v>
      </c>
      <c r="D183" s="559">
        <f t="shared" si="9"/>
        <v>3928.9904738509854</v>
      </c>
      <c r="E183" s="559">
        <f t="shared" si="10"/>
        <v>4250.9098172555514</v>
      </c>
      <c r="G183" s="559">
        <f t="shared" si="11"/>
        <v>754366.17097938922</v>
      </c>
    </row>
    <row r="184" spans="2:7" x14ac:dyDescent="0.3">
      <c r="B184" s="561">
        <v>175</v>
      </c>
      <c r="C184" s="559">
        <f t="shared" si="8"/>
        <v>8179.9002911065363</v>
      </c>
      <c r="D184" s="559">
        <f t="shared" si="9"/>
        <v>3906.8503185527793</v>
      </c>
      <c r="E184" s="559">
        <f t="shared" si="10"/>
        <v>4273.0499725537575</v>
      </c>
      <c r="G184" s="559">
        <f t="shared" si="11"/>
        <v>750115.26116213365</v>
      </c>
    </row>
    <row r="185" spans="2:7" x14ac:dyDescent="0.3">
      <c r="B185" s="561">
        <v>176</v>
      </c>
      <c r="C185" s="559">
        <f t="shared" si="8"/>
        <v>8179.9002911065363</v>
      </c>
      <c r="D185" s="559">
        <f t="shared" si="9"/>
        <v>3884.5948499457286</v>
      </c>
      <c r="E185" s="559">
        <f t="shared" si="10"/>
        <v>4295.3054411608082</v>
      </c>
      <c r="G185" s="559">
        <f t="shared" si="11"/>
        <v>745842.21118957992</v>
      </c>
    </row>
    <row r="186" spans="2:7" x14ac:dyDescent="0.3">
      <c r="B186" s="561">
        <v>177</v>
      </c>
      <c r="C186" s="559">
        <f t="shared" si="8"/>
        <v>8179.9002911065363</v>
      </c>
      <c r="D186" s="559">
        <f t="shared" si="9"/>
        <v>3862.2234674396827</v>
      </c>
      <c r="E186" s="559">
        <f t="shared" si="10"/>
        <v>4317.676823666854</v>
      </c>
      <c r="G186" s="559">
        <f t="shared" si="11"/>
        <v>741546.90574841911</v>
      </c>
    </row>
    <row r="187" spans="2:7" x14ac:dyDescent="0.3">
      <c r="B187" s="561">
        <v>178</v>
      </c>
      <c r="C187" s="559">
        <f t="shared" si="8"/>
        <v>8179.9002911065363</v>
      </c>
      <c r="D187" s="559">
        <f t="shared" si="9"/>
        <v>3839.7355673164179</v>
      </c>
      <c r="E187" s="559">
        <f t="shared" si="10"/>
        <v>4340.1647237901179</v>
      </c>
      <c r="G187" s="559">
        <f t="shared" si="11"/>
        <v>737229.22892475221</v>
      </c>
    </row>
    <row r="188" spans="2:7" x14ac:dyDescent="0.3">
      <c r="B188" s="561">
        <v>179</v>
      </c>
      <c r="C188" s="559">
        <f t="shared" si="8"/>
        <v>8179.9002911065363</v>
      </c>
      <c r="D188" s="559">
        <f t="shared" si="9"/>
        <v>3817.1305427133443</v>
      </c>
      <c r="E188" s="559">
        <f t="shared" si="10"/>
        <v>4362.7697483931915</v>
      </c>
      <c r="G188" s="559">
        <f t="shared" si="11"/>
        <v>732889.06420096208</v>
      </c>
    </row>
    <row r="189" spans="2:7" x14ac:dyDescent="0.3">
      <c r="B189" s="561">
        <v>180</v>
      </c>
      <c r="C189" s="559">
        <f t="shared" si="8"/>
        <v>8179.9002911065363</v>
      </c>
      <c r="D189" s="559">
        <f t="shared" si="9"/>
        <v>3794.4077836071297</v>
      </c>
      <c r="E189" s="559">
        <f t="shared" si="10"/>
        <v>4385.4925074994062</v>
      </c>
      <c r="G189" s="559">
        <f t="shared" si="11"/>
        <v>728526.29445256887</v>
      </c>
    </row>
    <row r="190" spans="2:7" x14ac:dyDescent="0.3">
      <c r="B190" s="561">
        <v>181</v>
      </c>
      <c r="C190" s="559">
        <f t="shared" si="8"/>
        <v>8179.9002911065363</v>
      </c>
      <c r="D190" s="559">
        <f t="shared" si="9"/>
        <v>3771.5666767972366</v>
      </c>
      <c r="E190" s="559">
        <f t="shared" si="10"/>
        <v>4408.3336143093002</v>
      </c>
      <c r="G190" s="559">
        <f t="shared" si="11"/>
        <v>724140.80194506946</v>
      </c>
    </row>
    <row r="191" spans="2:7" x14ac:dyDescent="0.3">
      <c r="B191" s="561">
        <v>182</v>
      </c>
      <c r="C191" s="559">
        <f t="shared" si="8"/>
        <v>8179.9002911065363</v>
      </c>
      <c r="D191" s="559">
        <f t="shared" si="9"/>
        <v>3748.6066058893757</v>
      </c>
      <c r="E191" s="559">
        <f t="shared" si="10"/>
        <v>4431.2936852171606</v>
      </c>
      <c r="G191" s="559">
        <f t="shared" si="11"/>
        <v>719732.46833076014</v>
      </c>
    </row>
    <row r="192" spans="2:7" x14ac:dyDescent="0.3">
      <c r="B192" s="561">
        <v>183</v>
      </c>
      <c r="C192" s="559">
        <f t="shared" si="8"/>
        <v>8179.9002911065363</v>
      </c>
      <c r="D192" s="559">
        <f t="shared" si="9"/>
        <v>3725.5269512788695</v>
      </c>
      <c r="E192" s="559">
        <f t="shared" si="10"/>
        <v>4454.3733398276672</v>
      </c>
      <c r="G192" s="559">
        <f t="shared" si="11"/>
        <v>715301.17464554298</v>
      </c>
    </row>
    <row r="193" spans="2:7" x14ac:dyDescent="0.3">
      <c r="B193" s="561">
        <v>184</v>
      </c>
      <c r="C193" s="559">
        <f t="shared" si="8"/>
        <v>8179.9002911065363</v>
      </c>
      <c r="D193" s="559">
        <f t="shared" si="9"/>
        <v>3702.3270901339342</v>
      </c>
      <c r="E193" s="559">
        <f t="shared" si="10"/>
        <v>4477.5732009726016</v>
      </c>
      <c r="G193" s="559">
        <f t="shared" si="11"/>
        <v>710846.80130571534</v>
      </c>
    </row>
    <row r="194" spans="2:7" x14ac:dyDescent="0.3">
      <c r="B194" s="561">
        <v>185</v>
      </c>
      <c r="C194" s="559">
        <f t="shared" si="8"/>
        <v>8179.9002911065363</v>
      </c>
      <c r="D194" s="559">
        <f t="shared" si="9"/>
        <v>3679.0063963788684</v>
      </c>
      <c r="E194" s="559">
        <f t="shared" si="10"/>
        <v>4500.8938947276674</v>
      </c>
      <c r="G194" s="559">
        <f t="shared" si="11"/>
        <v>706369.22810474271</v>
      </c>
    </row>
    <row r="195" spans="2:7" x14ac:dyDescent="0.3">
      <c r="B195" s="561">
        <v>186</v>
      </c>
      <c r="C195" s="559">
        <f t="shared" si="8"/>
        <v>8179.9002911065363</v>
      </c>
      <c r="D195" s="559">
        <f t="shared" si="9"/>
        <v>3655.5642406771617</v>
      </c>
      <c r="E195" s="559">
        <f t="shared" si="10"/>
        <v>4524.3360504293742</v>
      </c>
      <c r="G195" s="559">
        <f t="shared" si="11"/>
        <v>701868.33421001502</v>
      </c>
    </row>
    <row r="196" spans="2:7" x14ac:dyDescent="0.3">
      <c r="B196" s="561">
        <v>187</v>
      </c>
      <c r="C196" s="559">
        <f t="shared" si="8"/>
        <v>8179.9002911065363</v>
      </c>
      <c r="D196" s="559">
        <f t="shared" si="9"/>
        <v>3631.9999904145084</v>
      </c>
      <c r="E196" s="559">
        <f t="shared" si="10"/>
        <v>4547.9003006920284</v>
      </c>
      <c r="G196" s="559">
        <f t="shared" si="11"/>
        <v>697343.99815958564</v>
      </c>
    </row>
    <row r="197" spans="2:7" x14ac:dyDescent="0.3">
      <c r="B197" s="561">
        <v>188</v>
      </c>
      <c r="C197" s="559">
        <f t="shared" si="8"/>
        <v>8179.9002911065363</v>
      </c>
      <c r="D197" s="559">
        <f t="shared" si="9"/>
        <v>3608.3130096817372</v>
      </c>
      <c r="E197" s="559">
        <f t="shared" si="10"/>
        <v>4571.5872814247996</v>
      </c>
      <c r="G197" s="559">
        <f t="shared" si="11"/>
        <v>692796.09785889357</v>
      </c>
    </row>
    <row r="198" spans="2:7" x14ac:dyDescent="0.3">
      <c r="B198" s="561">
        <v>189</v>
      </c>
      <c r="C198" s="559">
        <f t="shared" si="8"/>
        <v>8179.9002911065363</v>
      </c>
      <c r="D198" s="559">
        <f t="shared" si="9"/>
        <v>3584.5026592576501</v>
      </c>
      <c r="E198" s="559">
        <f t="shared" si="10"/>
        <v>4595.3976318488858</v>
      </c>
      <c r="G198" s="559">
        <f t="shared" si="11"/>
        <v>688224.51057746878</v>
      </c>
    </row>
    <row r="199" spans="2:7" x14ac:dyDescent="0.3">
      <c r="B199" s="561">
        <v>190</v>
      </c>
      <c r="C199" s="559">
        <f t="shared" si="8"/>
        <v>8179.9002911065363</v>
      </c>
      <c r="D199" s="559">
        <f t="shared" si="9"/>
        <v>3560.5682965917699</v>
      </c>
      <c r="E199" s="559">
        <f t="shared" si="10"/>
        <v>4619.3319945147668</v>
      </c>
      <c r="G199" s="559">
        <f t="shared" si="11"/>
        <v>683629.11294561985</v>
      </c>
    </row>
    <row r="200" spans="2:7" x14ac:dyDescent="0.3">
      <c r="B200" s="561">
        <v>191</v>
      </c>
      <c r="C200" s="559">
        <f t="shared" si="8"/>
        <v>8179.9002911065363</v>
      </c>
      <c r="D200" s="559">
        <f t="shared" si="9"/>
        <v>3536.5092757870057</v>
      </c>
      <c r="E200" s="559">
        <f t="shared" si="10"/>
        <v>4643.3910153195302</v>
      </c>
      <c r="G200" s="559">
        <f t="shared" si="11"/>
        <v>679009.78095110506</v>
      </c>
    </row>
    <row r="201" spans="2:7" x14ac:dyDescent="0.3">
      <c r="B201" s="561">
        <v>192</v>
      </c>
      <c r="C201" s="559">
        <f t="shared" si="8"/>
        <v>8179.9002911065363</v>
      </c>
      <c r="D201" s="559">
        <f t="shared" si="9"/>
        <v>3512.3249475822163</v>
      </c>
      <c r="E201" s="559">
        <f t="shared" si="10"/>
        <v>4667.5753435243205</v>
      </c>
      <c r="G201" s="559">
        <f t="shared" si="11"/>
        <v>674366.38993578556</v>
      </c>
    </row>
    <row r="202" spans="2:7" x14ac:dyDescent="0.3">
      <c r="B202" s="561">
        <v>193</v>
      </c>
      <c r="C202" s="559">
        <f t="shared" ref="C202:C265" si="12">IF($C$3&lt;G202+(G202*($C$4/$C$6)),$C$3,G202+(G202*($C$4/$C$6)))</f>
        <v>8179.9002911065363</v>
      </c>
      <c r="D202" s="559">
        <f t="shared" ref="D202:D265" si="13">G202*$C$4/$C$6</f>
        <v>3488.014659334694</v>
      </c>
      <c r="E202" s="559">
        <f t="shared" ref="E202:E265" si="14">C202-D202</f>
        <v>4691.8856317718419</v>
      </c>
      <c r="G202" s="559">
        <f t="shared" si="11"/>
        <v>669698.81459226122</v>
      </c>
    </row>
    <row r="203" spans="2:7" x14ac:dyDescent="0.3">
      <c r="B203" s="561">
        <v>194</v>
      </c>
      <c r="C203" s="559">
        <f t="shared" si="12"/>
        <v>8179.9002911065363</v>
      </c>
      <c r="D203" s="559">
        <f t="shared" si="13"/>
        <v>3463.5777550025487</v>
      </c>
      <c r="E203" s="559">
        <f t="shared" si="14"/>
        <v>4716.3225361039877</v>
      </c>
      <c r="G203" s="559">
        <f t="shared" ref="G203:G266" si="15">G202-E202-F202</f>
        <v>665006.92896048934</v>
      </c>
    </row>
    <row r="204" spans="2:7" x14ac:dyDescent="0.3">
      <c r="B204" s="561">
        <v>195</v>
      </c>
      <c r="C204" s="559">
        <f t="shared" si="12"/>
        <v>8179.9002911065363</v>
      </c>
      <c r="D204" s="559">
        <f t="shared" si="13"/>
        <v>3439.0135751270068</v>
      </c>
      <c r="E204" s="559">
        <f t="shared" si="14"/>
        <v>4740.88671597953</v>
      </c>
      <c r="G204" s="559">
        <f t="shared" si="15"/>
        <v>660290.60642438533</v>
      </c>
    </row>
    <row r="205" spans="2:7" x14ac:dyDescent="0.3">
      <c r="B205" s="561">
        <v>196</v>
      </c>
      <c r="C205" s="559">
        <f t="shared" si="12"/>
        <v>8179.9002911065363</v>
      </c>
      <c r="D205" s="559">
        <f t="shared" si="13"/>
        <v>3414.3214568146136</v>
      </c>
      <c r="E205" s="559">
        <f t="shared" si="14"/>
        <v>4765.5788342919222</v>
      </c>
      <c r="G205" s="559">
        <f t="shared" si="15"/>
        <v>655549.71970840578</v>
      </c>
    </row>
    <row r="206" spans="2:7" x14ac:dyDescent="0.3">
      <c r="B206" s="561">
        <v>197</v>
      </c>
      <c r="C206" s="559">
        <f t="shared" si="12"/>
        <v>8179.9002911065363</v>
      </c>
      <c r="D206" s="559">
        <f t="shared" si="13"/>
        <v>3389.5007337193433</v>
      </c>
      <c r="E206" s="559">
        <f t="shared" si="14"/>
        <v>4790.3995573871925</v>
      </c>
      <c r="G206" s="559">
        <f t="shared" si="15"/>
        <v>650784.14087411389</v>
      </c>
    </row>
    <row r="207" spans="2:7" x14ac:dyDescent="0.3">
      <c r="B207" s="561">
        <v>198</v>
      </c>
      <c r="C207" s="559">
        <f t="shared" si="12"/>
        <v>8179.9002911065363</v>
      </c>
      <c r="D207" s="559">
        <f t="shared" si="13"/>
        <v>3364.5507360246179</v>
      </c>
      <c r="E207" s="559">
        <f t="shared" si="14"/>
        <v>4815.3495550819189</v>
      </c>
      <c r="G207" s="559">
        <f t="shared" si="15"/>
        <v>645993.74131672666</v>
      </c>
    </row>
    <row r="208" spans="2:7" x14ac:dyDescent="0.3">
      <c r="B208" s="561">
        <v>199</v>
      </c>
      <c r="C208" s="559">
        <f t="shared" si="12"/>
        <v>8179.9002911065363</v>
      </c>
      <c r="D208" s="559">
        <f t="shared" si="13"/>
        <v>3339.4707904252332</v>
      </c>
      <c r="E208" s="559">
        <f t="shared" si="14"/>
        <v>4840.4295006813027</v>
      </c>
      <c r="G208" s="559">
        <f t="shared" si="15"/>
        <v>641178.39176164474</v>
      </c>
    </row>
    <row r="209" spans="2:7" x14ac:dyDescent="0.3">
      <c r="B209" s="561">
        <v>200</v>
      </c>
      <c r="C209" s="559">
        <f t="shared" si="12"/>
        <v>8179.9002911065363</v>
      </c>
      <c r="D209" s="559">
        <f t="shared" si="13"/>
        <v>3314.2602201091845</v>
      </c>
      <c r="E209" s="559">
        <f t="shared" si="14"/>
        <v>4865.6400709973514</v>
      </c>
      <c r="G209" s="559">
        <f t="shared" si="15"/>
        <v>636337.9622609634</v>
      </c>
    </row>
    <row r="210" spans="2:7" x14ac:dyDescent="0.3">
      <c r="B210" s="561">
        <v>201</v>
      </c>
      <c r="C210" s="559">
        <f t="shared" si="12"/>
        <v>8179.9002911065363</v>
      </c>
      <c r="D210" s="559">
        <f t="shared" si="13"/>
        <v>3288.9183447394066</v>
      </c>
      <c r="E210" s="559">
        <f t="shared" si="14"/>
        <v>4890.9819463671301</v>
      </c>
      <c r="G210" s="559">
        <f t="shared" si="15"/>
        <v>631472.3221899661</v>
      </c>
    </row>
    <row r="211" spans="2:7" x14ac:dyDescent="0.3">
      <c r="B211" s="561">
        <v>202</v>
      </c>
      <c r="C211" s="559">
        <f t="shared" si="12"/>
        <v>8179.9002911065363</v>
      </c>
      <c r="D211" s="559">
        <f t="shared" si="13"/>
        <v>3263.4444804354112</v>
      </c>
      <c r="E211" s="559">
        <f t="shared" si="14"/>
        <v>4916.4558106711247</v>
      </c>
      <c r="G211" s="559">
        <f t="shared" si="15"/>
        <v>626581.34024359891</v>
      </c>
    </row>
    <row r="212" spans="2:7" x14ac:dyDescent="0.3">
      <c r="B212" s="561">
        <v>203</v>
      </c>
      <c r="C212" s="559">
        <f t="shared" si="12"/>
        <v>8179.9002911065363</v>
      </c>
      <c r="D212" s="559">
        <f t="shared" si="13"/>
        <v>3237.8379397548324</v>
      </c>
      <c r="E212" s="559">
        <f t="shared" si="14"/>
        <v>4942.0623513517039</v>
      </c>
      <c r="G212" s="559">
        <f t="shared" si="15"/>
        <v>621664.88443292782</v>
      </c>
    </row>
    <row r="213" spans="2:7" x14ac:dyDescent="0.3">
      <c r="B213" s="561">
        <v>204</v>
      </c>
      <c r="C213" s="559">
        <f t="shared" si="12"/>
        <v>8179.9002911065363</v>
      </c>
      <c r="D213" s="559">
        <f t="shared" si="13"/>
        <v>3212.0980316748755</v>
      </c>
      <c r="E213" s="559">
        <f t="shared" si="14"/>
        <v>4967.8022594316608</v>
      </c>
      <c r="G213" s="559">
        <f t="shared" si="15"/>
        <v>616722.8220815761</v>
      </c>
    </row>
    <row r="214" spans="2:7" x14ac:dyDescent="0.3">
      <c r="B214" s="561">
        <v>205</v>
      </c>
      <c r="C214" s="559">
        <f t="shared" si="12"/>
        <v>8179.9002911065363</v>
      </c>
      <c r="D214" s="559">
        <f t="shared" si="13"/>
        <v>3186.2240615736687</v>
      </c>
      <c r="E214" s="559">
        <f t="shared" si="14"/>
        <v>4993.6762295328681</v>
      </c>
      <c r="G214" s="559">
        <f t="shared" si="15"/>
        <v>611755.01982214442</v>
      </c>
    </row>
    <row r="215" spans="2:7" x14ac:dyDescent="0.3">
      <c r="B215" s="561">
        <v>206</v>
      </c>
      <c r="C215" s="559">
        <f t="shared" si="12"/>
        <v>8179.9002911065363</v>
      </c>
      <c r="D215" s="559">
        <f t="shared" si="13"/>
        <v>3160.2153312115183</v>
      </c>
      <c r="E215" s="559">
        <f t="shared" si="14"/>
        <v>5019.6849598950175</v>
      </c>
      <c r="G215" s="559">
        <f t="shared" si="15"/>
        <v>606761.34359261149</v>
      </c>
    </row>
    <row r="216" spans="2:7" x14ac:dyDescent="0.3">
      <c r="B216" s="561">
        <v>207</v>
      </c>
      <c r="C216" s="559">
        <f t="shared" si="12"/>
        <v>8179.9002911065363</v>
      </c>
      <c r="D216" s="559">
        <f t="shared" si="13"/>
        <v>3134.071138712065</v>
      </c>
      <c r="E216" s="559">
        <f t="shared" si="14"/>
        <v>5045.8291523944717</v>
      </c>
      <c r="G216" s="559">
        <f t="shared" si="15"/>
        <v>601741.65863271651</v>
      </c>
    </row>
    <row r="217" spans="2:7" x14ac:dyDescent="0.3">
      <c r="B217" s="561">
        <v>208</v>
      </c>
      <c r="C217" s="559">
        <f t="shared" si="12"/>
        <v>8179.9002911065363</v>
      </c>
      <c r="D217" s="559">
        <f t="shared" si="13"/>
        <v>3107.790778543344</v>
      </c>
      <c r="E217" s="559">
        <f t="shared" si="14"/>
        <v>5072.1095125631928</v>
      </c>
      <c r="G217" s="559">
        <f t="shared" si="15"/>
        <v>596695.82948032208</v>
      </c>
    </row>
    <row r="218" spans="2:7" x14ac:dyDescent="0.3">
      <c r="B218" s="561">
        <v>209</v>
      </c>
      <c r="C218" s="559">
        <f t="shared" si="12"/>
        <v>8179.9002911065363</v>
      </c>
      <c r="D218" s="559">
        <f t="shared" si="13"/>
        <v>3081.3735414987441</v>
      </c>
      <c r="E218" s="559">
        <f t="shared" si="14"/>
        <v>5098.5267496077922</v>
      </c>
      <c r="G218" s="559">
        <f t="shared" si="15"/>
        <v>591623.71996775887</v>
      </c>
    </row>
    <row r="219" spans="2:7" x14ac:dyDescent="0.3">
      <c r="B219" s="561">
        <v>210</v>
      </c>
      <c r="C219" s="559">
        <f t="shared" si="12"/>
        <v>8179.9002911065363</v>
      </c>
      <c r="D219" s="559">
        <f t="shared" si="13"/>
        <v>3054.8187146778705</v>
      </c>
      <c r="E219" s="559">
        <f t="shared" si="14"/>
        <v>5125.0815764286654</v>
      </c>
      <c r="G219" s="559">
        <f t="shared" si="15"/>
        <v>586525.19321815111</v>
      </c>
    </row>
    <row r="220" spans="2:7" x14ac:dyDescent="0.3">
      <c r="B220" s="561">
        <v>211</v>
      </c>
      <c r="C220" s="559">
        <f t="shared" si="12"/>
        <v>8179.9002911065363</v>
      </c>
      <c r="D220" s="559">
        <f t="shared" si="13"/>
        <v>3028.1255814673045</v>
      </c>
      <c r="E220" s="559">
        <f t="shared" si="14"/>
        <v>5151.7747096392322</v>
      </c>
      <c r="G220" s="559">
        <f t="shared" si="15"/>
        <v>581400.1116417225</v>
      </c>
    </row>
    <row r="221" spans="2:7" x14ac:dyDescent="0.3">
      <c r="B221" s="561">
        <v>212</v>
      </c>
      <c r="C221" s="559">
        <f t="shared" si="12"/>
        <v>8179.9002911065363</v>
      </c>
      <c r="D221" s="559">
        <f t="shared" si="13"/>
        <v>3001.2934215212667</v>
      </c>
      <c r="E221" s="559">
        <f t="shared" si="14"/>
        <v>5178.60686958527</v>
      </c>
      <c r="G221" s="559">
        <f t="shared" si="15"/>
        <v>576248.33693208324</v>
      </c>
    </row>
    <row r="222" spans="2:7" x14ac:dyDescent="0.3">
      <c r="B222" s="561">
        <v>213</v>
      </c>
      <c r="C222" s="559">
        <f t="shared" si="12"/>
        <v>8179.9002911065363</v>
      </c>
      <c r="D222" s="559">
        <f t="shared" si="13"/>
        <v>2974.321510742177</v>
      </c>
      <c r="E222" s="559">
        <f t="shared" si="14"/>
        <v>5205.5787803643598</v>
      </c>
      <c r="G222" s="559">
        <f t="shared" si="15"/>
        <v>571069.73006249801</v>
      </c>
    </row>
    <row r="223" spans="2:7" x14ac:dyDescent="0.3">
      <c r="B223" s="561">
        <v>214</v>
      </c>
      <c r="C223" s="559">
        <f t="shared" si="12"/>
        <v>8179.9002911065363</v>
      </c>
      <c r="D223" s="559">
        <f t="shared" si="13"/>
        <v>2947.2091212611126</v>
      </c>
      <c r="E223" s="559">
        <f t="shared" si="14"/>
        <v>5232.6911698454242</v>
      </c>
      <c r="G223" s="559">
        <f t="shared" si="15"/>
        <v>565864.15128213365</v>
      </c>
    </row>
    <row r="224" spans="2:7" x14ac:dyDescent="0.3">
      <c r="B224" s="561">
        <v>215</v>
      </c>
      <c r="C224" s="559">
        <f t="shared" si="12"/>
        <v>8179.9002911065363</v>
      </c>
      <c r="D224" s="559">
        <f t="shared" si="13"/>
        <v>2919.9555214181678</v>
      </c>
      <c r="E224" s="559">
        <f t="shared" si="14"/>
        <v>5259.944769688369</v>
      </c>
      <c r="G224" s="559">
        <f t="shared" si="15"/>
        <v>560631.46011228824</v>
      </c>
    </row>
    <row r="225" spans="2:7" x14ac:dyDescent="0.3">
      <c r="B225" s="561">
        <v>216</v>
      </c>
      <c r="C225" s="559">
        <f t="shared" si="12"/>
        <v>8179.9002911065363</v>
      </c>
      <c r="D225" s="559">
        <f t="shared" si="13"/>
        <v>2892.5599757427076</v>
      </c>
      <c r="E225" s="559">
        <f t="shared" si="14"/>
        <v>5287.3403153638283</v>
      </c>
      <c r="G225" s="559">
        <f t="shared" si="15"/>
        <v>555371.51534259983</v>
      </c>
    </row>
    <row r="226" spans="2:7" x14ac:dyDescent="0.3">
      <c r="B226" s="561">
        <v>217</v>
      </c>
      <c r="C226" s="559">
        <f t="shared" si="12"/>
        <v>8179.9002911065363</v>
      </c>
      <c r="D226" s="559">
        <f t="shared" si="13"/>
        <v>2865.0217449335209</v>
      </c>
      <c r="E226" s="559">
        <f t="shared" si="14"/>
        <v>5314.8785461730149</v>
      </c>
      <c r="G226" s="559">
        <f t="shared" si="15"/>
        <v>550084.17502723599</v>
      </c>
    </row>
    <row r="227" spans="2:7" x14ac:dyDescent="0.3">
      <c r="B227" s="561">
        <v>218</v>
      </c>
      <c r="C227" s="559">
        <f t="shared" si="12"/>
        <v>8179.9002911065363</v>
      </c>
      <c r="D227" s="559">
        <f t="shared" si="13"/>
        <v>2837.34008583887</v>
      </c>
      <c r="E227" s="559">
        <f t="shared" si="14"/>
        <v>5342.5602052676659</v>
      </c>
      <c r="G227" s="559">
        <f t="shared" si="15"/>
        <v>544769.29648106301</v>
      </c>
    </row>
    <row r="228" spans="2:7" x14ac:dyDescent="0.3">
      <c r="B228" s="561">
        <v>219</v>
      </c>
      <c r="C228" s="559">
        <f t="shared" si="12"/>
        <v>8179.9002911065363</v>
      </c>
      <c r="D228" s="559">
        <f t="shared" si="13"/>
        <v>2809.5142514364343</v>
      </c>
      <c r="E228" s="559">
        <f t="shared" si="14"/>
        <v>5370.386039670102</v>
      </c>
      <c r="G228" s="559">
        <f t="shared" si="15"/>
        <v>539426.73627579538</v>
      </c>
    </row>
    <row r="229" spans="2:7" x14ac:dyDescent="0.3">
      <c r="B229" s="561">
        <v>220</v>
      </c>
      <c r="C229" s="559">
        <f t="shared" si="12"/>
        <v>8179.9002911065363</v>
      </c>
      <c r="D229" s="559">
        <f t="shared" si="13"/>
        <v>2781.5434908131524</v>
      </c>
      <c r="E229" s="559">
        <f t="shared" si="14"/>
        <v>5398.3568002933844</v>
      </c>
      <c r="G229" s="559">
        <f t="shared" si="15"/>
        <v>534056.35023612529</v>
      </c>
    </row>
    <row r="230" spans="2:7" x14ac:dyDescent="0.3">
      <c r="B230" s="561">
        <v>221</v>
      </c>
      <c r="C230" s="559">
        <f t="shared" si="12"/>
        <v>8179.9002911065363</v>
      </c>
      <c r="D230" s="559">
        <f t="shared" si="13"/>
        <v>2753.4270491449574</v>
      </c>
      <c r="E230" s="559">
        <f t="shared" si="14"/>
        <v>5426.4732419615793</v>
      </c>
      <c r="G230" s="559">
        <f t="shared" si="15"/>
        <v>528657.99343583186</v>
      </c>
    </row>
    <row r="231" spans="2:7" x14ac:dyDescent="0.3">
      <c r="B231" s="561">
        <v>222</v>
      </c>
      <c r="C231" s="559">
        <f t="shared" si="12"/>
        <v>8179.9002911065363</v>
      </c>
      <c r="D231" s="559">
        <f t="shared" si="13"/>
        <v>2725.1641676764079</v>
      </c>
      <c r="E231" s="559">
        <f t="shared" si="14"/>
        <v>5454.7361234301279</v>
      </c>
      <c r="G231" s="559">
        <f t="shared" si="15"/>
        <v>523231.5201938703</v>
      </c>
    </row>
    <row r="232" spans="2:7" x14ac:dyDescent="0.3">
      <c r="B232" s="561">
        <v>223</v>
      </c>
      <c r="C232" s="559">
        <f t="shared" si="12"/>
        <v>8179.9002911065363</v>
      </c>
      <c r="D232" s="559">
        <f t="shared" si="13"/>
        <v>2696.7540837002093</v>
      </c>
      <c r="E232" s="559">
        <f t="shared" si="14"/>
        <v>5483.1462074063274</v>
      </c>
      <c r="G232" s="559">
        <f t="shared" si="15"/>
        <v>517776.78407044016</v>
      </c>
    </row>
    <row r="233" spans="2:7" x14ac:dyDescent="0.3">
      <c r="B233" s="561">
        <v>224</v>
      </c>
      <c r="C233" s="559">
        <f t="shared" si="12"/>
        <v>8179.9002911065363</v>
      </c>
      <c r="D233" s="559">
        <f t="shared" si="13"/>
        <v>2668.1960305366347</v>
      </c>
      <c r="E233" s="559">
        <f t="shared" si="14"/>
        <v>5511.7042605699016</v>
      </c>
      <c r="G233" s="559">
        <f t="shared" si="15"/>
        <v>512293.63786303386</v>
      </c>
    </row>
    <row r="234" spans="2:7" x14ac:dyDescent="0.3">
      <c r="B234" s="561">
        <v>225</v>
      </c>
      <c r="C234" s="559">
        <f t="shared" si="12"/>
        <v>8179.9002911065363</v>
      </c>
      <c r="D234" s="559">
        <f t="shared" si="13"/>
        <v>2639.4892375128334</v>
      </c>
      <c r="E234" s="559">
        <f t="shared" si="14"/>
        <v>5540.4110535937034</v>
      </c>
      <c r="G234" s="559">
        <f t="shared" si="15"/>
        <v>506781.93360246398</v>
      </c>
    </row>
    <row r="235" spans="2:7" x14ac:dyDescent="0.3">
      <c r="B235" s="561">
        <v>226</v>
      </c>
      <c r="C235" s="559">
        <f t="shared" si="12"/>
        <v>8179.9002911065363</v>
      </c>
      <c r="D235" s="559">
        <f t="shared" si="13"/>
        <v>2610.6329299420327</v>
      </c>
      <c r="E235" s="559">
        <f t="shared" si="14"/>
        <v>5569.2673611645041</v>
      </c>
      <c r="G235" s="559">
        <f t="shared" si="15"/>
        <v>501241.5225488703</v>
      </c>
    </row>
    <row r="236" spans="2:7" x14ac:dyDescent="0.3">
      <c r="B236" s="561">
        <v>227</v>
      </c>
      <c r="C236" s="559">
        <f t="shared" si="12"/>
        <v>8179.9002911065363</v>
      </c>
      <c r="D236" s="559">
        <f t="shared" si="13"/>
        <v>2581.6263291026344</v>
      </c>
      <c r="E236" s="559">
        <f t="shared" si="14"/>
        <v>5598.2739620039019</v>
      </c>
      <c r="G236" s="559">
        <f t="shared" si="15"/>
        <v>495672.2551877058</v>
      </c>
    </row>
    <row r="237" spans="2:7" x14ac:dyDescent="0.3">
      <c r="B237" s="561">
        <v>228</v>
      </c>
      <c r="C237" s="559">
        <f t="shared" si="12"/>
        <v>8179.9002911065363</v>
      </c>
      <c r="D237" s="559">
        <f t="shared" si="13"/>
        <v>2552.4686522171974</v>
      </c>
      <c r="E237" s="559">
        <f t="shared" si="14"/>
        <v>5627.4316388893385</v>
      </c>
      <c r="G237" s="559">
        <f t="shared" si="15"/>
        <v>490073.98122570192</v>
      </c>
    </row>
    <row r="238" spans="2:7" x14ac:dyDescent="0.3">
      <c r="B238" s="561">
        <v>229</v>
      </c>
      <c r="C238" s="559">
        <f t="shared" si="12"/>
        <v>8179.9002911065363</v>
      </c>
      <c r="D238" s="559">
        <f t="shared" si="13"/>
        <v>2523.1591124313154</v>
      </c>
      <c r="E238" s="559">
        <f t="shared" si="14"/>
        <v>5656.7411786752209</v>
      </c>
      <c r="G238" s="559">
        <f t="shared" si="15"/>
        <v>484446.54958681256</v>
      </c>
    </row>
    <row r="239" spans="2:7" x14ac:dyDescent="0.3">
      <c r="B239" s="561">
        <v>230</v>
      </c>
      <c r="C239" s="559">
        <f t="shared" si="12"/>
        <v>8179.9002911065363</v>
      </c>
      <c r="D239" s="559">
        <f t="shared" si="13"/>
        <v>2493.6969187923819</v>
      </c>
      <c r="E239" s="559">
        <f t="shared" si="14"/>
        <v>5686.203372314154</v>
      </c>
      <c r="G239" s="559">
        <f t="shared" si="15"/>
        <v>478789.80840813735</v>
      </c>
    </row>
    <row r="240" spans="2:7" x14ac:dyDescent="0.3">
      <c r="B240" s="561">
        <v>231</v>
      </c>
      <c r="C240" s="559">
        <f t="shared" si="12"/>
        <v>8179.9002911065363</v>
      </c>
      <c r="D240" s="559">
        <f t="shared" si="13"/>
        <v>2464.0812762282458</v>
      </c>
      <c r="E240" s="559">
        <f t="shared" si="14"/>
        <v>5715.8190148782905</v>
      </c>
      <c r="G240" s="559">
        <f t="shared" si="15"/>
        <v>473103.60503582319</v>
      </c>
    </row>
    <row r="241" spans="2:7" x14ac:dyDescent="0.3">
      <c r="B241" s="561">
        <v>232</v>
      </c>
      <c r="C241" s="559">
        <f t="shared" si="12"/>
        <v>8179.9002911065363</v>
      </c>
      <c r="D241" s="559">
        <f t="shared" si="13"/>
        <v>2434.3113855257548</v>
      </c>
      <c r="E241" s="559">
        <f t="shared" si="14"/>
        <v>5745.588905580782</v>
      </c>
      <c r="G241" s="559">
        <f t="shared" si="15"/>
        <v>467387.78602094488</v>
      </c>
    </row>
    <row r="242" spans="2:7" x14ac:dyDescent="0.3">
      <c r="B242" s="561">
        <v>233</v>
      </c>
      <c r="C242" s="559">
        <f t="shared" si="12"/>
        <v>8179.9002911065363</v>
      </c>
      <c r="D242" s="559">
        <f t="shared" si="13"/>
        <v>2404.3864433091881</v>
      </c>
      <c r="E242" s="559">
        <f t="shared" si="14"/>
        <v>5775.5138477973487</v>
      </c>
      <c r="G242" s="559">
        <f t="shared" si="15"/>
        <v>461642.19711536408</v>
      </c>
    </row>
    <row r="243" spans="2:7" x14ac:dyDescent="0.3">
      <c r="B243" s="561">
        <v>234</v>
      </c>
      <c r="C243" s="559">
        <f t="shared" si="12"/>
        <v>8179.9002911065363</v>
      </c>
      <c r="D243" s="559">
        <f t="shared" si="13"/>
        <v>2374.3056420185767</v>
      </c>
      <c r="E243" s="559">
        <f t="shared" si="14"/>
        <v>5805.5946490879596</v>
      </c>
      <c r="G243" s="559">
        <f t="shared" si="15"/>
        <v>455866.68326756672</v>
      </c>
    </row>
    <row r="244" spans="2:7" x14ac:dyDescent="0.3">
      <c r="B244" s="561">
        <v>235</v>
      </c>
      <c r="C244" s="559">
        <f t="shared" si="12"/>
        <v>8179.9002911065363</v>
      </c>
      <c r="D244" s="559">
        <f t="shared" si="13"/>
        <v>2344.0681698879102</v>
      </c>
      <c r="E244" s="559">
        <f t="shared" si="14"/>
        <v>5835.8321212186256</v>
      </c>
      <c r="G244" s="559">
        <f t="shared" si="15"/>
        <v>450061.08861847874</v>
      </c>
    </row>
    <row r="245" spans="2:7" x14ac:dyDescent="0.3">
      <c r="B245" s="561">
        <v>236</v>
      </c>
      <c r="C245" s="559">
        <f t="shared" si="12"/>
        <v>8179.9002911065363</v>
      </c>
      <c r="D245" s="559">
        <f t="shared" si="13"/>
        <v>2313.6732109232298</v>
      </c>
      <c r="E245" s="559">
        <f t="shared" si="14"/>
        <v>5866.2270801833065</v>
      </c>
      <c r="G245" s="559">
        <f t="shared" si="15"/>
        <v>444225.25649726012</v>
      </c>
    </row>
    <row r="246" spans="2:7" x14ac:dyDescent="0.3">
      <c r="B246" s="561">
        <v>237</v>
      </c>
      <c r="C246" s="559">
        <f t="shared" si="12"/>
        <v>8179.9002911065363</v>
      </c>
      <c r="D246" s="559">
        <f t="shared" si="13"/>
        <v>2283.1199448806087</v>
      </c>
      <c r="E246" s="559">
        <f t="shared" si="14"/>
        <v>5896.7803462259271</v>
      </c>
      <c r="G246" s="559">
        <f t="shared" si="15"/>
        <v>438359.02941707685</v>
      </c>
    </row>
    <row r="247" spans="2:7" x14ac:dyDescent="0.3">
      <c r="B247" s="561">
        <v>238</v>
      </c>
      <c r="C247" s="559">
        <f t="shared" si="12"/>
        <v>8179.9002911065363</v>
      </c>
      <c r="D247" s="559">
        <f t="shared" si="13"/>
        <v>2252.4075472440149</v>
      </c>
      <c r="E247" s="559">
        <f t="shared" si="14"/>
        <v>5927.4927438625218</v>
      </c>
      <c r="G247" s="559">
        <f t="shared" si="15"/>
        <v>432462.2490708509</v>
      </c>
    </row>
    <row r="248" spans="2:7" x14ac:dyDescent="0.3">
      <c r="B248" s="561">
        <v>239</v>
      </c>
      <c r="C248" s="559">
        <f t="shared" si="12"/>
        <v>8179.9002911065363</v>
      </c>
      <c r="D248" s="559">
        <f t="shared" si="13"/>
        <v>2221.5351892030644</v>
      </c>
      <c r="E248" s="559">
        <f t="shared" si="14"/>
        <v>5958.3651019034714</v>
      </c>
      <c r="G248" s="559">
        <f t="shared" si="15"/>
        <v>426534.7563269884</v>
      </c>
    </row>
    <row r="249" spans="2:7" x14ac:dyDescent="0.3">
      <c r="B249" s="561">
        <v>240</v>
      </c>
      <c r="C249" s="559">
        <f t="shared" si="12"/>
        <v>8179.9002911065363</v>
      </c>
      <c r="D249" s="559">
        <f t="shared" si="13"/>
        <v>2190.5020376306506</v>
      </c>
      <c r="E249" s="559">
        <f t="shared" si="14"/>
        <v>5989.3982534758852</v>
      </c>
      <c r="G249" s="559">
        <f t="shared" si="15"/>
        <v>420576.39122508495</v>
      </c>
    </row>
    <row r="250" spans="2:7" x14ac:dyDescent="0.3">
      <c r="B250" s="561">
        <v>241</v>
      </c>
      <c r="C250" s="559">
        <f t="shared" si="12"/>
        <v>8179.9002911065363</v>
      </c>
      <c r="D250" s="559">
        <f t="shared" si="13"/>
        <v>2159.3072550604638</v>
      </c>
      <c r="E250" s="559">
        <f t="shared" si="14"/>
        <v>6020.5930360460725</v>
      </c>
      <c r="G250" s="559">
        <f t="shared" si="15"/>
        <v>414586.99297160906</v>
      </c>
    </row>
    <row r="251" spans="2:7" x14ac:dyDescent="0.3">
      <c r="B251" s="561">
        <v>242</v>
      </c>
      <c r="C251" s="559">
        <f t="shared" si="12"/>
        <v>8179.9002911065363</v>
      </c>
      <c r="D251" s="559">
        <f t="shared" si="13"/>
        <v>2127.9499996643904</v>
      </c>
      <c r="E251" s="559">
        <f t="shared" si="14"/>
        <v>6051.9502914421464</v>
      </c>
      <c r="G251" s="559">
        <f t="shared" si="15"/>
        <v>408566.39993556298</v>
      </c>
    </row>
    <row r="252" spans="2:7" x14ac:dyDescent="0.3">
      <c r="B252" s="561">
        <v>243</v>
      </c>
      <c r="C252" s="559">
        <f t="shared" si="12"/>
        <v>8179.9002911065363</v>
      </c>
      <c r="D252" s="559">
        <f t="shared" si="13"/>
        <v>2096.4294252297959</v>
      </c>
      <c r="E252" s="559">
        <f t="shared" si="14"/>
        <v>6083.4708658767404</v>
      </c>
      <c r="G252" s="559">
        <f t="shared" si="15"/>
        <v>402514.44964412082</v>
      </c>
    </row>
    <row r="253" spans="2:7" x14ac:dyDescent="0.3">
      <c r="B253" s="561">
        <v>244</v>
      </c>
      <c r="C253" s="559">
        <f t="shared" si="12"/>
        <v>8179.9002911065363</v>
      </c>
      <c r="D253" s="559">
        <f t="shared" si="13"/>
        <v>2064.7446811366876</v>
      </c>
      <c r="E253" s="559">
        <f t="shared" si="14"/>
        <v>6115.1556099698482</v>
      </c>
      <c r="G253" s="559">
        <f t="shared" si="15"/>
        <v>396430.97877824405</v>
      </c>
    </row>
    <row r="254" spans="2:7" x14ac:dyDescent="0.3">
      <c r="B254" s="561">
        <v>245</v>
      </c>
      <c r="C254" s="559">
        <f t="shared" si="12"/>
        <v>8179.9002911065363</v>
      </c>
      <c r="D254" s="559">
        <f t="shared" si="13"/>
        <v>2032.8949123347613</v>
      </c>
      <c r="E254" s="559">
        <f t="shared" si="14"/>
        <v>6147.0053787717752</v>
      </c>
      <c r="G254" s="559">
        <f t="shared" si="15"/>
        <v>390315.82316827419</v>
      </c>
    </row>
    <row r="255" spans="2:7" x14ac:dyDescent="0.3">
      <c r="B255" s="561">
        <v>246</v>
      </c>
      <c r="C255" s="559">
        <f t="shared" si="12"/>
        <v>8179.9002911065363</v>
      </c>
      <c r="D255" s="559">
        <f t="shared" si="13"/>
        <v>2000.8792593203252</v>
      </c>
      <c r="E255" s="559">
        <f t="shared" si="14"/>
        <v>6179.0210317862111</v>
      </c>
      <c r="G255" s="559">
        <f t="shared" si="15"/>
        <v>384168.81778950244</v>
      </c>
    </row>
    <row r="256" spans="2:7" x14ac:dyDescent="0.3">
      <c r="B256" s="561">
        <v>247</v>
      </c>
      <c r="C256" s="559">
        <f t="shared" si="12"/>
        <v>8179.9002911065363</v>
      </c>
      <c r="D256" s="559">
        <f t="shared" si="13"/>
        <v>1968.6968581131052</v>
      </c>
      <c r="E256" s="559">
        <f t="shared" si="14"/>
        <v>6211.2034329934313</v>
      </c>
      <c r="G256" s="559">
        <f t="shared" si="15"/>
        <v>377989.79675771622</v>
      </c>
    </row>
    <row r="257" spans="2:7" x14ac:dyDescent="0.3">
      <c r="B257" s="561">
        <v>248</v>
      </c>
      <c r="C257" s="559">
        <f t="shared" si="12"/>
        <v>8179.9002911065363</v>
      </c>
      <c r="D257" s="559">
        <f t="shared" si="13"/>
        <v>1936.3468402329311</v>
      </c>
      <c r="E257" s="559">
        <f t="shared" si="14"/>
        <v>6243.5534508736055</v>
      </c>
      <c r="G257" s="559">
        <f t="shared" si="15"/>
        <v>371778.59332472278</v>
      </c>
    </row>
    <row r="258" spans="2:7" x14ac:dyDescent="0.3">
      <c r="B258" s="561">
        <v>249</v>
      </c>
      <c r="C258" s="559">
        <f t="shared" si="12"/>
        <v>8179.9002911065363</v>
      </c>
      <c r="D258" s="559">
        <f t="shared" si="13"/>
        <v>1903.8283326762978</v>
      </c>
      <c r="E258" s="559">
        <f t="shared" si="14"/>
        <v>6276.0719584302387</v>
      </c>
      <c r="G258" s="559">
        <f t="shared" si="15"/>
        <v>365535.03987384919</v>
      </c>
    </row>
    <row r="259" spans="2:7" x14ac:dyDescent="0.3">
      <c r="B259" s="561">
        <v>250</v>
      </c>
      <c r="C259" s="559">
        <f t="shared" si="12"/>
        <v>8179.9002911065363</v>
      </c>
      <c r="D259" s="559">
        <f t="shared" si="13"/>
        <v>1871.140457892807</v>
      </c>
      <c r="E259" s="559">
        <f t="shared" si="14"/>
        <v>6308.7598332137295</v>
      </c>
      <c r="G259" s="559">
        <f t="shared" si="15"/>
        <v>359258.96791541897</v>
      </c>
    </row>
    <row r="260" spans="2:7" x14ac:dyDescent="0.3">
      <c r="B260" s="561">
        <v>251</v>
      </c>
      <c r="C260" s="559">
        <f t="shared" si="12"/>
        <v>8179.9002911065363</v>
      </c>
      <c r="D260" s="559">
        <f t="shared" si="13"/>
        <v>1838.2823337614855</v>
      </c>
      <c r="E260" s="559">
        <f t="shared" si="14"/>
        <v>6341.6179573450509</v>
      </c>
      <c r="G260" s="559">
        <f t="shared" si="15"/>
        <v>352950.20808220521</v>
      </c>
    </row>
    <row r="261" spans="2:7" x14ac:dyDescent="0.3">
      <c r="B261" s="561">
        <v>252</v>
      </c>
      <c r="C261" s="559">
        <f t="shared" si="12"/>
        <v>8179.9002911065363</v>
      </c>
      <c r="D261" s="559">
        <f t="shared" si="13"/>
        <v>1805.25307356698</v>
      </c>
      <c r="E261" s="559">
        <f t="shared" si="14"/>
        <v>6374.6472175395566</v>
      </c>
      <c r="G261" s="559">
        <f t="shared" si="15"/>
        <v>346608.59012486017</v>
      </c>
    </row>
    <row r="262" spans="2:7" x14ac:dyDescent="0.3">
      <c r="B262" s="561">
        <v>253</v>
      </c>
      <c r="C262" s="559">
        <f t="shared" si="12"/>
        <v>8179.9002911065363</v>
      </c>
      <c r="D262" s="559">
        <f t="shared" si="13"/>
        <v>1772.0517859756283</v>
      </c>
      <c r="E262" s="559">
        <f t="shared" si="14"/>
        <v>6407.8485051309081</v>
      </c>
      <c r="G262" s="559">
        <f t="shared" si="15"/>
        <v>340233.94290732063</v>
      </c>
    </row>
    <row r="263" spans="2:7" x14ac:dyDescent="0.3">
      <c r="B263" s="561">
        <v>254</v>
      </c>
      <c r="C263" s="559">
        <f t="shared" si="12"/>
        <v>8179.9002911065363</v>
      </c>
      <c r="D263" s="559">
        <f t="shared" si="13"/>
        <v>1738.6775750114048</v>
      </c>
      <c r="E263" s="559">
        <f t="shared" si="14"/>
        <v>6441.2227160951315</v>
      </c>
      <c r="G263" s="559">
        <f t="shared" si="15"/>
        <v>333826.09440218972</v>
      </c>
    </row>
    <row r="264" spans="2:7" x14ac:dyDescent="0.3">
      <c r="B264" s="561">
        <v>255</v>
      </c>
      <c r="C264" s="559">
        <f t="shared" si="12"/>
        <v>8179.9002911065363</v>
      </c>
      <c r="D264" s="559">
        <f t="shared" si="13"/>
        <v>1705.1295400317424</v>
      </c>
      <c r="E264" s="559">
        <f t="shared" si="14"/>
        <v>6474.7707510747941</v>
      </c>
      <c r="G264" s="559">
        <f t="shared" si="15"/>
        <v>327384.87168609456</v>
      </c>
    </row>
    <row r="265" spans="2:7" x14ac:dyDescent="0.3">
      <c r="B265" s="561">
        <v>256</v>
      </c>
      <c r="C265" s="559">
        <f t="shared" si="12"/>
        <v>8179.9002911065363</v>
      </c>
      <c r="D265" s="559">
        <f t="shared" si="13"/>
        <v>1671.406775703228</v>
      </c>
      <c r="E265" s="559">
        <f t="shared" si="14"/>
        <v>6508.4935154033083</v>
      </c>
      <c r="G265" s="559">
        <f t="shared" si="15"/>
        <v>320910.10093501979</v>
      </c>
    </row>
    <row r="266" spans="2:7" x14ac:dyDescent="0.3">
      <c r="B266" s="561">
        <v>257</v>
      </c>
      <c r="C266" s="559">
        <f t="shared" ref="C266:C329" si="16">IF($C$3&lt;G266+(G266*($C$4/$C$6)),$C$3,G266+(G266*($C$4/$C$6)))</f>
        <v>8179.9002911065363</v>
      </c>
      <c r="D266" s="559">
        <f t="shared" ref="D266:D329" si="17">G266*$C$4/$C$6</f>
        <v>1637.5083719771692</v>
      </c>
      <c r="E266" s="559">
        <f t="shared" ref="E266:E329" si="18">C266-D266</f>
        <v>6542.3919191293671</v>
      </c>
      <c r="G266" s="559">
        <f t="shared" si="15"/>
        <v>314401.60741961648</v>
      </c>
    </row>
    <row r="267" spans="2:7" x14ac:dyDescent="0.3">
      <c r="B267" s="561">
        <v>258</v>
      </c>
      <c r="C267" s="559">
        <f t="shared" si="16"/>
        <v>8179.9002911065363</v>
      </c>
      <c r="D267" s="559">
        <f t="shared" si="17"/>
        <v>1603.4334140650371</v>
      </c>
      <c r="E267" s="559">
        <f t="shared" si="18"/>
        <v>6576.4668770414992</v>
      </c>
      <c r="G267" s="559">
        <f t="shared" ref="G267:G330" si="19">G266-E266-F266</f>
        <v>307859.21550048713</v>
      </c>
    </row>
    <row r="268" spans="2:7" x14ac:dyDescent="0.3">
      <c r="B268" s="561">
        <v>259</v>
      </c>
      <c r="C268" s="559">
        <f t="shared" si="16"/>
        <v>8179.9002911065363</v>
      </c>
      <c r="D268" s="559">
        <f t="shared" si="17"/>
        <v>1569.1809824137792</v>
      </c>
      <c r="E268" s="559">
        <f t="shared" si="18"/>
        <v>6610.7193086927573</v>
      </c>
      <c r="G268" s="559">
        <f t="shared" si="19"/>
        <v>301282.74862344563</v>
      </c>
    </row>
    <row r="269" spans="2:7" x14ac:dyDescent="0.3">
      <c r="B269" s="561">
        <v>260</v>
      </c>
      <c r="C269" s="559">
        <f t="shared" si="16"/>
        <v>8179.9002911065363</v>
      </c>
      <c r="D269" s="559">
        <f t="shared" si="17"/>
        <v>1534.7501526810047</v>
      </c>
      <c r="E269" s="559">
        <f t="shared" si="18"/>
        <v>6645.1501384255316</v>
      </c>
      <c r="G269" s="559">
        <f t="shared" si="19"/>
        <v>294672.0293147529</v>
      </c>
    </row>
    <row r="270" spans="2:7" x14ac:dyDescent="0.3">
      <c r="B270" s="561">
        <v>261</v>
      </c>
      <c r="C270" s="559">
        <f t="shared" si="16"/>
        <v>8179.9002911065363</v>
      </c>
      <c r="D270" s="559">
        <f t="shared" si="17"/>
        <v>1500.1399957100384</v>
      </c>
      <c r="E270" s="559">
        <f t="shared" si="18"/>
        <v>6679.7602953964979</v>
      </c>
      <c r="G270" s="559">
        <f t="shared" si="19"/>
        <v>288026.87917632738</v>
      </c>
    </row>
    <row r="271" spans="2:7" x14ac:dyDescent="0.3">
      <c r="B271" s="561">
        <v>262</v>
      </c>
      <c r="C271" s="559">
        <f t="shared" si="16"/>
        <v>8179.9002911065363</v>
      </c>
      <c r="D271" s="559">
        <f t="shared" si="17"/>
        <v>1465.3495775048484</v>
      </c>
      <c r="E271" s="559">
        <f t="shared" si="18"/>
        <v>6714.5507136016877</v>
      </c>
      <c r="G271" s="559">
        <f t="shared" si="19"/>
        <v>281347.11888093088</v>
      </c>
    </row>
    <row r="272" spans="2:7" x14ac:dyDescent="0.3">
      <c r="B272" s="561">
        <v>263</v>
      </c>
      <c r="C272" s="559">
        <f t="shared" si="16"/>
        <v>8179.9002911065363</v>
      </c>
      <c r="D272" s="559">
        <f t="shared" si="17"/>
        <v>1430.3779592048395</v>
      </c>
      <c r="E272" s="559">
        <f t="shared" si="18"/>
        <v>6749.5223319016968</v>
      </c>
      <c r="G272" s="559">
        <f t="shared" si="19"/>
        <v>274632.56816732918</v>
      </c>
    </row>
    <row r="273" spans="2:7" x14ac:dyDescent="0.3">
      <c r="B273" s="561">
        <v>264</v>
      </c>
      <c r="C273" s="559">
        <f t="shared" si="16"/>
        <v>8179.9002911065363</v>
      </c>
      <c r="D273" s="559">
        <f t="shared" si="17"/>
        <v>1395.224197059518</v>
      </c>
      <c r="E273" s="559">
        <f t="shared" si="18"/>
        <v>6784.6760940470185</v>
      </c>
      <c r="G273" s="559">
        <f t="shared" si="19"/>
        <v>267883.04583542747</v>
      </c>
    </row>
    <row r="274" spans="2:7" x14ac:dyDescent="0.3">
      <c r="B274" s="561">
        <v>265</v>
      </c>
      <c r="C274" s="559">
        <f t="shared" si="16"/>
        <v>8179.9002911065363</v>
      </c>
      <c r="D274" s="559">
        <f t="shared" si="17"/>
        <v>1359.8873424030232</v>
      </c>
      <c r="E274" s="559">
        <f t="shared" si="18"/>
        <v>6820.0129487035128</v>
      </c>
      <c r="G274" s="559">
        <f t="shared" si="19"/>
        <v>261098.36974138045</v>
      </c>
    </row>
    <row r="275" spans="2:7" x14ac:dyDescent="0.3">
      <c r="B275" s="561">
        <v>266</v>
      </c>
      <c r="C275" s="559">
        <f t="shared" si="16"/>
        <v>8179.9002911065363</v>
      </c>
      <c r="D275" s="559">
        <f t="shared" si="17"/>
        <v>1324.3664416285258</v>
      </c>
      <c r="E275" s="559">
        <f t="shared" si="18"/>
        <v>6855.5338494780108</v>
      </c>
      <c r="G275" s="559">
        <f t="shared" si="19"/>
        <v>254278.35679267693</v>
      </c>
    </row>
    <row r="276" spans="2:7" x14ac:dyDescent="0.3">
      <c r="B276" s="561">
        <v>267</v>
      </c>
      <c r="C276" s="559">
        <f t="shared" si="16"/>
        <v>8179.9002911065363</v>
      </c>
      <c r="D276" s="559">
        <f t="shared" si="17"/>
        <v>1288.6605361624945</v>
      </c>
      <c r="E276" s="559">
        <f t="shared" si="18"/>
        <v>6891.239754944042</v>
      </c>
      <c r="G276" s="559">
        <f t="shared" si="19"/>
        <v>247422.82294319893</v>
      </c>
    </row>
    <row r="277" spans="2:7" x14ac:dyDescent="0.3">
      <c r="B277" s="561">
        <v>268</v>
      </c>
      <c r="C277" s="559">
        <f t="shared" si="16"/>
        <v>8179.9002911065363</v>
      </c>
      <c r="D277" s="559">
        <f t="shared" si="17"/>
        <v>1252.7686624388275</v>
      </c>
      <c r="E277" s="559">
        <f t="shared" si="18"/>
        <v>6927.1316286677084</v>
      </c>
      <c r="G277" s="559">
        <f t="shared" si="19"/>
        <v>240531.58318825488</v>
      </c>
    </row>
    <row r="278" spans="2:7" x14ac:dyDescent="0.3">
      <c r="B278" s="561">
        <v>269</v>
      </c>
      <c r="C278" s="559">
        <f t="shared" si="16"/>
        <v>8179.9002911065363</v>
      </c>
      <c r="D278" s="559">
        <f t="shared" si="17"/>
        <v>1216.6898518728499</v>
      </c>
      <c r="E278" s="559">
        <f t="shared" si="18"/>
        <v>6963.210439233686</v>
      </c>
      <c r="G278" s="559">
        <f t="shared" si="19"/>
        <v>233604.45155958718</v>
      </c>
    </row>
    <row r="279" spans="2:7" x14ac:dyDescent="0.3">
      <c r="B279" s="561">
        <v>270</v>
      </c>
      <c r="C279" s="559">
        <f t="shared" si="16"/>
        <v>8179.9002911065363</v>
      </c>
      <c r="D279" s="559">
        <f t="shared" si="17"/>
        <v>1180.4231308351743</v>
      </c>
      <c r="E279" s="559">
        <f t="shared" si="18"/>
        <v>6999.4771602713618</v>
      </c>
      <c r="G279" s="559">
        <f t="shared" si="19"/>
        <v>226641.24112035349</v>
      </c>
    </row>
    <row r="280" spans="2:7" x14ac:dyDescent="0.3">
      <c r="B280" s="561">
        <v>271</v>
      </c>
      <c r="C280" s="559">
        <f t="shared" si="16"/>
        <v>8179.9002911065363</v>
      </c>
      <c r="D280" s="559">
        <f t="shared" si="17"/>
        <v>1143.9675206254276</v>
      </c>
      <c r="E280" s="559">
        <f t="shared" si="18"/>
        <v>7035.9327704811085</v>
      </c>
      <c r="G280" s="559">
        <f t="shared" si="19"/>
        <v>219641.76396008211</v>
      </c>
    </row>
    <row r="281" spans="2:7" x14ac:dyDescent="0.3">
      <c r="B281" s="561">
        <v>272</v>
      </c>
      <c r="C281" s="559">
        <f t="shared" si="16"/>
        <v>8179.9002911065363</v>
      </c>
      <c r="D281" s="559">
        <f t="shared" si="17"/>
        <v>1107.3220374458385</v>
      </c>
      <c r="E281" s="559">
        <f t="shared" si="18"/>
        <v>7072.5782536606976</v>
      </c>
      <c r="G281" s="559">
        <f t="shared" si="19"/>
        <v>212605.83118960101</v>
      </c>
    </row>
    <row r="282" spans="2:7" x14ac:dyDescent="0.3">
      <c r="B282" s="561">
        <v>273</v>
      </c>
      <c r="C282" s="559">
        <f t="shared" si="16"/>
        <v>8179.9002911065363</v>
      </c>
      <c r="D282" s="559">
        <f t="shared" si="17"/>
        <v>1070.4856923746891</v>
      </c>
      <c r="E282" s="559">
        <f t="shared" si="18"/>
        <v>7109.414598731847</v>
      </c>
      <c r="G282" s="559">
        <f t="shared" si="19"/>
        <v>205533.25293594031</v>
      </c>
    </row>
    <row r="283" spans="2:7" x14ac:dyDescent="0.3">
      <c r="B283" s="561">
        <v>274</v>
      </c>
      <c r="C283" s="559">
        <f t="shared" si="16"/>
        <v>8179.9002911065363</v>
      </c>
      <c r="D283" s="559">
        <f t="shared" si="17"/>
        <v>1033.4574913396275</v>
      </c>
      <c r="E283" s="559">
        <f t="shared" si="18"/>
        <v>7146.442799766909</v>
      </c>
      <c r="G283" s="559">
        <f t="shared" si="19"/>
        <v>198423.83833720846</v>
      </c>
    </row>
    <row r="284" spans="2:7" x14ac:dyDescent="0.3">
      <c r="B284" s="561">
        <v>275</v>
      </c>
      <c r="C284" s="559">
        <f t="shared" si="16"/>
        <v>8179.9002911065363</v>
      </c>
      <c r="D284" s="559">
        <f t="shared" si="17"/>
        <v>996.2364350908415</v>
      </c>
      <c r="E284" s="559">
        <f t="shared" si="18"/>
        <v>7183.6638560156953</v>
      </c>
      <c r="G284" s="559">
        <f t="shared" si="19"/>
        <v>191277.39553744157</v>
      </c>
    </row>
    <row r="285" spans="2:7" x14ac:dyDescent="0.3">
      <c r="B285" s="561">
        <v>276</v>
      </c>
      <c r="C285" s="559">
        <f t="shared" si="16"/>
        <v>8179.9002911065363</v>
      </c>
      <c r="D285" s="559">
        <f t="shared" si="17"/>
        <v>958.82151917409317</v>
      </c>
      <c r="E285" s="559">
        <f t="shared" si="18"/>
        <v>7221.0787719324435</v>
      </c>
      <c r="G285" s="559">
        <f t="shared" si="19"/>
        <v>184093.73168142588</v>
      </c>
    </row>
    <row r="286" spans="2:7" x14ac:dyDescent="0.3">
      <c r="B286" s="561">
        <v>277</v>
      </c>
      <c r="C286" s="559">
        <f t="shared" si="16"/>
        <v>8179.9002911065363</v>
      </c>
      <c r="D286" s="559">
        <f t="shared" si="17"/>
        <v>921.21173390361162</v>
      </c>
      <c r="E286" s="559">
        <f t="shared" si="18"/>
        <v>7258.688557202925</v>
      </c>
      <c r="G286" s="559">
        <f t="shared" si="19"/>
        <v>176872.65290949342</v>
      </c>
    </row>
    <row r="287" spans="2:7" x14ac:dyDescent="0.3">
      <c r="B287" s="561">
        <v>278</v>
      </c>
      <c r="C287" s="559">
        <f t="shared" si="16"/>
        <v>8179.9002911065363</v>
      </c>
      <c r="D287" s="559">
        <f t="shared" si="17"/>
        <v>883.40606433484629</v>
      </c>
      <c r="E287" s="559">
        <f t="shared" si="18"/>
        <v>7296.4942267716897</v>
      </c>
      <c r="G287" s="559">
        <f t="shared" si="19"/>
        <v>169613.9643522905</v>
      </c>
    </row>
    <row r="288" spans="2:7" x14ac:dyDescent="0.3">
      <c r="B288" s="561">
        <v>279</v>
      </c>
      <c r="C288" s="559">
        <f t="shared" si="16"/>
        <v>8179.9002911065363</v>
      </c>
      <c r="D288" s="559">
        <f t="shared" si="17"/>
        <v>845.40349023707711</v>
      </c>
      <c r="E288" s="559">
        <f t="shared" si="18"/>
        <v>7334.4968008694595</v>
      </c>
      <c r="G288" s="559">
        <f t="shared" si="19"/>
        <v>162317.4701255188</v>
      </c>
    </row>
    <row r="289" spans="2:7" x14ac:dyDescent="0.3">
      <c r="B289" s="561">
        <v>280</v>
      </c>
      <c r="C289" s="559">
        <f t="shared" si="16"/>
        <v>8179.9002911065363</v>
      </c>
      <c r="D289" s="559">
        <f t="shared" si="17"/>
        <v>807.20298606588187</v>
      </c>
      <c r="E289" s="559">
        <f t="shared" si="18"/>
        <v>7372.6973050406541</v>
      </c>
      <c r="G289" s="559">
        <f t="shared" si="19"/>
        <v>154982.97332464933</v>
      </c>
    </row>
    <row r="290" spans="2:7" x14ac:dyDescent="0.3">
      <c r="B290" s="561">
        <v>281</v>
      </c>
      <c r="C290" s="559">
        <f t="shared" si="16"/>
        <v>8179.9002911065363</v>
      </c>
      <c r="D290" s="559">
        <f t="shared" si="17"/>
        <v>768.80352093546173</v>
      </c>
      <c r="E290" s="559">
        <f t="shared" si="18"/>
        <v>7411.0967701710742</v>
      </c>
      <c r="G290" s="559">
        <f t="shared" si="19"/>
        <v>147610.27601960866</v>
      </c>
    </row>
    <row r="291" spans="2:7" x14ac:dyDescent="0.3">
      <c r="B291" s="561">
        <v>282</v>
      </c>
      <c r="C291" s="559">
        <f t="shared" si="16"/>
        <v>8179.9002911065363</v>
      </c>
      <c r="D291" s="559">
        <f t="shared" si="17"/>
        <v>730.20405859082075</v>
      </c>
      <c r="E291" s="559">
        <f t="shared" si="18"/>
        <v>7449.6962325157156</v>
      </c>
      <c r="G291" s="559">
        <f t="shared" si="19"/>
        <v>140199.17924943758</v>
      </c>
    </row>
    <row r="292" spans="2:7" x14ac:dyDescent="0.3">
      <c r="B292" s="561">
        <v>283</v>
      </c>
      <c r="C292" s="559">
        <f t="shared" si="16"/>
        <v>8179.9002911065363</v>
      </c>
      <c r="D292" s="559">
        <f t="shared" si="17"/>
        <v>691.40355737980144</v>
      </c>
      <c r="E292" s="559">
        <f t="shared" si="18"/>
        <v>7488.4967337267353</v>
      </c>
      <c r="G292" s="559">
        <f t="shared" si="19"/>
        <v>132749.48301692188</v>
      </c>
    </row>
    <row r="293" spans="2:7" x14ac:dyDescent="0.3">
      <c r="B293" s="561">
        <v>284</v>
      </c>
      <c r="C293" s="559">
        <f t="shared" si="16"/>
        <v>8179.9002911065363</v>
      </c>
      <c r="D293" s="559">
        <f t="shared" si="17"/>
        <v>652.40097022497469</v>
      </c>
      <c r="E293" s="559">
        <f t="shared" si="18"/>
        <v>7527.4993208815613</v>
      </c>
      <c r="G293" s="559">
        <f t="shared" si="19"/>
        <v>125260.98628319515</v>
      </c>
    </row>
    <row r="294" spans="2:7" x14ac:dyDescent="0.3">
      <c r="B294" s="561">
        <v>285</v>
      </c>
      <c r="C294" s="559">
        <f t="shared" si="16"/>
        <v>8179.9002911065363</v>
      </c>
      <c r="D294" s="559">
        <f t="shared" si="17"/>
        <v>613.19524459538331</v>
      </c>
      <c r="E294" s="559">
        <f t="shared" si="18"/>
        <v>7566.7050465111533</v>
      </c>
      <c r="G294" s="559">
        <f t="shared" si="19"/>
        <v>117733.48696231359</v>
      </c>
    </row>
    <row r="295" spans="2:7" x14ac:dyDescent="0.3">
      <c r="B295" s="561">
        <v>286</v>
      </c>
      <c r="C295" s="559">
        <f t="shared" si="16"/>
        <v>8179.9002911065363</v>
      </c>
      <c r="D295" s="559">
        <f t="shared" si="17"/>
        <v>573.78532247813769</v>
      </c>
      <c r="E295" s="559">
        <f t="shared" si="18"/>
        <v>7606.1149686283989</v>
      </c>
      <c r="G295" s="559">
        <f t="shared" si="19"/>
        <v>110166.78191580244</v>
      </c>
    </row>
    <row r="296" spans="2:7" x14ac:dyDescent="0.3">
      <c r="B296" s="561">
        <v>287</v>
      </c>
      <c r="C296" s="559">
        <f t="shared" si="16"/>
        <v>8179.9002911065363</v>
      </c>
      <c r="D296" s="559">
        <f t="shared" si="17"/>
        <v>534.17014034986471</v>
      </c>
      <c r="E296" s="559">
        <f t="shared" si="18"/>
        <v>7645.7301507566717</v>
      </c>
      <c r="G296" s="559">
        <f t="shared" si="19"/>
        <v>102560.66694717403</v>
      </c>
    </row>
    <row r="297" spans="2:7" x14ac:dyDescent="0.3">
      <c r="B297" s="561">
        <v>288</v>
      </c>
      <c r="C297" s="559">
        <f t="shared" si="16"/>
        <v>8179.9002911065363</v>
      </c>
      <c r="D297" s="559">
        <f t="shared" si="17"/>
        <v>494.34862914800709</v>
      </c>
      <c r="E297" s="559">
        <f t="shared" si="18"/>
        <v>7685.5516619585296</v>
      </c>
      <c r="G297" s="559">
        <f t="shared" si="19"/>
        <v>94914.936796417358</v>
      </c>
    </row>
    <row r="298" spans="2:7" x14ac:dyDescent="0.3">
      <c r="B298" s="561">
        <v>289</v>
      </c>
      <c r="C298" s="559">
        <f t="shared" si="16"/>
        <v>8179.9002911065363</v>
      </c>
      <c r="D298" s="559">
        <f t="shared" si="17"/>
        <v>454.31971424197309</v>
      </c>
      <c r="E298" s="559">
        <f t="shared" si="18"/>
        <v>7725.5805768645632</v>
      </c>
      <c r="G298" s="559">
        <f t="shared" si="19"/>
        <v>87229.385134458833</v>
      </c>
    </row>
    <row r="299" spans="2:7" x14ac:dyDescent="0.3">
      <c r="B299" s="561">
        <v>290</v>
      </c>
      <c r="C299" s="559">
        <f t="shared" si="16"/>
        <v>8179.9002911065363</v>
      </c>
      <c r="D299" s="559">
        <f t="shared" si="17"/>
        <v>414.08231540413681</v>
      </c>
      <c r="E299" s="559">
        <f t="shared" si="18"/>
        <v>7765.8179757023991</v>
      </c>
      <c r="G299" s="559">
        <f t="shared" si="19"/>
        <v>79503.804557594267</v>
      </c>
    </row>
    <row r="300" spans="2:7" x14ac:dyDescent="0.3">
      <c r="B300" s="561">
        <v>291</v>
      </c>
      <c r="C300" s="559">
        <f t="shared" si="16"/>
        <v>8179.9002911065363</v>
      </c>
      <c r="D300" s="559">
        <f t="shared" si="17"/>
        <v>373.6353467806868</v>
      </c>
      <c r="E300" s="559">
        <f t="shared" si="18"/>
        <v>7806.2649443258497</v>
      </c>
      <c r="G300" s="559">
        <f t="shared" si="19"/>
        <v>71737.986581891862</v>
      </c>
    </row>
    <row r="301" spans="2:7" x14ac:dyDescent="0.3">
      <c r="B301" s="561">
        <v>292</v>
      </c>
      <c r="C301" s="559">
        <f t="shared" si="16"/>
        <v>8179.9002911065363</v>
      </c>
      <c r="D301" s="559">
        <f t="shared" si="17"/>
        <v>332.97771686232301</v>
      </c>
      <c r="E301" s="559">
        <f t="shared" si="18"/>
        <v>7846.9225742442131</v>
      </c>
      <c r="G301" s="559">
        <f t="shared" si="19"/>
        <v>63931.721637566014</v>
      </c>
    </row>
    <row r="302" spans="2:7" x14ac:dyDescent="0.3">
      <c r="B302" s="561">
        <v>293</v>
      </c>
      <c r="C302" s="559">
        <f t="shared" si="16"/>
        <v>8179.9002911065363</v>
      </c>
      <c r="D302" s="559">
        <f t="shared" si="17"/>
        <v>292.10832845480104</v>
      </c>
      <c r="E302" s="559">
        <f t="shared" si="18"/>
        <v>7887.791962651735</v>
      </c>
      <c r="G302" s="559">
        <f t="shared" si="19"/>
        <v>56084.7990633218</v>
      </c>
    </row>
    <row r="303" spans="2:7" x14ac:dyDescent="0.3">
      <c r="B303" s="561">
        <v>294</v>
      </c>
      <c r="C303" s="559">
        <f t="shared" si="16"/>
        <v>8179.9002911065363</v>
      </c>
      <c r="D303" s="559">
        <f t="shared" si="17"/>
        <v>251.02607864932327</v>
      </c>
      <c r="E303" s="559">
        <f t="shared" si="18"/>
        <v>7928.8742124572127</v>
      </c>
      <c r="G303" s="559">
        <f t="shared" si="19"/>
        <v>48197.007100670067</v>
      </c>
    </row>
    <row r="304" spans="2:7" x14ac:dyDescent="0.3">
      <c r="B304" s="561">
        <v>295</v>
      </c>
      <c r="C304" s="559">
        <f t="shared" si="16"/>
        <v>8179.9002911065363</v>
      </c>
      <c r="D304" s="559">
        <f t="shared" si="17"/>
        <v>209.7298587927753</v>
      </c>
      <c r="E304" s="559">
        <f t="shared" si="18"/>
        <v>7970.170432313761</v>
      </c>
      <c r="G304" s="559">
        <f t="shared" si="19"/>
        <v>40268.132888212858</v>
      </c>
    </row>
    <row r="305" spans="2:7" x14ac:dyDescent="0.3">
      <c r="B305" s="561">
        <v>296</v>
      </c>
      <c r="C305" s="559">
        <f t="shared" si="16"/>
        <v>8179.9002911065363</v>
      </c>
      <c r="D305" s="559">
        <f t="shared" si="17"/>
        <v>168.21855445780781</v>
      </c>
      <c r="E305" s="559">
        <f t="shared" si="18"/>
        <v>8011.6817366487285</v>
      </c>
      <c r="G305" s="559">
        <f t="shared" si="19"/>
        <v>32297.962455899098</v>
      </c>
    </row>
    <row r="306" spans="2:7" x14ac:dyDescent="0.3">
      <c r="B306" s="561">
        <v>297</v>
      </c>
      <c r="C306" s="559">
        <f t="shared" si="16"/>
        <v>8179.9002911065363</v>
      </c>
      <c r="D306" s="559">
        <f t="shared" si="17"/>
        <v>126.49104541276233</v>
      </c>
      <c r="E306" s="559">
        <f t="shared" si="18"/>
        <v>8053.4092456937742</v>
      </c>
      <c r="G306" s="559">
        <f t="shared" si="19"/>
        <v>24286.280719250368</v>
      </c>
    </row>
    <row r="307" spans="2:7" x14ac:dyDescent="0.3">
      <c r="B307" s="561">
        <v>298</v>
      </c>
      <c r="C307" s="559">
        <f t="shared" si="16"/>
        <v>8179.9002911065363</v>
      </c>
      <c r="D307" s="559">
        <f t="shared" si="17"/>
        <v>84.546205591440597</v>
      </c>
      <c r="E307" s="559">
        <f t="shared" si="18"/>
        <v>8095.3540855150959</v>
      </c>
      <c r="G307" s="559">
        <f t="shared" si="19"/>
        <v>16232.871473556594</v>
      </c>
    </row>
    <row r="308" spans="2:7" x14ac:dyDescent="0.3">
      <c r="B308" s="561">
        <v>299</v>
      </c>
      <c r="C308" s="559">
        <f t="shared" si="16"/>
        <v>8179.9002911042135</v>
      </c>
      <c r="D308" s="559">
        <f t="shared" si="17"/>
        <v>42.382903062716132</v>
      </c>
      <c r="E308" s="559">
        <f t="shared" si="18"/>
        <v>8137.5173880414977</v>
      </c>
      <c r="G308" s="559">
        <f t="shared" si="19"/>
        <v>8137.5173880414977</v>
      </c>
    </row>
    <row r="309" spans="2:7" x14ac:dyDescent="0.3">
      <c r="B309" s="561">
        <v>300</v>
      </c>
      <c r="C309" s="559">
        <f t="shared" si="16"/>
        <v>0</v>
      </c>
      <c r="D309" s="559">
        <f t="shared" si="17"/>
        <v>0</v>
      </c>
      <c r="E309" s="559">
        <f t="shared" si="18"/>
        <v>0</v>
      </c>
      <c r="G309" s="559">
        <f t="shared" si="19"/>
        <v>0</v>
      </c>
    </row>
    <row r="310" spans="2:7" x14ac:dyDescent="0.3">
      <c r="B310" s="561">
        <v>301</v>
      </c>
      <c r="C310" s="559">
        <f t="shared" si="16"/>
        <v>0</v>
      </c>
      <c r="D310" s="559">
        <f t="shared" si="17"/>
        <v>0</v>
      </c>
      <c r="E310" s="559">
        <f t="shared" si="18"/>
        <v>0</v>
      </c>
      <c r="G310" s="559">
        <f t="shared" si="19"/>
        <v>0</v>
      </c>
    </row>
    <row r="311" spans="2:7" x14ac:dyDescent="0.3">
      <c r="B311" s="561">
        <v>302</v>
      </c>
      <c r="C311" s="559">
        <f t="shared" si="16"/>
        <v>0</v>
      </c>
      <c r="D311" s="559">
        <f t="shared" si="17"/>
        <v>0</v>
      </c>
      <c r="E311" s="559">
        <f t="shared" si="18"/>
        <v>0</v>
      </c>
      <c r="G311" s="559">
        <f t="shared" si="19"/>
        <v>0</v>
      </c>
    </row>
    <row r="312" spans="2:7" x14ac:dyDescent="0.3">
      <c r="B312" s="561">
        <v>303</v>
      </c>
      <c r="C312" s="559">
        <f t="shared" si="16"/>
        <v>0</v>
      </c>
      <c r="D312" s="559">
        <f t="shared" si="17"/>
        <v>0</v>
      </c>
      <c r="E312" s="559">
        <f t="shared" si="18"/>
        <v>0</v>
      </c>
      <c r="G312" s="559">
        <f t="shared" si="19"/>
        <v>0</v>
      </c>
    </row>
    <row r="313" spans="2:7" x14ac:dyDescent="0.3">
      <c r="B313" s="561">
        <v>304</v>
      </c>
      <c r="C313" s="559">
        <f t="shared" si="16"/>
        <v>0</v>
      </c>
      <c r="D313" s="559">
        <f t="shared" si="17"/>
        <v>0</v>
      </c>
      <c r="E313" s="559">
        <f t="shared" si="18"/>
        <v>0</v>
      </c>
      <c r="G313" s="559">
        <f t="shared" si="19"/>
        <v>0</v>
      </c>
    </row>
    <row r="314" spans="2:7" x14ac:dyDescent="0.3">
      <c r="B314" s="561">
        <v>305</v>
      </c>
      <c r="C314" s="559">
        <f t="shared" si="16"/>
        <v>0</v>
      </c>
      <c r="D314" s="559">
        <f t="shared" si="17"/>
        <v>0</v>
      </c>
      <c r="E314" s="559">
        <f t="shared" si="18"/>
        <v>0</v>
      </c>
      <c r="G314" s="559">
        <f t="shared" si="19"/>
        <v>0</v>
      </c>
    </row>
    <row r="315" spans="2:7" x14ac:dyDescent="0.3">
      <c r="B315" s="561">
        <v>306</v>
      </c>
      <c r="C315" s="559">
        <f t="shared" si="16"/>
        <v>0</v>
      </c>
      <c r="D315" s="559">
        <f t="shared" si="17"/>
        <v>0</v>
      </c>
      <c r="E315" s="559">
        <f t="shared" si="18"/>
        <v>0</v>
      </c>
      <c r="G315" s="559">
        <f t="shared" si="19"/>
        <v>0</v>
      </c>
    </row>
    <row r="316" spans="2:7" x14ac:dyDescent="0.3">
      <c r="B316" s="561">
        <v>307</v>
      </c>
      <c r="C316" s="559">
        <f t="shared" si="16"/>
        <v>0</v>
      </c>
      <c r="D316" s="559">
        <f t="shared" si="17"/>
        <v>0</v>
      </c>
      <c r="E316" s="559">
        <f t="shared" si="18"/>
        <v>0</v>
      </c>
      <c r="G316" s="559">
        <f t="shared" si="19"/>
        <v>0</v>
      </c>
    </row>
    <row r="317" spans="2:7" x14ac:dyDescent="0.3">
      <c r="B317" s="561">
        <v>308</v>
      </c>
      <c r="C317" s="559">
        <f t="shared" si="16"/>
        <v>0</v>
      </c>
      <c r="D317" s="559">
        <f t="shared" si="17"/>
        <v>0</v>
      </c>
      <c r="E317" s="559">
        <f t="shared" si="18"/>
        <v>0</v>
      </c>
      <c r="G317" s="559">
        <f t="shared" si="19"/>
        <v>0</v>
      </c>
    </row>
    <row r="318" spans="2:7" x14ac:dyDescent="0.3">
      <c r="B318" s="561">
        <v>309</v>
      </c>
      <c r="C318" s="559">
        <f t="shared" si="16"/>
        <v>0</v>
      </c>
      <c r="D318" s="559">
        <f t="shared" si="17"/>
        <v>0</v>
      </c>
      <c r="E318" s="559">
        <f t="shared" si="18"/>
        <v>0</v>
      </c>
      <c r="G318" s="559">
        <f t="shared" si="19"/>
        <v>0</v>
      </c>
    </row>
    <row r="319" spans="2:7" x14ac:dyDescent="0.3">
      <c r="B319" s="561">
        <v>310</v>
      </c>
      <c r="C319" s="559">
        <f t="shared" si="16"/>
        <v>0</v>
      </c>
      <c r="D319" s="559">
        <f t="shared" si="17"/>
        <v>0</v>
      </c>
      <c r="E319" s="559">
        <f t="shared" si="18"/>
        <v>0</v>
      </c>
      <c r="G319" s="559">
        <f t="shared" si="19"/>
        <v>0</v>
      </c>
    </row>
    <row r="320" spans="2:7" x14ac:dyDescent="0.3">
      <c r="B320" s="561">
        <v>311</v>
      </c>
      <c r="C320" s="559">
        <f t="shared" si="16"/>
        <v>0</v>
      </c>
      <c r="D320" s="559">
        <f t="shared" si="17"/>
        <v>0</v>
      </c>
      <c r="E320" s="559">
        <f t="shared" si="18"/>
        <v>0</v>
      </c>
      <c r="G320" s="559">
        <f t="shared" si="19"/>
        <v>0</v>
      </c>
    </row>
    <row r="321" spans="2:7" x14ac:dyDescent="0.3">
      <c r="B321" s="561">
        <v>312</v>
      </c>
      <c r="C321" s="559">
        <f t="shared" si="16"/>
        <v>0</v>
      </c>
      <c r="D321" s="559">
        <f t="shared" si="17"/>
        <v>0</v>
      </c>
      <c r="E321" s="559">
        <f t="shared" si="18"/>
        <v>0</v>
      </c>
      <c r="G321" s="559">
        <f t="shared" si="19"/>
        <v>0</v>
      </c>
    </row>
    <row r="322" spans="2:7" x14ac:dyDescent="0.3">
      <c r="B322" s="561">
        <v>313</v>
      </c>
      <c r="C322" s="559">
        <f t="shared" si="16"/>
        <v>0</v>
      </c>
      <c r="D322" s="559">
        <f t="shared" si="17"/>
        <v>0</v>
      </c>
      <c r="E322" s="559">
        <f t="shared" si="18"/>
        <v>0</v>
      </c>
      <c r="G322" s="559">
        <f t="shared" si="19"/>
        <v>0</v>
      </c>
    </row>
    <row r="323" spans="2:7" x14ac:dyDescent="0.3">
      <c r="B323" s="561">
        <v>314</v>
      </c>
      <c r="C323" s="559">
        <f t="shared" si="16"/>
        <v>0</v>
      </c>
      <c r="D323" s="559">
        <f t="shared" si="17"/>
        <v>0</v>
      </c>
      <c r="E323" s="559">
        <f t="shared" si="18"/>
        <v>0</v>
      </c>
      <c r="G323" s="559">
        <f t="shared" si="19"/>
        <v>0</v>
      </c>
    </row>
    <row r="324" spans="2:7" x14ac:dyDescent="0.3">
      <c r="B324" s="561">
        <v>315</v>
      </c>
      <c r="C324" s="559">
        <f t="shared" si="16"/>
        <v>0</v>
      </c>
      <c r="D324" s="559">
        <f t="shared" si="17"/>
        <v>0</v>
      </c>
      <c r="E324" s="559">
        <f t="shared" si="18"/>
        <v>0</v>
      </c>
      <c r="G324" s="559">
        <f t="shared" si="19"/>
        <v>0</v>
      </c>
    </row>
    <row r="325" spans="2:7" x14ac:dyDescent="0.3">
      <c r="B325" s="561">
        <v>316</v>
      </c>
      <c r="C325" s="559">
        <f t="shared" si="16"/>
        <v>0</v>
      </c>
      <c r="D325" s="559">
        <f t="shared" si="17"/>
        <v>0</v>
      </c>
      <c r="E325" s="559">
        <f t="shared" si="18"/>
        <v>0</v>
      </c>
      <c r="G325" s="559">
        <f t="shared" si="19"/>
        <v>0</v>
      </c>
    </row>
    <row r="326" spans="2:7" x14ac:dyDescent="0.3">
      <c r="B326" s="561">
        <v>317</v>
      </c>
      <c r="C326" s="559">
        <f t="shared" si="16"/>
        <v>0</v>
      </c>
      <c r="D326" s="559">
        <f t="shared" si="17"/>
        <v>0</v>
      </c>
      <c r="E326" s="559">
        <f t="shared" si="18"/>
        <v>0</v>
      </c>
      <c r="G326" s="559">
        <f t="shared" si="19"/>
        <v>0</v>
      </c>
    </row>
    <row r="327" spans="2:7" x14ac:dyDescent="0.3">
      <c r="B327" s="561">
        <v>318</v>
      </c>
      <c r="C327" s="559">
        <f t="shared" si="16"/>
        <v>0</v>
      </c>
      <c r="D327" s="559">
        <f t="shared" si="17"/>
        <v>0</v>
      </c>
      <c r="E327" s="559">
        <f t="shared" si="18"/>
        <v>0</v>
      </c>
      <c r="G327" s="559">
        <f t="shared" si="19"/>
        <v>0</v>
      </c>
    </row>
    <row r="328" spans="2:7" x14ac:dyDescent="0.3">
      <c r="B328" s="561">
        <v>319</v>
      </c>
      <c r="C328" s="559">
        <f t="shared" si="16"/>
        <v>0</v>
      </c>
      <c r="D328" s="559">
        <f t="shared" si="17"/>
        <v>0</v>
      </c>
      <c r="E328" s="559">
        <f t="shared" si="18"/>
        <v>0</v>
      </c>
      <c r="G328" s="559">
        <f t="shared" si="19"/>
        <v>0</v>
      </c>
    </row>
    <row r="329" spans="2:7" x14ac:dyDescent="0.3">
      <c r="B329" s="561">
        <v>320</v>
      </c>
      <c r="C329" s="559">
        <f t="shared" si="16"/>
        <v>0</v>
      </c>
      <c r="D329" s="559">
        <f t="shared" si="17"/>
        <v>0</v>
      </c>
      <c r="E329" s="559">
        <f t="shared" si="18"/>
        <v>0</v>
      </c>
      <c r="G329" s="559">
        <f t="shared" si="19"/>
        <v>0</v>
      </c>
    </row>
    <row r="330" spans="2:7" x14ac:dyDescent="0.3">
      <c r="B330" s="561">
        <v>321</v>
      </c>
      <c r="C330" s="559">
        <f t="shared" ref="C330:C371" si="20">IF($C$3&lt;G330+(G330*($C$4/$C$6)),$C$3,G330+(G330*($C$4/$C$6)))</f>
        <v>0</v>
      </c>
      <c r="D330" s="559">
        <f t="shared" ref="D330:D371" si="21">G330*$C$4/$C$6</f>
        <v>0</v>
      </c>
      <c r="E330" s="559">
        <f t="shared" ref="E330:E371" si="22">C330-D330</f>
        <v>0</v>
      </c>
      <c r="G330" s="559">
        <f t="shared" si="19"/>
        <v>0</v>
      </c>
    </row>
    <row r="331" spans="2:7" x14ac:dyDescent="0.3">
      <c r="B331" s="561">
        <v>322</v>
      </c>
      <c r="C331" s="559">
        <f t="shared" si="20"/>
        <v>0</v>
      </c>
      <c r="D331" s="559">
        <f t="shared" si="21"/>
        <v>0</v>
      </c>
      <c r="E331" s="559">
        <f t="shared" si="22"/>
        <v>0</v>
      </c>
      <c r="G331" s="559">
        <f t="shared" ref="G331:G371" si="23">G330-E330-F330</f>
        <v>0</v>
      </c>
    </row>
    <row r="332" spans="2:7" x14ac:dyDescent="0.3">
      <c r="B332" s="561">
        <v>323</v>
      </c>
      <c r="C332" s="559">
        <f t="shared" si="20"/>
        <v>0</v>
      </c>
      <c r="D332" s="559">
        <f t="shared" si="21"/>
        <v>0</v>
      </c>
      <c r="E332" s="559">
        <f t="shared" si="22"/>
        <v>0</v>
      </c>
      <c r="G332" s="559">
        <f t="shared" si="23"/>
        <v>0</v>
      </c>
    </row>
    <row r="333" spans="2:7" x14ac:dyDescent="0.3">
      <c r="B333" s="561">
        <v>324</v>
      </c>
      <c r="C333" s="559">
        <f t="shared" si="20"/>
        <v>0</v>
      </c>
      <c r="D333" s="559">
        <f t="shared" si="21"/>
        <v>0</v>
      </c>
      <c r="E333" s="559">
        <f t="shared" si="22"/>
        <v>0</v>
      </c>
      <c r="G333" s="559">
        <f t="shared" si="23"/>
        <v>0</v>
      </c>
    </row>
    <row r="334" spans="2:7" x14ac:dyDescent="0.3">
      <c r="B334" s="561">
        <v>325</v>
      </c>
      <c r="C334" s="559">
        <f t="shared" si="20"/>
        <v>0</v>
      </c>
      <c r="D334" s="559">
        <f t="shared" si="21"/>
        <v>0</v>
      </c>
      <c r="E334" s="559">
        <f t="shared" si="22"/>
        <v>0</v>
      </c>
      <c r="G334" s="559">
        <f t="shared" si="23"/>
        <v>0</v>
      </c>
    </row>
    <row r="335" spans="2:7" x14ac:dyDescent="0.3">
      <c r="B335" s="561">
        <v>326</v>
      </c>
      <c r="C335" s="559">
        <f t="shared" si="20"/>
        <v>0</v>
      </c>
      <c r="D335" s="559">
        <f t="shared" si="21"/>
        <v>0</v>
      </c>
      <c r="E335" s="559">
        <f t="shared" si="22"/>
        <v>0</v>
      </c>
      <c r="G335" s="559">
        <f t="shared" si="23"/>
        <v>0</v>
      </c>
    </row>
    <row r="336" spans="2:7" x14ac:dyDescent="0.3">
      <c r="B336" s="561">
        <v>327</v>
      </c>
      <c r="C336" s="559">
        <f t="shared" si="20"/>
        <v>0</v>
      </c>
      <c r="D336" s="559">
        <f t="shared" si="21"/>
        <v>0</v>
      </c>
      <c r="E336" s="559">
        <f t="shared" si="22"/>
        <v>0</v>
      </c>
      <c r="G336" s="559">
        <f t="shared" si="23"/>
        <v>0</v>
      </c>
    </row>
    <row r="337" spans="2:7" x14ac:dyDescent="0.3">
      <c r="B337" s="561">
        <v>328</v>
      </c>
      <c r="C337" s="559">
        <f t="shared" si="20"/>
        <v>0</v>
      </c>
      <c r="D337" s="559">
        <f t="shared" si="21"/>
        <v>0</v>
      </c>
      <c r="E337" s="559">
        <f t="shared" si="22"/>
        <v>0</v>
      </c>
      <c r="G337" s="559">
        <f t="shared" si="23"/>
        <v>0</v>
      </c>
    </row>
    <row r="338" spans="2:7" x14ac:dyDescent="0.3">
      <c r="B338" s="561">
        <v>329</v>
      </c>
      <c r="C338" s="559">
        <f t="shared" si="20"/>
        <v>0</v>
      </c>
      <c r="D338" s="559">
        <f t="shared" si="21"/>
        <v>0</v>
      </c>
      <c r="E338" s="559">
        <f t="shared" si="22"/>
        <v>0</v>
      </c>
      <c r="G338" s="559">
        <f t="shared" si="23"/>
        <v>0</v>
      </c>
    </row>
    <row r="339" spans="2:7" x14ac:dyDescent="0.3">
      <c r="B339" s="561">
        <v>330</v>
      </c>
      <c r="C339" s="559">
        <f t="shared" si="20"/>
        <v>0</v>
      </c>
      <c r="D339" s="559">
        <f t="shared" si="21"/>
        <v>0</v>
      </c>
      <c r="E339" s="559">
        <f t="shared" si="22"/>
        <v>0</v>
      </c>
      <c r="G339" s="559">
        <f t="shared" si="23"/>
        <v>0</v>
      </c>
    </row>
    <row r="340" spans="2:7" x14ac:dyDescent="0.3">
      <c r="B340" s="561">
        <v>331</v>
      </c>
      <c r="C340" s="559">
        <f t="shared" si="20"/>
        <v>0</v>
      </c>
      <c r="D340" s="559">
        <f t="shared" si="21"/>
        <v>0</v>
      </c>
      <c r="E340" s="559">
        <f t="shared" si="22"/>
        <v>0</v>
      </c>
      <c r="G340" s="559">
        <f t="shared" si="23"/>
        <v>0</v>
      </c>
    </row>
    <row r="341" spans="2:7" x14ac:dyDescent="0.3">
      <c r="B341" s="561">
        <v>332</v>
      </c>
      <c r="C341" s="559">
        <f t="shared" si="20"/>
        <v>0</v>
      </c>
      <c r="D341" s="559">
        <f t="shared" si="21"/>
        <v>0</v>
      </c>
      <c r="E341" s="559">
        <f t="shared" si="22"/>
        <v>0</v>
      </c>
      <c r="G341" s="559">
        <f t="shared" si="23"/>
        <v>0</v>
      </c>
    </row>
    <row r="342" spans="2:7" x14ac:dyDescent="0.3">
      <c r="B342" s="561">
        <v>333</v>
      </c>
      <c r="C342" s="559">
        <f t="shared" si="20"/>
        <v>0</v>
      </c>
      <c r="D342" s="559">
        <f t="shared" si="21"/>
        <v>0</v>
      </c>
      <c r="E342" s="559">
        <f t="shared" si="22"/>
        <v>0</v>
      </c>
      <c r="G342" s="559">
        <f t="shared" si="23"/>
        <v>0</v>
      </c>
    </row>
    <row r="343" spans="2:7" x14ac:dyDescent="0.3">
      <c r="B343" s="561">
        <v>334</v>
      </c>
      <c r="C343" s="559">
        <f t="shared" si="20"/>
        <v>0</v>
      </c>
      <c r="D343" s="559">
        <f t="shared" si="21"/>
        <v>0</v>
      </c>
      <c r="E343" s="559">
        <f t="shared" si="22"/>
        <v>0</v>
      </c>
      <c r="G343" s="559">
        <f t="shared" si="23"/>
        <v>0</v>
      </c>
    </row>
    <row r="344" spans="2:7" x14ac:dyDescent="0.3">
      <c r="B344" s="561">
        <v>335</v>
      </c>
      <c r="C344" s="559">
        <f t="shared" si="20"/>
        <v>0</v>
      </c>
      <c r="D344" s="559">
        <f t="shared" si="21"/>
        <v>0</v>
      </c>
      <c r="E344" s="559">
        <f t="shared" si="22"/>
        <v>0</v>
      </c>
      <c r="G344" s="559">
        <f t="shared" si="23"/>
        <v>0</v>
      </c>
    </row>
    <row r="345" spans="2:7" x14ac:dyDescent="0.3">
      <c r="B345" s="561">
        <v>336</v>
      </c>
      <c r="C345" s="559">
        <f t="shared" si="20"/>
        <v>0</v>
      </c>
      <c r="D345" s="559">
        <f t="shared" si="21"/>
        <v>0</v>
      </c>
      <c r="E345" s="559">
        <f t="shared" si="22"/>
        <v>0</v>
      </c>
      <c r="G345" s="559">
        <f t="shared" si="23"/>
        <v>0</v>
      </c>
    </row>
    <row r="346" spans="2:7" x14ac:dyDescent="0.3">
      <c r="B346" s="561">
        <v>337</v>
      </c>
      <c r="C346" s="559">
        <f t="shared" si="20"/>
        <v>0</v>
      </c>
      <c r="D346" s="559">
        <f t="shared" si="21"/>
        <v>0</v>
      </c>
      <c r="E346" s="559">
        <f t="shared" si="22"/>
        <v>0</v>
      </c>
      <c r="G346" s="559">
        <f t="shared" si="23"/>
        <v>0</v>
      </c>
    </row>
    <row r="347" spans="2:7" x14ac:dyDescent="0.3">
      <c r="B347" s="561">
        <v>338</v>
      </c>
      <c r="C347" s="559">
        <f t="shared" si="20"/>
        <v>0</v>
      </c>
      <c r="D347" s="559">
        <f t="shared" si="21"/>
        <v>0</v>
      </c>
      <c r="E347" s="559">
        <f t="shared" si="22"/>
        <v>0</v>
      </c>
      <c r="G347" s="559">
        <f t="shared" si="23"/>
        <v>0</v>
      </c>
    </row>
    <row r="348" spans="2:7" x14ac:dyDescent="0.3">
      <c r="B348" s="561">
        <v>339</v>
      </c>
      <c r="C348" s="559">
        <f t="shared" si="20"/>
        <v>0</v>
      </c>
      <c r="D348" s="559">
        <f t="shared" si="21"/>
        <v>0</v>
      </c>
      <c r="E348" s="559">
        <f t="shared" si="22"/>
        <v>0</v>
      </c>
      <c r="G348" s="559">
        <f t="shared" si="23"/>
        <v>0</v>
      </c>
    </row>
    <row r="349" spans="2:7" x14ac:dyDescent="0.3">
      <c r="B349" s="561">
        <v>340</v>
      </c>
      <c r="C349" s="559">
        <f t="shared" si="20"/>
        <v>0</v>
      </c>
      <c r="D349" s="559">
        <f t="shared" si="21"/>
        <v>0</v>
      </c>
      <c r="E349" s="559">
        <f t="shared" si="22"/>
        <v>0</v>
      </c>
      <c r="G349" s="559">
        <f t="shared" si="23"/>
        <v>0</v>
      </c>
    </row>
    <row r="350" spans="2:7" x14ac:dyDescent="0.3">
      <c r="B350" s="561">
        <v>341</v>
      </c>
      <c r="C350" s="559">
        <f t="shared" si="20"/>
        <v>0</v>
      </c>
      <c r="D350" s="559">
        <f t="shared" si="21"/>
        <v>0</v>
      </c>
      <c r="E350" s="559">
        <f t="shared" si="22"/>
        <v>0</v>
      </c>
      <c r="G350" s="559">
        <f t="shared" si="23"/>
        <v>0</v>
      </c>
    </row>
    <row r="351" spans="2:7" x14ac:dyDescent="0.3">
      <c r="B351" s="561">
        <v>342</v>
      </c>
      <c r="C351" s="559">
        <f t="shared" si="20"/>
        <v>0</v>
      </c>
      <c r="D351" s="559">
        <f t="shared" si="21"/>
        <v>0</v>
      </c>
      <c r="E351" s="559">
        <f t="shared" si="22"/>
        <v>0</v>
      </c>
      <c r="G351" s="559">
        <f t="shared" si="23"/>
        <v>0</v>
      </c>
    </row>
    <row r="352" spans="2:7" x14ac:dyDescent="0.3">
      <c r="B352" s="561">
        <v>343</v>
      </c>
      <c r="C352" s="559">
        <f t="shared" si="20"/>
        <v>0</v>
      </c>
      <c r="D352" s="559">
        <f t="shared" si="21"/>
        <v>0</v>
      </c>
      <c r="E352" s="559">
        <f t="shared" si="22"/>
        <v>0</v>
      </c>
      <c r="G352" s="559">
        <f t="shared" si="23"/>
        <v>0</v>
      </c>
    </row>
    <row r="353" spans="2:7" x14ac:dyDescent="0.3">
      <c r="B353" s="561">
        <v>344</v>
      </c>
      <c r="C353" s="559">
        <f t="shared" si="20"/>
        <v>0</v>
      </c>
      <c r="D353" s="559">
        <f t="shared" si="21"/>
        <v>0</v>
      </c>
      <c r="E353" s="559">
        <f t="shared" si="22"/>
        <v>0</v>
      </c>
      <c r="G353" s="559">
        <f t="shared" si="23"/>
        <v>0</v>
      </c>
    </row>
    <row r="354" spans="2:7" x14ac:dyDescent="0.3">
      <c r="B354" s="561">
        <v>345</v>
      </c>
      <c r="C354" s="559">
        <f t="shared" si="20"/>
        <v>0</v>
      </c>
      <c r="D354" s="559">
        <f t="shared" si="21"/>
        <v>0</v>
      </c>
      <c r="E354" s="559">
        <f t="shared" si="22"/>
        <v>0</v>
      </c>
      <c r="G354" s="559">
        <f t="shared" si="23"/>
        <v>0</v>
      </c>
    </row>
    <row r="355" spans="2:7" x14ac:dyDescent="0.3">
      <c r="B355" s="561">
        <v>346</v>
      </c>
      <c r="C355" s="559">
        <f t="shared" si="20"/>
        <v>0</v>
      </c>
      <c r="D355" s="559">
        <f t="shared" si="21"/>
        <v>0</v>
      </c>
      <c r="E355" s="559">
        <f t="shared" si="22"/>
        <v>0</v>
      </c>
      <c r="G355" s="559">
        <f t="shared" si="23"/>
        <v>0</v>
      </c>
    </row>
    <row r="356" spans="2:7" x14ac:dyDescent="0.3">
      <c r="B356" s="561">
        <v>347</v>
      </c>
      <c r="C356" s="559">
        <f t="shared" si="20"/>
        <v>0</v>
      </c>
      <c r="D356" s="559">
        <f t="shared" si="21"/>
        <v>0</v>
      </c>
      <c r="E356" s="559">
        <f t="shared" si="22"/>
        <v>0</v>
      </c>
      <c r="G356" s="559">
        <f t="shared" si="23"/>
        <v>0</v>
      </c>
    </row>
    <row r="357" spans="2:7" x14ac:dyDescent="0.3">
      <c r="B357" s="561">
        <v>348</v>
      </c>
      <c r="C357" s="559">
        <f t="shared" si="20"/>
        <v>0</v>
      </c>
      <c r="D357" s="559">
        <f t="shared" si="21"/>
        <v>0</v>
      </c>
      <c r="E357" s="559">
        <f t="shared" si="22"/>
        <v>0</v>
      </c>
      <c r="G357" s="559">
        <f t="shared" si="23"/>
        <v>0</v>
      </c>
    </row>
    <row r="358" spans="2:7" x14ac:dyDescent="0.3">
      <c r="B358" s="561">
        <v>349</v>
      </c>
      <c r="C358" s="559">
        <f t="shared" si="20"/>
        <v>0</v>
      </c>
      <c r="D358" s="559">
        <f t="shared" si="21"/>
        <v>0</v>
      </c>
      <c r="E358" s="559">
        <f t="shared" si="22"/>
        <v>0</v>
      </c>
      <c r="G358" s="559">
        <f t="shared" si="23"/>
        <v>0</v>
      </c>
    </row>
    <row r="359" spans="2:7" x14ac:dyDescent="0.3">
      <c r="B359" s="561">
        <v>350</v>
      </c>
      <c r="C359" s="559">
        <f t="shared" si="20"/>
        <v>0</v>
      </c>
      <c r="D359" s="559">
        <f t="shared" si="21"/>
        <v>0</v>
      </c>
      <c r="E359" s="559">
        <f t="shared" si="22"/>
        <v>0</v>
      </c>
      <c r="G359" s="559">
        <f t="shared" si="23"/>
        <v>0</v>
      </c>
    </row>
    <row r="360" spans="2:7" x14ac:dyDescent="0.3">
      <c r="B360" s="561">
        <v>351</v>
      </c>
      <c r="C360" s="559">
        <f t="shared" si="20"/>
        <v>0</v>
      </c>
      <c r="D360" s="559">
        <f t="shared" si="21"/>
        <v>0</v>
      </c>
      <c r="E360" s="559">
        <f t="shared" si="22"/>
        <v>0</v>
      </c>
      <c r="G360" s="559">
        <f t="shared" si="23"/>
        <v>0</v>
      </c>
    </row>
    <row r="361" spans="2:7" x14ac:dyDescent="0.3">
      <c r="B361" s="561">
        <v>352</v>
      </c>
      <c r="C361" s="559">
        <f t="shared" si="20"/>
        <v>0</v>
      </c>
      <c r="D361" s="559">
        <f t="shared" si="21"/>
        <v>0</v>
      </c>
      <c r="E361" s="559">
        <f t="shared" si="22"/>
        <v>0</v>
      </c>
      <c r="G361" s="559">
        <f t="shared" si="23"/>
        <v>0</v>
      </c>
    </row>
    <row r="362" spans="2:7" x14ac:dyDescent="0.3">
      <c r="B362" s="561">
        <v>353</v>
      </c>
      <c r="C362" s="559">
        <f t="shared" si="20"/>
        <v>0</v>
      </c>
      <c r="D362" s="559">
        <f t="shared" si="21"/>
        <v>0</v>
      </c>
      <c r="E362" s="559">
        <f t="shared" si="22"/>
        <v>0</v>
      </c>
      <c r="G362" s="559">
        <f t="shared" si="23"/>
        <v>0</v>
      </c>
    </row>
    <row r="363" spans="2:7" x14ac:dyDescent="0.3">
      <c r="B363" s="561">
        <v>354</v>
      </c>
      <c r="C363" s="559">
        <f t="shared" si="20"/>
        <v>0</v>
      </c>
      <c r="D363" s="559">
        <f t="shared" si="21"/>
        <v>0</v>
      </c>
      <c r="E363" s="559">
        <f t="shared" si="22"/>
        <v>0</v>
      </c>
      <c r="G363" s="559">
        <f t="shared" si="23"/>
        <v>0</v>
      </c>
    </row>
    <row r="364" spans="2:7" x14ac:dyDescent="0.3">
      <c r="B364" s="561">
        <v>355</v>
      </c>
      <c r="C364" s="559">
        <f t="shared" si="20"/>
        <v>0</v>
      </c>
      <c r="D364" s="559">
        <f t="shared" si="21"/>
        <v>0</v>
      </c>
      <c r="E364" s="559">
        <f t="shared" si="22"/>
        <v>0</v>
      </c>
      <c r="G364" s="559">
        <f t="shared" si="23"/>
        <v>0</v>
      </c>
    </row>
    <row r="365" spans="2:7" x14ac:dyDescent="0.3">
      <c r="B365" s="561">
        <v>356</v>
      </c>
      <c r="C365" s="559">
        <f t="shared" si="20"/>
        <v>0</v>
      </c>
      <c r="D365" s="559">
        <f t="shared" si="21"/>
        <v>0</v>
      </c>
      <c r="E365" s="559">
        <f t="shared" si="22"/>
        <v>0</v>
      </c>
      <c r="G365" s="559">
        <f t="shared" si="23"/>
        <v>0</v>
      </c>
    </row>
    <row r="366" spans="2:7" x14ac:dyDescent="0.3">
      <c r="B366" s="561">
        <v>357</v>
      </c>
      <c r="C366" s="559">
        <f t="shared" si="20"/>
        <v>0</v>
      </c>
      <c r="D366" s="559">
        <f t="shared" si="21"/>
        <v>0</v>
      </c>
      <c r="E366" s="559">
        <f t="shared" si="22"/>
        <v>0</v>
      </c>
      <c r="G366" s="559">
        <f t="shared" si="23"/>
        <v>0</v>
      </c>
    </row>
    <row r="367" spans="2:7" x14ac:dyDescent="0.3">
      <c r="B367" s="561">
        <v>358</v>
      </c>
      <c r="C367" s="559">
        <f t="shared" si="20"/>
        <v>0</v>
      </c>
      <c r="D367" s="559">
        <f t="shared" si="21"/>
        <v>0</v>
      </c>
      <c r="E367" s="559">
        <f t="shared" si="22"/>
        <v>0</v>
      </c>
      <c r="G367" s="559">
        <f t="shared" si="23"/>
        <v>0</v>
      </c>
    </row>
    <row r="368" spans="2:7" x14ac:dyDescent="0.3">
      <c r="B368" s="561">
        <v>359</v>
      </c>
      <c r="C368" s="559">
        <f t="shared" si="20"/>
        <v>0</v>
      </c>
      <c r="D368" s="559">
        <f t="shared" si="21"/>
        <v>0</v>
      </c>
      <c r="E368" s="559">
        <f t="shared" si="22"/>
        <v>0</v>
      </c>
      <c r="G368" s="559">
        <f t="shared" si="23"/>
        <v>0</v>
      </c>
    </row>
    <row r="369" spans="2:7" x14ac:dyDescent="0.3">
      <c r="B369" s="561">
        <v>360</v>
      </c>
      <c r="C369" s="559">
        <f t="shared" si="20"/>
        <v>0</v>
      </c>
      <c r="D369" s="559">
        <f t="shared" si="21"/>
        <v>0</v>
      </c>
      <c r="E369" s="559">
        <f t="shared" si="22"/>
        <v>0</v>
      </c>
      <c r="G369" s="559">
        <f t="shared" si="23"/>
        <v>0</v>
      </c>
    </row>
    <row r="370" spans="2:7" x14ac:dyDescent="0.3">
      <c r="B370" s="561">
        <v>361</v>
      </c>
      <c r="C370" s="559">
        <f t="shared" si="20"/>
        <v>0</v>
      </c>
      <c r="D370" s="559">
        <f t="shared" si="21"/>
        <v>0</v>
      </c>
      <c r="E370" s="559">
        <f t="shared" si="22"/>
        <v>0</v>
      </c>
      <c r="G370" s="559">
        <f t="shared" si="23"/>
        <v>0</v>
      </c>
    </row>
    <row r="371" spans="2:7" x14ac:dyDescent="0.3">
      <c r="B371" s="561">
        <v>362</v>
      </c>
      <c r="C371" s="559">
        <f t="shared" si="20"/>
        <v>0</v>
      </c>
      <c r="D371" s="559">
        <f t="shared" si="21"/>
        <v>0</v>
      </c>
      <c r="E371" s="559">
        <f t="shared" si="22"/>
        <v>0</v>
      </c>
      <c r="G371" s="559">
        <f t="shared" si="23"/>
        <v>0</v>
      </c>
    </row>
  </sheetData>
  <sheetProtection algorithmName="SHA-512" hashValue="MRiu6NJhjbnwTDSdBL5GR5X6cpFp8vXpwfp2aw/IKgzf5QBYIstH44Zl0OeUazFrGu6GSxIoerHBtG+VZjjlXw==" saltValue="Rd1L0eMegwRzHJc0VFBrxw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H34"/>
  <sheetViews>
    <sheetView workbookViewId="0"/>
  </sheetViews>
  <sheetFormatPr defaultColWidth="8.77734375" defaultRowHeight="14.4" x14ac:dyDescent="0.3"/>
  <cols>
    <col min="2" max="2" width="28.44140625" style="562" customWidth="1"/>
    <col min="3" max="3" width="17.88671875" style="563" customWidth="1"/>
    <col min="4" max="4" width="25.5546875" style="562" customWidth="1"/>
    <col min="5" max="5" width="16" style="563" customWidth="1"/>
    <col min="6" max="6" width="12.77734375" style="564" customWidth="1"/>
    <col min="7" max="7" width="13.5546875" style="564" customWidth="1"/>
    <col min="8" max="8" width="26.33203125" customWidth="1"/>
    <col min="9" max="9" width="17.21875" customWidth="1"/>
  </cols>
  <sheetData>
    <row r="1" spans="1:8" x14ac:dyDescent="0.3">
      <c r="A1" s="688" t="s">
        <v>454</v>
      </c>
    </row>
    <row r="2" spans="1:8" x14ac:dyDescent="0.3">
      <c r="B2" s="562" t="s">
        <v>324</v>
      </c>
    </row>
    <row r="3" spans="1:8" ht="15" thickBot="1" x14ac:dyDescent="0.35"/>
    <row r="4" spans="1:8" s="162" customFormat="1" ht="29.4" thickBot="1" x14ac:dyDescent="0.35">
      <c r="B4" s="565" t="s">
        <v>385</v>
      </c>
      <c r="C4" s="566">
        <f>'Principal Recapture'!C3</f>
        <v>8179.9002911065363</v>
      </c>
      <c r="D4" s="565"/>
      <c r="E4" s="566"/>
      <c r="F4" s="567" t="s">
        <v>445</v>
      </c>
      <c r="G4" s="568" t="s">
        <v>446</v>
      </c>
      <c r="H4"/>
    </row>
    <row r="5" spans="1:8" x14ac:dyDescent="0.3">
      <c r="B5" s="569" t="s">
        <v>384</v>
      </c>
      <c r="C5" s="570">
        <f>SUM('Principal Recapture'!E9:E20)</f>
        <v>21260.987652538617</v>
      </c>
      <c r="D5" s="571" t="s">
        <v>415</v>
      </c>
      <c r="E5" s="570">
        <f>SUM('Principal Recapture'!D9:D20)</f>
        <v>76897.81584073983</v>
      </c>
      <c r="F5" s="572">
        <f>C5/(C5+E5)</f>
        <v>0.21659786892160407</v>
      </c>
      <c r="G5" s="573">
        <f>C5/'ROI details'!$I$3</f>
        <v>5.8829517577583333E-2</v>
      </c>
    </row>
    <row r="6" spans="1:8" x14ac:dyDescent="0.3">
      <c r="B6" s="574" t="s">
        <v>386</v>
      </c>
      <c r="C6" s="575">
        <f>SUM('Principal Recapture'!E21:E32)</f>
        <v>22628.532958673088</v>
      </c>
      <c r="D6" s="576" t="s">
        <v>416</v>
      </c>
      <c r="E6" s="575">
        <f>SUM('Principal Recapture'!D21:D32)</f>
        <v>75530.270534605355</v>
      </c>
      <c r="F6" s="577">
        <f t="shared" ref="F6:F34" si="0">C6/(C6+E6)</f>
        <v>0.23052983689050982</v>
      </c>
      <c r="G6" s="578">
        <f>C6/'ROI details'!$I$3</f>
        <v>6.2613538900589613E-2</v>
      </c>
    </row>
    <row r="7" spans="1:8" x14ac:dyDescent="0.3">
      <c r="B7" s="574" t="s">
        <v>387</v>
      </c>
      <c r="C7" s="575">
        <f>SUM('Principal Recapture'!E33:E44)</f>
        <v>24084.041260454524</v>
      </c>
      <c r="D7" s="576" t="s">
        <v>417</v>
      </c>
      <c r="E7" s="575">
        <f>SUM('Principal Recapture'!D33:D44)</f>
        <v>74074.762232823894</v>
      </c>
      <c r="F7" s="577">
        <f t="shared" si="0"/>
        <v>0.24535793432021322</v>
      </c>
      <c r="G7" s="578">
        <f>C7/'ROI details'!$I$3</f>
        <v>6.6640955341600791E-2</v>
      </c>
    </row>
    <row r="8" spans="1:8" x14ac:dyDescent="0.3">
      <c r="B8" s="574" t="s">
        <v>388</v>
      </c>
      <c r="C8" s="575">
        <f>SUM('Principal Recapture'!E45:E56)</f>
        <v>25633.17049738119</v>
      </c>
      <c r="D8" s="576" t="s">
        <v>418</v>
      </c>
      <c r="E8" s="575">
        <f>SUM('Principal Recapture'!D45:D56)</f>
        <v>72525.632995897235</v>
      </c>
      <c r="F8" s="577">
        <f t="shared" si="0"/>
        <v>0.26113980188375524</v>
      </c>
      <c r="G8" s="578">
        <f>C8/'ROI details'!$I$3</f>
        <v>7.0927422516273347E-2</v>
      </c>
    </row>
    <row r="9" spans="1:8" x14ac:dyDescent="0.3">
      <c r="B9" s="574" t="s">
        <v>389</v>
      </c>
      <c r="C9" s="575">
        <f>SUM('Principal Recapture'!E57:E68)</f>
        <v>27281.94253788672</v>
      </c>
      <c r="D9" s="576" t="s">
        <v>419</v>
      </c>
      <c r="E9" s="575">
        <f>SUM('Principal Recapture'!D57:D68)</f>
        <v>70876.860955391719</v>
      </c>
      <c r="F9" s="577">
        <f t="shared" si="0"/>
        <v>0.27793678780686126</v>
      </c>
      <c r="G9" s="578">
        <f>C9/'ROI details'!$I$3</f>
        <v>7.5489603037871389E-2</v>
      </c>
    </row>
    <row r="10" spans="1:8" x14ac:dyDescent="0.3">
      <c r="B10" s="574" t="s">
        <v>390</v>
      </c>
      <c r="C10" s="575">
        <f>SUM('Principal Recapture'!E69:E80)</f>
        <v>29036.766587909759</v>
      </c>
      <c r="D10" s="576" t="s">
        <v>420</v>
      </c>
      <c r="E10" s="575">
        <f>SUM('Principal Recapture'!D69:D80)</f>
        <v>69122.036905368688</v>
      </c>
      <c r="F10" s="577">
        <f t="shared" si="0"/>
        <v>0.29581418634445855</v>
      </c>
      <c r="G10" s="578">
        <f>C10/'ROI details'!$I$3</f>
        <v>8.0345231289180294E-2</v>
      </c>
    </row>
    <row r="11" spans="1:8" x14ac:dyDescent="0.3">
      <c r="B11" s="574" t="s">
        <v>391</v>
      </c>
      <c r="C11" s="575">
        <f>SUM('Principal Recapture'!E81:E92)</f>
        <v>30904.464105145129</v>
      </c>
      <c r="D11" s="576" t="s">
        <v>421</v>
      </c>
      <c r="E11" s="575">
        <f>SUM('Principal Recapture'!D81:D92)</f>
        <v>67254.339388133318</v>
      </c>
      <c r="F11" s="577">
        <f t="shared" si="0"/>
        <v>0.31484149159643487</v>
      </c>
      <c r="G11" s="578">
        <f>C11/'ROI details'!$I$3</f>
        <v>8.5513182360667211E-2</v>
      </c>
    </row>
    <row r="12" spans="1:8" x14ac:dyDescent="0.3">
      <c r="B12" s="574" t="s">
        <v>392</v>
      </c>
      <c r="C12" s="575">
        <f>SUM('Principal Recapture'!E93:E104)</f>
        <v>32892.295315824871</v>
      </c>
      <c r="D12" s="576" t="s">
        <v>422</v>
      </c>
      <c r="E12" s="575">
        <f>SUM('Principal Recapture'!D93:D104)</f>
        <v>65266.508177453565</v>
      </c>
      <c r="F12" s="577">
        <f t="shared" si="0"/>
        <v>0.33509266764928747</v>
      </c>
      <c r="G12" s="578">
        <f>C12/'ROI details'!$I$3</f>
        <v>9.1013545422869047E-2</v>
      </c>
    </row>
    <row r="13" spans="1:8" x14ac:dyDescent="0.3">
      <c r="B13" s="574" t="s">
        <v>393</v>
      </c>
      <c r="C13" s="575">
        <f>SUM('Principal Recapture'!E105:E116)</f>
        <v>35007.987437106669</v>
      </c>
      <c r="D13" s="576" t="s">
        <v>423</v>
      </c>
      <c r="E13" s="575">
        <f>SUM('Principal Recapture'!D105:D116)</f>
        <v>63150.816056171767</v>
      </c>
      <c r="F13" s="577">
        <f t="shared" si="0"/>
        <v>0.35664643609377217</v>
      </c>
      <c r="G13" s="578">
        <f>C13/'ROI details'!$I$3</f>
        <v>9.6867701818225432E-2</v>
      </c>
    </row>
    <row r="14" spans="1:8" x14ac:dyDescent="0.3">
      <c r="B14" s="574" t="s">
        <v>394</v>
      </c>
      <c r="C14" s="575">
        <f>SUM('Principal Recapture'!E117:E128)</f>
        <v>37259.764714777652</v>
      </c>
      <c r="D14" s="576" t="s">
        <v>424</v>
      </c>
      <c r="E14" s="575">
        <f>SUM('Principal Recapture'!D117:D128)</f>
        <v>60899.038778500792</v>
      </c>
      <c r="F14" s="577">
        <f t="shared" si="0"/>
        <v>0.37958658203621098</v>
      </c>
      <c r="G14" s="578">
        <f>C14/'ROI details'!$I$3</f>
        <v>0.10309840817592045</v>
      </c>
    </row>
    <row r="15" spans="1:8" x14ac:dyDescent="0.3">
      <c r="B15" s="574" t="s">
        <v>395</v>
      </c>
      <c r="C15" s="575">
        <f>SUM('Principal Recapture'!E129:E140)</f>
        <v>39656.380393037784</v>
      </c>
      <c r="D15" s="576" t="s">
        <v>425</v>
      </c>
      <c r="E15" s="575">
        <f>SUM('Principal Recapture'!D129:D140)</f>
        <v>58502.423100240652</v>
      </c>
      <c r="F15" s="577">
        <f t="shared" si="0"/>
        <v>0.40400227979300207</v>
      </c>
      <c r="G15" s="578">
        <f>C15/'ROI details'!$I$3</f>
        <v>0.10972988487282176</v>
      </c>
    </row>
    <row r="16" spans="1:8" x14ac:dyDescent="0.3">
      <c r="B16" s="574" t="s">
        <v>396</v>
      </c>
      <c r="C16" s="575">
        <f>SUM('Principal Recapture'!E141:E152)</f>
        <v>42207.150740637648</v>
      </c>
      <c r="D16" s="576" t="s">
        <v>426</v>
      </c>
      <c r="E16" s="575">
        <f>SUM('Principal Recapture'!D141:D152)</f>
        <v>55951.652752640788</v>
      </c>
      <c r="F16" s="577">
        <f t="shared" si="0"/>
        <v>0.42998843953439025</v>
      </c>
      <c r="G16" s="578">
        <f>C16/'ROI details'!$I$3</f>
        <v>0.11678791018438751</v>
      </c>
    </row>
    <row r="17" spans="2:7" x14ac:dyDescent="0.3">
      <c r="B17" s="574" t="s">
        <v>397</v>
      </c>
      <c r="C17" s="575">
        <f>SUM('Principal Recapture'!E153:E164)</f>
        <v>44921.991265639197</v>
      </c>
      <c r="D17" s="576" t="s">
        <v>427</v>
      </c>
      <c r="E17" s="575">
        <f>SUM('Principal Recapture'!D153:D164)</f>
        <v>53236.812227639231</v>
      </c>
      <c r="F17" s="577">
        <f t="shared" si="0"/>
        <v>0.45764607622499492</v>
      </c>
      <c r="G17" s="578">
        <f>C17/'ROI details'!$I$3</f>
        <v>0.1242999204915307</v>
      </c>
    </row>
    <row r="18" spans="2:7" x14ac:dyDescent="0.3">
      <c r="B18" s="574" t="s">
        <v>398</v>
      </c>
      <c r="C18" s="575">
        <f>SUM('Principal Recapture'!E165:E176)</f>
        <v>47811.455259575705</v>
      </c>
      <c r="D18" s="576" t="s">
        <v>428</v>
      </c>
      <c r="E18" s="575">
        <f>SUM('Principal Recapture'!D165:D176)</f>
        <v>50347.348233702724</v>
      </c>
      <c r="F18" s="577">
        <f t="shared" si="0"/>
        <v>0.48708270229526252</v>
      </c>
      <c r="G18" s="578">
        <f>C18/'ROI details'!$I$3</f>
        <v>0.13229511693297097</v>
      </c>
    </row>
    <row r="19" spans="2:7" x14ac:dyDescent="0.3">
      <c r="B19" s="574" t="s">
        <v>399</v>
      </c>
      <c r="C19" s="575">
        <f>SUM('Principal Recapture'!E177:E188)</f>
        <v>50886.774820841929</v>
      </c>
      <c r="D19" s="576" t="s">
        <v>429</v>
      </c>
      <c r="E19" s="575">
        <f>SUM('Principal Recapture'!D177:D188)</f>
        <v>47272.028672436514</v>
      </c>
      <c r="F19" s="577">
        <f t="shared" si="0"/>
        <v>0.51841274557025818</v>
      </c>
      <c r="G19" s="578">
        <f>C19/'ROI details'!$I$3</f>
        <v>0.14080457891765891</v>
      </c>
    </row>
    <row r="20" spans="2:7" x14ac:dyDescent="0.3">
      <c r="B20" s="574" t="s">
        <v>400</v>
      </c>
      <c r="C20" s="575">
        <f>SUM('Principal Recapture'!E189:E200)</f>
        <v>54159.904516783194</v>
      </c>
      <c r="D20" s="576" t="s">
        <v>430</v>
      </c>
      <c r="E20" s="575">
        <f>SUM('Principal Recapture'!D189:D200)</f>
        <v>43998.898976495249</v>
      </c>
      <c r="F20" s="577">
        <f t="shared" si="0"/>
        <v>0.55175799408039705</v>
      </c>
      <c r="G20" s="578">
        <f>C20/'ROI details'!$I$3</f>
        <v>0.14986138493852572</v>
      </c>
    </row>
    <row r="21" spans="2:7" x14ac:dyDescent="0.3">
      <c r="B21" s="574" t="s">
        <v>401</v>
      </c>
      <c r="C21" s="575">
        <f>SUM('Principal Recapture'!E201:E212)</f>
        <v>57643.567854209337</v>
      </c>
      <c r="D21" s="576" t="s">
        <v>431</v>
      </c>
      <c r="E21" s="575">
        <f>SUM('Principal Recapture'!D201:D212)</f>
        <v>40515.235639069113</v>
      </c>
      <c r="F21" s="577">
        <f t="shared" si="0"/>
        <v>0.58724806948320796</v>
      </c>
      <c r="G21" s="578">
        <f>C21/'ROI details'!$I$3</f>
        <v>0.1595007411571924</v>
      </c>
    </row>
    <row r="22" spans="2:7" x14ac:dyDescent="0.3">
      <c r="B22" s="574" t="s">
        <v>402</v>
      </c>
      <c r="C22" s="575">
        <f>SUM('Principal Recapture'!E213:E224)</f>
        <v>61351.306738976331</v>
      </c>
      <c r="D22" s="576" t="s">
        <v>432</v>
      </c>
      <c r="E22" s="575">
        <f>SUM('Principal Recapture'!D213:D224)</f>
        <v>36807.496754302119</v>
      </c>
      <c r="F22" s="577">
        <f t="shared" si="0"/>
        <v>0.62502093093644362</v>
      </c>
      <c r="G22" s="578">
        <f>C22/'ROI details'!$I$3</f>
        <v>0.16976011825948073</v>
      </c>
    </row>
    <row r="23" spans="2:7" x14ac:dyDescent="0.3">
      <c r="B23" s="574" t="s">
        <v>403</v>
      </c>
      <c r="C23" s="575">
        <f>SUM('Principal Recapture'!E225:E236)</f>
        <v>65297.53411689803</v>
      </c>
      <c r="D23" s="576" t="s">
        <v>433</v>
      </c>
      <c r="E23" s="575">
        <f>SUM('Principal Recapture'!D225:D236)</f>
        <v>32861.269376380391</v>
      </c>
      <c r="F23" s="577">
        <f t="shared" si="0"/>
        <v>0.66522341138122554</v>
      </c>
      <c r="G23" s="578">
        <f>C23/'ROI details'!$I$3</f>
        <v>0.18067939711371894</v>
      </c>
    </row>
    <row r="24" spans="2:7" x14ac:dyDescent="0.3">
      <c r="B24" s="574" t="s">
        <v>404</v>
      </c>
      <c r="C24" s="575">
        <f>SUM('Principal Recapture'!E237:E248)</f>
        <v>69497.59000061694</v>
      </c>
      <c r="D24" s="576" t="s">
        <v>434</v>
      </c>
      <c r="E24" s="575">
        <f>SUM('Principal Recapture'!D237:D248)</f>
        <v>28661.213492661485</v>
      </c>
      <c r="F24" s="577">
        <f t="shared" si="0"/>
        <v>0.7080117883198922</v>
      </c>
      <c r="G24" s="578">
        <f>C24/'ROI details'!$I$3</f>
        <v>0.19230102379805461</v>
      </c>
    </row>
    <row r="25" spans="2:7" x14ac:dyDescent="0.3">
      <c r="B25" s="574" t="s">
        <v>405</v>
      </c>
      <c r="C25" s="575">
        <f>SUM('Principal Recapture'!E249:E260)</f>
        <v>73967.801100224737</v>
      </c>
      <c r="D25" s="576" t="s">
        <v>435</v>
      </c>
      <c r="E25" s="575">
        <f>SUM('Principal Recapture'!D249:D260)</f>
        <v>24191.002393053703</v>
      </c>
      <c r="F25" s="577">
        <f t="shared" si="0"/>
        <v>0.75355239130731444</v>
      </c>
      <c r="G25" s="578">
        <f>C25/'ROI details'!$I$3</f>
        <v>0.20467017459940437</v>
      </c>
    </row>
    <row r="26" spans="2:7" x14ac:dyDescent="0.3">
      <c r="B26" s="574" t="s">
        <v>406</v>
      </c>
      <c r="C26" s="575">
        <f>SUM('Principal Recapture'!E261:E272)</f>
        <v>78725.544289432728</v>
      </c>
      <c r="D26" s="576" t="s">
        <v>436</v>
      </c>
      <c r="E26" s="575">
        <f>SUM('Principal Recapture'!D261:D272)</f>
        <v>19433.259203845701</v>
      </c>
      <c r="F26" s="577">
        <f t="shared" si="0"/>
        <v>0.80202224851715498</v>
      </c>
      <c r="G26" s="578">
        <f>C26/'ROI details'!$I$3</f>
        <v>0.21783493162543643</v>
      </c>
    </row>
    <row r="27" spans="2:7" x14ac:dyDescent="0.3">
      <c r="B27" s="574" t="s">
        <v>407</v>
      </c>
      <c r="C27" s="575">
        <f>SUM('Principal Recapture'!E273:E284)</f>
        <v>83789.314154001608</v>
      </c>
      <c r="D27" s="576" t="s">
        <v>437</v>
      </c>
      <c r="E27" s="575">
        <f>SUM('Principal Recapture'!D273:D284)</f>
        <v>14369.489339276835</v>
      </c>
      <c r="F27" s="577">
        <f t="shared" si="0"/>
        <v>0.85360977489644307</v>
      </c>
      <c r="G27" s="578">
        <f>C27/'ROI details'!$I$3</f>
        <v>0.23184646971223466</v>
      </c>
    </row>
    <row r="28" spans="2:7" x14ac:dyDescent="0.3">
      <c r="B28" s="574" t="s">
        <v>408</v>
      </c>
      <c r="C28" s="575">
        <f>SUM('Principal Recapture'!E285:E296)</f>
        <v>89178.794885008494</v>
      </c>
      <c r="D28" s="576" t="s">
        <v>438</v>
      </c>
      <c r="E28" s="575">
        <f>SUM('Principal Recapture'!D285:D296)</f>
        <v>8980.0086082699545</v>
      </c>
      <c r="F28" s="577">
        <f t="shared" si="0"/>
        <v>0.90851550458350006</v>
      </c>
      <c r="G28" s="578">
        <f>C28/'ROI details'!$I$3</f>
        <v>0.24675925535420171</v>
      </c>
    </row>
    <row r="29" spans="2:7" x14ac:dyDescent="0.3">
      <c r="B29" s="574" t="s">
        <v>409</v>
      </c>
      <c r="C29" s="575">
        <f>SUM('Principal Recapture'!E297:E308)</f>
        <v>94914.936796417358</v>
      </c>
      <c r="D29" s="576" t="s">
        <v>439</v>
      </c>
      <c r="E29" s="575">
        <f>SUM('Principal Recapture'!D297:D308)</f>
        <v>3243.8666968587536</v>
      </c>
      <c r="F29" s="577">
        <f t="shared" si="0"/>
        <v>0.96695287043631339</v>
      </c>
      <c r="G29" s="578">
        <f>C29/'ROI details'!$I$3</f>
        <v>0.26263125842948909</v>
      </c>
    </row>
    <row r="30" spans="2:7" x14ac:dyDescent="0.3">
      <c r="B30" s="574" t="s">
        <v>410</v>
      </c>
      <c r="C30" s="575">
        <f>SUM('Principal Recapture'!E309:E320)</f>
        <v>0</v>
      </c>
      <c r="D30" s="576" t="s">
        <v>440</v>
      </c>
      <c r="E30" s="575">
        <f>SUM('Principal Recapture'!D309:D320)</f>
        <v>0</v>
      </c>
      <c r="F30" s="577" t="e">
        <f t="shared" si="0"/>
        <v>#DIV/0!</v>
      </c>
      <c r="G30" s="578">
        <f>C30/'ROI details'!$I$3</f>
        <v>0</v>
      </c>
    </row>
    <row r="31" spans="2:7" x14ac:dyDescent="0.3">
      <c r="B31" s="574" t="s">
        <v>411</v>
      </c>
      <c r="C31" s="575">
        <f>SUM('Principal Recapture'!E321:E332)</f>
        <v>0</v>
      </c>
      <c r="D31" s="576" t="s">
        <v>441</v>
      </c>
      <c r="E31" s="575">
        <f>SUM('Principal Recapture'!D321:D332)</f>
        <v>0</v>
      </c>
      <c r="F31" s="577" t="e">
        <f t="shared" si="0"/>
        <v>#DIV/0!</v>
      </c>
      <c r="G31" s="578">
        <f>C31/'ROI details'!$I$3</f>
        <v>0</v>
      </c>
    </row>
    <row r="32" spans="2:7" x14ac:dyDescent="0.3">
      <c r="B32" s="574" t="s">
        <v>412</v>
      </c>
      <c r="C32" s="575">
        <f>SUM('Principal Recapture'!E333:E344)</f>
        <v>0</v>
      </c>
      <c r="D32" s="576" t="s">
        <v>442</v>
      </c>
      <c r="E32" s="575">
        <f>SUM('Principal Recapture'!D333:D344)</f>
        <v>0</v>
      </c>
      <c r="F32" s="577" t="e">
        <f t="shared" si="0"/>
        <v>#DIV/0!</v>
      </c>
      <c r="G32" s="578">
        <f>C32/'ROI details'!$I$3</f>
        <v>0</v>
      </c>
    </row>
    <row r="33" spans="2:7" x14ac:dyDescent="0.3">
      <c r="B33" s="574" t="s">
        <v>413</v>
      </c>
      <c r="C33" s="575">
        <f>SUM('Principal Recapture'!E345:E356)</f>
        <v>0</v>
      </c>
      <c r="D33" s="576" t="s">
        <v>443</v>
      </c>
      <c r="E33" s="575">
        <f>SUM('Principal Recapture'!D345:D356)</f>
        <v>0</v>
      </c>
      <c r="F33" s="577" t="e">
        <f t="shared" si="0"/>
        <v>#DIV/0!</v>
      </c>
      <c r="G33" s="578">
        <f>C33/'ROI details'!$I$3</f>
        <v>0</v>
      </c>
    </row>
    <row r="34" spans="2:7" ht="15" thickBot="1" x14ac:dyDescent="0.35">
      <c r="B34" s="579" t="s">
        <v>414</v>
      </c>
      <c r="C34" s="580">
        <f>SUM('Principal Recapture'!E357:E368)</f>
        <v>0</v>
      </c>
      <c r="D34" s="581" t="s">
        <v>444</v>
      </c>
      <c r="E34" s="580">
        <f>SUM('Principal Recapture'!D357:D368)</f>
        <v>0</v>
      </c>
      <c r="F34" s="582" t="e">
        <f t="shared" si="0"/>
        <v>#DIV/0!</v>
      </c>
      <c r="G34" s="583">
        <f>C34/'ROI details'!$I$3</f>
        <v>0</v>
      </c>
    </row>
  </sheetData>
  <sheetProtection algorithmName="SHA-512" hashValue="r9BseqaXrl5utWSXpxToluy/v1+LVRFyr/0JbmcZsw4by3soI70gWp9CntlH+4RE47FRqRiIlg3DiU8KeF1pdw==" saltValue="fw60hFh9CDWyMRjUIzEtgQ==" spinCount="100000" sheet="1" objects="1" scenarios="1"/>
  <phoneticPr fontId="75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88" t="s">
        <v>454</v>
      </c>
    </row>
    <row r="2" spans="1:3" ht="21" x14ac:dyDescent="0.4">
      <c r="B2" s="900" t="s">
        <v>253</v>
      </c>
      <c r="C2" s="900"/>
    </row>
    <row r="3" spans="1:3" x14ac:dyDescent="0.3">
      <c r="B3" s="290" t="s">
        <v>240</v>
      </c>
      <c r="C3" s="298">
        <f>SUM(C4:C6)</f>
        <v>65040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68400</v>
      </c>
    </row>
    <row r="5" spans="1:3" x14ac:dyDescent="0.3">
      <c r="B5" s="295" t="s">
        <v>255</v>
      </c>
      <c r="C5" s="293">
        <f>SUM('Calculating offering price ARV'!C53:C56)</f>
        <v>150</v>
      </c>
    </row>
    <row r="6" spans="1:3" x14ac:dyDescent="0.3">
      <c r="B6" s="296" t="s">
        <v>256</v>
      </c>
      <c r="C6" s="294">
        <f>-'ROI Number insert ARV'!E26</f>
        <v>-3510</v>
      </c>
    </row>
    <row r="7" spans="1:3" x14ac:dyDescent="0.3">
      <c r="B7" s="290" t="s">
        <v>241</v>
      </c>
      <c r="C7" s="298">
        <f>SUM(C8:C18)</f>
        <v>27505.489249411767</v>
      </c>
    </row>
    <row r="8" spans="1:3" x14ac:dyDescent="0.3">
      <c r="B8" s="295" t="s">
        <v>257</v>
      </c>
      <c r="C8" s="292">
        <f>'ROI Number insert ARV'!E41</f>
        <v>3334.5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5616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666.9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37534.510750588233</v>
      </c>
    </row>
    <row r="20" spans="2:3" x14ac:dyDescent="0.3">
      <c r="B20" s="1" t="s">
        <v>265</v>
      </c>
      <c r="C20" s="292">
        <f>'ROI Number insert ARV'!E30</f>
        <v>0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>
        <f>C19-SUM(C20:C21)</f>
        <v>37534.510750588233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/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36" t="s">
        <v>1</v>
      </c>
      <c r="C2" s="937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710">
        <v>45000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>
        <f>C37</f>
        <v>1490.6741041176472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711">
        <v>5</v>
      </c>
      <c r="D11" s="4"/>
      <c r="H11" s="4"/>
    </row>
    <row r="12" spans="1:8" ht="16.2" thickTop="1" x14ac:dyDescent="0.3">
      <c r="B12" s="316" t="s">
        <v>19</v>
      </c>
      <c r="C12" s="9">
        <f>C10*C11</f>
        <v>7453.3705205882361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>
        <f>C7-C9-C12-C8</f>
        <v>329996.0412441176</v>
      </c>
      <c r="D14" s="4"/>
      <c r="H14" s="4"/>
    </row>
    <row r="15" spans="1:8" ht="16.2" thickBot="1" x14ac:dyDescent="0.35">
      <c r="B15" s="938" t="s">
        <v>21</v>
      </c>
      <c r="C15" s="939"/>
      <c r="D15" s="4"/>
      <c r="H15" s="4"/>
    </row>
    <row r="16" spans="1:8" ht="15.6" x14ac:dyDescent="0.3">
      <c r="B16" s="319" t="s">
        <v>22</v>
      </c>
      <c r="C16" s="239">
        <f>C14*C13</f>
        <v>65999.208248823517</v>
      </c>
      <c r="D16" s="4"/>
      <c r="H16" s="4"/>
    </row>
    <row r="17" spans="2:9" ht="15.6" x14ac:dyDescent="0.3">
      <c r="B17" s="320" t="s">
        <v>234</v>
      </c>
      <c r="C17" s="240">
        <f>C14*4.5%</f>
        <v>14849.821855985292</v>
      </c>
      <c r="D17" s="8" t="s">
        <v>23</v>
      </c>
      <c r="H17" s="4"/>
    </row>
    <row r="18" spans="2:9" ht="15.6" x14ac:dyDescent="0.3">
      <c r="B18" s="320" t="s">
        <v>24</v>
      </c>
      <c r="C18" s="240">
        <f>C9+C16+C17</f>
        <v>125849.03010480881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13" t="s">
        <v>235</v>
      </c>
      <c r="E19" s="914"/>
      <c r="F19" s="914"/>
      <c r="G19" s="914"/>
      <c r="H19" s="914"/>
    </row>
    <row r="20" spans="2:9" ht="21.75" customHeight="1" thickBot="1" x14ac:dyDescent="0.35">
      <c r="B20" s="940" t="s">
        <v>7</v>
      </c>
      <c r="C20" s="941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15" t="s">
        <v>25</v>
      </c>
      <c r="E21" s="916"/>
      <c r="F21" s="916"/>
      <c r="G21" s="916"/>
      <c r="H21" s="916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617875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581529.41176470579</v>
      </c>
      <c r="H23" s="4"/>
    </row>
    <row r="24" spans="2:9" ht="16.2" thickBot="1" x14ac:dyDescent="0.35">
      <c r="B24" s="911" t="s">
        <v>26</v>
      </c>
      <c r="C24" s="912"/>
      <c r="H24" s="4"/>
    </row>
    <row r="25" spans="2:9" ht="15.6" x14ac:dyDescent="0.3">
      <c r="B25" s="324" t="s">
        <v>27</v>
      </c>
      <c r="C25" s="243">
        <f>C14*(100%-C13)</f>
        <v>263996.83299529407</v>
      </c>
      <c r="D25" s="8" t="s">
        <v>28</v>
      </c>
      <c r="H25" s="4"/>
    </row>
    <row r="26" spans="2:9" x14ac:dyDescent="0.3">
      <c r="B26" s="325" t="s">
        <v>29</v>
      </c>
      <c r="C26" s="311">
        <f>'Mortgage Caculator'!F11</f>
        <v>0</v>
      </c>
      <c r="D26" s="2" t="s">
        <v>30</v>
      </c>
    </row>
    <row r="27" spans="2:9" ht="15.6" x14ac:dyDescent="0.3">
      <c r="B27" s="326" t="s">
        <v>31</v>
      </c>
      <c r="C27" s="13">
        <f>C26*12</f>
        <v>0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17" t="s">
        <v>35</v>
      </c>
      <c r="E30" s="916"/>
      <c r="F30" s="916"/>
      <c r="G30" s="916"/>
      <c r="H30" s="916"/>
    </row>
    <row r="31" spans="2:9" ht="16.5" customHeight="1" thickTop="1" thickBot="1" x14ac:dyDescent="0.35">
      <c r="B31" s="330" t="s">
        <v>246</v>
      </c>
      <c r="C31" s="710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17888.089249411765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1490.6741041176472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14" t="s">
        <v>212</v>
      </c>
      <c r="H44" s="914"/>
      <c r="I44" s="914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89"/>
      <c r="C48" s="690" t="s">
        <v>56</v>
      </c>
      <c r="D48" s="706" t="s">
        <v>57</v>
      </c>
      <c r="E48" s="707" t="s">
        <v>58</v>
      </c>
      <c r="G48" s="4"/>
      <c r="H48" s="4"/>
    </row>
    <row r="49" spans="2:10" ht="16.8" thickTop="1" thickBot="1" x14ac:dyDescent="0.35">
      <c r="B49" s="691" t="s">
        <v>59</v>
      </c>
      <c r="C49" s="713">
        <v>2850</v>
      </c>
      <c r="D49" s="734">
        <v>2850</v>
      </c>
      <c r="E49" s="734">
        <v>0</v>
      </c>
      <c r="F49" s="8" t="s">
        <v>60</v>
      </c>
      <c r="G49" s="4"/>
      <c r="H49" s="4"/>
    </row>
    <row r="50" spans="2:10" ht="15" customHeight="1" thickTop="1" thickBot="1" x14ac:dyDescent="0.35">
      <c r="B50" s="692" t="s">
        <v>61</v>
      </c>
      <c r="C50" s="714">
        <v>1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92" t="s">
        <v>62</v>
      </c>
      <c r="C51" s="693">
        <f>C49*C50</f>
        <v>2850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92" t="s">
        <v>63</v>
      </c>
      <c r="C52" s="693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92" t="s">
        <v>64</v>
      </c>
      <c r="C53" s="71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92" t="s">
        <v>65</v>
      </c>
      <c r="C54" s="713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92" t="s">
        <v>66</v>
      </c>
      <c r="C55" s="71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92" t="s">
        <v>67</v>
      </c>
      <c r="C56" s="713">
        <v>150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92" t="s">
        <v>68</v>
      </c>
      <c r="C57" s="693">
        <f>SUM(D49,E49,C51,C53:C56)</f>
        <v>5850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94" t="s">
        <v>69</v>
      </c>
      <c r="C58" s="695">
        <f>C57-C52</f>
        <v>4943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96" t="s">
        <v>7</v>
      </c>
      <c r="C59" s="697">
        <f>C58/0.85%</f>
        <v>581529.41176470579</v>
      </c>
      <c r="D59" s="24" t="s">
        <v>502</v>
      </c>
      <c r="E59" s="24"/>
      <c r="F59" s="24"/>
      <c r="G59" s="24"/>
      <c r="H59" s="24"/>
      <c r="I59" s="25"/>
      <c r="J59" s="25"/>
    </row>
    <row r="60" spans="2:10" ht="15.6" x14ac:dyDescent="0.3">
      <c r="B60" s="696" t="s">
        <v>5</v>
      </c>
      <c r="C60" s="697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98" t="s">
        <v>72</v>
      </c>
      <c r="C61" s="699">
        <f>C14*0.6%</f>
        <v>1979.9762474647057</v>
      </c>
      <c r="D61" s="904" t="s">
        <v>213</v>
      </c>
      <c r="E61" s="904"/>
      <c r="F61" s="904"/>
      <c r="G61" s="904"/>
      <c r="H61" s="904"/>
      <c r="I61" s="23"/>
      <c r="J61" s="23"/>
    </row>
    <row r="62" spans="2:10" s="32" customFormat="1" ht="15.6" x14ac:dyDescent="0.3">
      <c r="B62" s="700" t="s">
        <v>74</v>
      </c>
      <c r="C62" s="701">
        <f>(C60-C14)/C60</f>
        <v>0.79219392868758343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702" t="s">
        <v>76</v>
      </c>
      <c r="C63" s="703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704" t="s">
        <v>78</v>
      </c>
      <c r="C64" s="705">
        <f>(C60-C59)/C60</f>
        <v>0.63379759964439186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2850</v>
      </c>
      <c r="D68" s="267">
        <f>D49</f>
        <v>2850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2850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150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5850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4943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617875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2639.9683299529411</v>
      </c>
      <c r="D80" s="918" t="s">
        <v>73</v>
      </c>
      <c r="E80" s="918"/>
      <c r="F80" s="918"/>
      <c r="G80" s="918"/>
      <c r="H80" s="918"/>
      <c r="I80" s="918"/>
    </row>
    <row r="81" spans="2:9" ht="15.6" x14ac:dyDescent="0.3">
      <c r="B81" s="351" t="s">
        <v>74</v>
      </c>
      <c r="C81" s="260">
        <f>(C79-C14)/C79</f>
        <v>0.79219392868758343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0.61090994962216627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19" t="s">
        <v>81</v>
      </c>
      <c r="C86" s="920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44973</v>
      </c>
      <c r="D89" s="2"/>
    </row>
    <row r="90" spans="2:9" ht="15.6" x14ac:dyDescent="0.3">
      <c r="B90" s="356" t="s">
        <v>251</v>
      </c>
      <c r="C90" s="287">
        <f ca="1">C89+C88*366</f>
        <v>46803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FV(C87,C88,,-C94)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" x14ac:dyDescent="0.35">
      <c r="B98" s="921" t="s">
        <v>219</v>
      </c>
      <c r="C98" s="922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48633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1550000</v>
      </c>
    </row>
    <row r="106" spans="2:4" ht="15.6" x14ac:dyDescent="0.3">
      <c r="B106" s="363" t="s">
        <v>89</v>
      </c>
      <c r="C106" s="47">
        <f>FV(C99,C100,,-C105)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" x14ac:dyDescent="0.35">
      <c r="B109" s="902" t="s">
        <v>220</v>
      </c>
      <c r="C109" s="903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50463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109:C109"/>
    <mergeCell ref="D30:H30"/>
    <mergeCell ref="G44:I44"/>
    <mergeCell ref="D61:H61"/>
    <mergeCell ref="D80:I80"/>
    <mergeCell ref="B86:C86"/>
    <mergeCell ref="B98:C98"/>
    <mergeCell ref="B24:C24"/>
    <mergeCell ref="B2:C2"/>
    <mergeCell ref="B15:C15"/>
    <mergeCell ref="D19:H19"/>
    <mergeCell ref="B20:C20"/>
    <mergeCell ref="D21:H21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>
      <selection activeCell="D17" sqref="D17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88" t="s">
        <v>454</v>
      </c>
    </row>
    <row r="2" spans="1:11" ht="21.6" thickBot="1" x14ac:dyDescent="0.45">
      <c r="B2" s="429" t="s">
        <v>141</v>
      </c>
      <c r="G2" s="428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1601400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SUM('Principle Recapture ARV'!E9:E69)</f>
        <v>0</v>
      </c>
    </row>
    <row r="5" spans="1:11" ht="15.6" x14ac:dyDescent="0.3">
      <c r="B5" s="169">
        <v>1</v>
      </c>
      <c r="C5" s="170">
        <f>'ROI Number insert ARV'!E47</f>
        <v>39184.510750588233</v>
      </c>
      <c r="D5" s="171">
        <f>C5/$C$11</f>
        <v>2.4468908923809311E-2</v>
      </c>
      <c r="E5" s="172">
        <f>C5/12</f>
        <v>3265.3758958823528</v>
      </c>
      <c r="G5" s="163"/>
      <c r="H5" s="181" t="s">
        <v>146</v>
      </c>
      <c r="I5" s="183">
        <f>I4/I3</f>
        <v>0</v>
      </c>
    </row>
    <row r="6" spans="1:11" ht="16.2" thickBot="1" x14ac:dyDescent="0.35">
      <c r="B6" s="169">
        <v>2</v>
      </c>
      <c r="C6" s="170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6" s="171">
        <f t="shared" ref="D6:D9" si="0">C6/$C$11</f>
        <v>2.4333614940427122E-2</v>
      </c>
      <c r="E6" s="172">
        <f>C6/12</f>
        <v>3247.3209137999997</v>
      </c>
      <c r="G6" s="163"/>
      <c r="H6" s="181" t="s">
        <v>147</v>
      </c>
      <c r="I6" s="183">
        <f>I5/10</f>
        <v>0</v>
      </c>
    </row>
    <row r="7" spans="1:11" s="76" customFormat="1" ht="15.6" x14ac:dyDescent="0.3">
      <c r="B7" s="174">
        <v>3</v>
      </c>
      <c r="C7" s="170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7" s="171">
        <f t="shared" si="0"/>
        <v>2.4192491716567985E-2</v>
      </c>
      <c r="E7" s="175">
        <f>C7/12</f>
        <v>3228.4880195759979</v>
      </c>
      <c r="G7" s="121" t="s">
        <v>144</v>
      </c>
      <c r="H7" s="122" t="s">
        <v>21</v>
      </c>
      <c r="I7" s="395">
        <f>C11</f>
        <v>1601400</v>
      </c>
      <c r="K7" s="1"/>
    </row>
    <row r="8" spans="1:11" ht="15.6" x14ac:dyDescent="0.3">
      <c r="B8" s="169">
        <v>4</v>
      </c>
      <c r="C8" s="170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8" s="171">
        <f t="shared" si="0"/>
        <v>2.4045407050618344E-2</v>
      </c>
      <c r="E8" s="172">
        <f>C8/12</f>
        <v>3208.8595709050182</v>
      </c>
      <c r="G8" s="124"/>
      <c r="H8" s="125" t="s">
        <v>145</v>
      </c>
      <c r="I8" s="126">
        <f>SUM('Principle Recapture ARV'!E9:E129)</f>
        <v>0</v>
      </c>
    </row>
    <row r="9" spans="1:11" ht="15.6" x14ac:dyDescent="0.3">
      <c r="B9" s="169">
        <v>5</v>
      </c>
      <c r="C9" s="170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9" s="171">
        <f t="shared" si="0"/>
        <v>2.3892226018848287E-2</v>
      </c>
      <c r="E9" s="172">
        <f>C9/12</f>
        <v>3188.4175622153039</v>
      </c>
      <c r="G9" s="124"/>
      <c r="H9" s="125" t="s">
        <v>146</v>
      </c>
      <c r="I9" s="129">
        <f>I8/I7</f>
        <v>0</v>
      </c>
    </row>
    <row r="10" spans="1:11" ht="16.2" thickBot="1" x14ac:dyDescent="0.35">
      <c r="B10" s="169" t="s">
        <v>152</v>
      </c>
      <c r="C10" s="170">
        <f>SUM(C5:C9)</f>
        <v>193661.54354854405</v>
      </c>
      <c r="G10" s="224"/>
      <c r="H10" s="130" t="s">
        <v>147</v>
      </c>
      <c r="I10" s="225">
        <f>I9/10</f>
        <v>0</v>
      </c>
    </row>
    <row r="11" spans="1:11" ht="15.6" x14ac:dyDescent="0.3">
      <c r="B11" s="169" t="s">
        <v>21</v>
      </c>
      <c r="C11" s="170">
        <f>'Total Result'!D6</f>
        <v>1601400</v>
      </c>
      <c r="G11" s="226" t="s">
        <v>148</v>
      </c>
      <c r="H11" s="227" t="s">
        <v>21</v>
      </c>
      <c r="I11" s="394">
        <f>C11</f>
        <v>1601400</v>
      </c>
    </row>
    <row r="12" spans="1:11" s="76" customFormat="1" ht="15.6" x14ac:dyDescent="0.3">
      <c r="B12" s="174" t="s">
        <v>153</v>
      </c>
      <c r="C12" s="176">
        <f>C10/C11/5</f>
        <v>2.418652973005421E-2</v>
      </c>
      <c r="G12" s="131"/>
      <c r="H12" s="132" t="s">
        <v>145</v>
      </c>
      <c r="I12" s="133">
        <f>SUM('Principle Recapture ARV'!E9:E189)</f>
        <v>0</v>
      </c>
      <c r="K12" s="1"/>
    </row>
    <row r="13" spans="1:11" ht="31.2" x14ac:dyDescent="0.3">
      <c r="B13" s="173" t="s">
        <v>154</v>
      </c>
      <c r="C13" s="234">
        <f>_xlfn.RRI(10,D5,D9)</f>
        <v>-2.3821734400104599E-3</v>
      </c>
      <c r="G13" s="131"/>
      <c r="H13" s="132" t="s">
        <v>146</v>
      </c>
      <c r="I13" s="134">
        <f>I12/I11</f>
        <v>0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0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8" t="s">
        <v>143</v>
      </c>
    </row>
    <row r="16" spans="1:11" ht="15.6" x14ac:dyDescent="0.3">
      <c r="B16" s="139">
        <v>1</v>
      </c>
      <c r="C16" s="140">
        <f>C5</f>
        <v>39184.510750588233</v>
      </c>
      <c r="D16" s="141">
        <f>C16/$C$27</f>
        <v>2.4468908923809311E-2</v>
      </c>
      <c r="E16" s="142">
        <f>C16/12</f>
        <v>3265.3758958823528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17" s="141">
        <f t="shared" ref="D17:D25" si="1">C17/$C$27</f>
        <v>2.4333614940427122E-2</v>
      </c>
      <c r="E17" s="142">
        <f t="shared" ref="E17:E25" si="2">C17/12</f>
        <v>3247.3209137999997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18" s="141">
        <f t="shared" si="1"/>
        <v>2.4192491716567985E-2</v>
      </c>
      <c r="E18" s="142">
        <f t="shared" si="2"/>
        <v>3228.4880195759979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19" s="141">
        <f t="shared" si="1"/>
        <v>2.4045407050618344E-2</v>
      </c>
      <c r="E19" s="142">
        <f t="shared" si="2"/>
        <v>3208.8595709050182</v>
      </c>
      <c r="G19" s="186" t="s">
        <v>201</v>
      </c>
      <c r="H19" s="217">
        <f>'Calculating offering price ARV'!C95</f>
        <v>1711325.24496</v>
      </c>
      <c r="I19" s="218">
        <f>H19-H16</f>
        <v>161325.24496000004</v>
      </c>
      <c r="J19" s="221">
        <f>I19/C11</f>
        <v>0.10074013048582493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20" s="141">
        <f t="shared" si="1"/>
        <v>2.3892226018848287E-2</v>
      </c>
      <c r="E20" s="142">
        <f t="shared" si="2"/>
        <v>3188.4175622153039</v>
      </c>
      <c r="G20" s="186" t="s">
        <v>202</v>
      </c>
      <c r="H20" s="392">
        <f>'Calculating offering price ARV'!C106</f>
        <v>1798838.2787889803</v>
      </c>
      <c r="I20" s="218">
        <f>H20-H16</f>
        <v>248838.27878898033</v>
      </c>
      <c r="J20" s="221">
        <f>I20/C11</f>
        <v>0.15538795977830669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D21" s="141">
        <f t="shared" si="1"/>
        <v>2.3732810920578919E-2</v>
      </c>
      <c r="E21" s="142">
        <f t="shared" si="2"/>
        <v>3167.143617351257</v>
      </c>
      <c r="G21" s="188" t="s">
        <v>203</v>
      </c>
      <c r="H21" s="393">
        <f>'Calculating offering price ARV'!C117</f>
        <v>2086095.9244024004</v>
      </c>
      <c r="I21" s="220">
        <f>H21-H16</f>
        <v>536095.92440240039</v>
      </c>
      <c r="J21" s="221">
        <f>I21/C11</f>
        <v>0.33476703159885124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D22" s="141">
        <f t="shared" si="1"/>
        <v>2.356702122225094E-2</v>
      </c>
      <c r="E22" s="142">
        <f t="shared" si="2"/>
        <v>3145.0189821093882</v>
      </c>
    </row>
    <row r="23" spans="2:11" ht="21.6" thickBot="1" x14ac:dyDescent="0.45">
      <c r="B23" s="139">
        <v>8</v>
      </c>
      <c r="C23" s="140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D23" s="141">
        <f t="shared" si="1"/>
        <v>2.3394713500372713E-2</v>
      </c>
      <c r="E23" s="142">
        <f t="shared" si="2"/>
        <v>3122.0245166247387</v>
      </c>
      <c r="G23" s="192" t="s">
        <v>206</v>
      </c>
    </row>
    <row r="24" spans="2:11" ht="15.6" x14ac:dyDescent="0.3">
      <c r="B24" s="139">
        <v>9</v>
      </c>
      <c r="C24" s="140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D24" s="141">
        <f t="shared" si="1"/>
        <v>2.321574138332529E-2</v>
      </c>
      <c r="E24" s="142">
        <f t="shared" si="2"/>
        <v>3098.1406876047599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D25" s="141">
        <f t="shared" si="1"/>
        <v>2.3029955492001663E-2</v>
      </c>
      <c r="E25" s="142">
        <f t="shared" si="2"/>
        <v>3073.3475604076216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380929.64791771729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1601400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2.3787289116880061E-2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-6.0424213909265889E-3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39184.510750588233</v>
      </c>
      <c r="D32" s="148">
        <f>C32/$C$48</f>
        <v>2.4468908923809311E-2</v>
      </c>
      <c r="E32" s="147">
        <f>C32/12</f>
        <v>3265.3758958823528</v>
      </c>
      <c r="G32" s="213" t="s">
        <v>146</v>
      </c>
      <c r="H32" s="214">
        <f>H30/H31</f>
        <v>0.72661870503597126</v>
      </c>
    </row>
    <row r="33" spans="2:11" ht="21.6" thickBot="1" x14ac:dyDescent="0.45">
      <c r="B33" s="146">
        <v>2</v>
      </c>
      <c r="C33" s="14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33" s="148">
        <f t="shared" ref="D33:D46" si="3">C33/$C$48</f>
        <v>2.4333614940427122E-2</v>
      </c>
      <c r="E33" s="147">
        <f t="shared" ref="E33:E46" si="4">C33/12</f>
        <v>3247.3209137999997</v>
      </c>
      <c r="G33" s="192" t="s">
        <v>217</v>
      </c>
    </row>
    <row r="34" spans="2:11" s="76" customFormat="1" ht="31.8" thickBot="1" x14ac:dyDescent="0.35">
      <c r="B34" s="199">
        <v>3</v>
      </c>
      <c r="C34" s="14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34" s="201">
        <f t="shared" si="3"/>
        <v>2.4192491716567985E-2</v>
      </c>
      <c r="E34" s="202">
        <f t="shared" si="4"/>
        <v>3228.4880195759979</v>
      </c>
      <c r="G34" s="204" t="s">
        <v>218</v>
      </c>
      <c r="H34" s="206">
        <f>'ROI Number insert ARV'!E45</f>
        <v>39184.510750588233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35" s="148">
        <f t="shared" si="3"/>
        <v>2.4045407050618344E-2</v>
      </c>
      <c r="E35" s="147">
        <f t="shared" si="4"/>
        <v>3208.8595709050182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36" s="148">
        <f t="shared" si="3"/>
        <v>2.3892226018848287E-2</v>
      </c>
      <c r="E36" s="147">
        <f t="shared" si="4"/>
        <v>3188.4175622153039</v>
      </c>
    </row>
    <row r="37" spans="2:11" ht="15.6" x14ac:dyDescent="0.3">
      <c r="B37" s="146">
        <v>6</v>
      </c>
      <c r="C37" s="149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D37" s="148">
        <f t="shared" si="3"/>
        <v>2.3732810920578919E-2</v>
      </c>
      <c r="E37" s="147">
        <f t="shared" si="4"/>
        <v>3167.143617351257</v>
      </c>
      <c r="G37" s="177"/>
    </row>
    <row r="38" spans="2:11" ht="15.6" x14ac:dyDescent="0.3">
      <c r="B38" s="146">
        <v>7</v>
      </c>
      <c r="C38" s="149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D38" s="148">
        <f t="shared" si="3"/>
        <v>2.356702122225094E-2</v>
      </c>
      <c r="E38" s="147">
        <f t="shared" si="4"/>
        <v>3145.0189821093882</v>
      </c>
    </row>
    <row r="39" spans="2:11" s="203" customFormat="1" ht="15.6" x14ac:dyDescent="0.3">
      <c r="B39" s="199">
        <v>8</v>
      </c>
      <c r="C39" s="149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D39" s="148">
        <f t="shared" si="3"/>
        <v>2.3394713500372713E-2</v>
      </c>
      <c r="E39" s="202">
        <f t="shared" si="4"/>
        <v>3122.0245166247387</v>
      </c>
    </row>
    <row r="40" spans="2:11" ht="15.6" x14ac:dyDescent="0.3">
      <c r="B40" s="146">
        <v>9</v>
      </c>
      <c r="C40" s="149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D40" s="148">
        <f t="shared" si="3"/>
        <v>2.321574138332529E-2</v>
      </c>
      <c r="E40" s="147">
        <f t="shared" si="4"/>
        <v>3098.1406876047599</v>
      </c>
    </row>
    <row r="41" spans="2:11" ht="15.6" x14ac:dyDescent="0.3">
      <c r="B41" s="146">
        <v>10</v>
      </c>
      <c r="C41" s="149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D41" s="148">
        <f t="shared" si="3"/>
        <v>2.3029955492001663E-2</v>
      </c>
      <c r="E41" s="147">
        <f t="shared" si="4"/>
        <v>3073.3475604076216</v>
      </c>
    </row>
    <row r="42" spans="2:11" ht="15.6" x14ac:dyDescent="0.3">
      <c r="B42" s="146">
        <v>11</v>
      </c>
      <c r="C42" s="149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36571.4974915415</v>
      </c>
      <c r="D42" s="148">
        <f t="shared" si="3"/>
        <v>2.2837203379256588E-2</v>
      </c>
      <c r="E42" s="147">
        <f t="shared" si="4"/>
        <v>3047.6247909617919</v>
      </c>
    </row>
    <row r="43" spans="2:11" ht="15.6" x14ac:dyDescent="0.3">
      <c r="B43" s="146">
        <v>12</v>
      </c>
      <c r="C43" s="149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36251.419410285336</v>
      </c>
      <c r="D43" s="148">
        <f t="shared" si="3"/>
        <v>2.2637329468143709E-2</v>
      </c>
      <c r="E43" s="147">
        <f t="shared" si="4"/>
        <v>3020.9516175237782</v>
      </c>
    </row>
    <row r="44" spans="2:11" ht="15.6" x14ac:dyDescent="0.3">
      <c r="B44" s="146">
        <v>13</v>
      </c>
      <c r="C44" s="149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35919.682227248566</v>
      </c>
      <c r="D44" s="148">
        <f t="shared" si="3"/>
        <v>2.2430174988915055E-2</v>
      </c>
      <c r="E44" s="147">
        <f t="shared" si="4"/>
        <v>2993.306852270714</v>
      </c>
    </row>
    <row r="45" spans="2:11" ht="15.6" x14ac:dyDescent="0.3">
      <c r="B45" s="146">
        <v>14</v>
      </c>
      <c r="C45" s="149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35576.026472694888</v>
      </c>
      <c r="D45" s="148">
        <f t="shared" si="3"/>
        <v>2.221557791475889E-2</v>
      </c>
      <c r="E45" s="147">
        <f t="shared" si="4"/>
        <v>2964.6688727245742</v>
      </c>
    </row>
    <row r="46" spans="2:11" ht="15.6" x14ac:dyDescent="0.3">
      <c r="B46" s="146">
        <v>15</v>
      </c>
      <c r="C46" s="149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35220.187356054616</v>
      </c>
      <c r="D46" s="148">
        <f t="shared" si="3"/>
        <v>2.1993372896249915E-2</v>
      </c>
      <c r="E46" s="147">
        <f t="shared" si="4"/>
        <v>2935.0156130045511</v>
      </c>
    </row>
    <row r="47" spans="2:11" ht="15.6" x14ac:dyDescent="0.3">
      <c r="B47" s="150" t="s">
        <v>152</v>
      </c>
      <c r="C47" s="151">
        <f>SUM(C32:C46)</f>
        <v>560468.46087554225</v>
      </c>
      <c r="D47" s="152"/>
      <c r="E47" s="153"/>
    </row>
    <row r="48" spans="2:11" ht="15.6" x14ac:dyDescent="0.3">
      <c r="B48" s="154" t="s">
        <v>21</v>
      </c>
      <c r="C48" s="155">
        <f>C11</f>
        <v>1601400</v>
      </c>
      <c r="D48" s="152"/>
      <c r="E48" s="153"/>
    </row>
    <row r="49" spans="2:5" ht="15.6" x14ac:dyDescent="0.3">
      <c r="B49" s="154" t="s">
        <v>153</v>
      </c>
      <c r="C49" s="156">
        <f>C47/C48/15</f>
        <v>2.3332436654408321E-2</v>
      </c>
      <c r="D49" s="152"/>
      <c r="E49" s="153"/>
    </row>
    <row r="50" spans="2:5" ht="31.2" x14ac:dyDescent="0.3">
      <c r="B50" s="157" t="s">
        <v>154</v>
      </c>
      <c r="C50" s="236">
        <f>_xlfn.RRI(15,D33,D46)</f>
        <v>-6.7184992393000131E-3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B1" sqref="B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708" t="s">
        <v>454</v>
      </c>
      <c r="D1" s="925" t="s">
        <v>93</v>
      </c>
      <c r="E1" s="925"/>
      <c r="F1" s="925"/>
      <c r="G1" s="925"/>
      <c r="H1" s="925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942" t="s">
        <v>94</v>
      </c>
      <c r="H2" s="943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711">
        <v>30</v>
      </c>
      <c r="F4" s="285" t="s">
        <v>249</v>
      </c>
      <c r="G4" s="53" t="s">
        <v>98</v>
      </c>
      <c r="H4" s="54">
        <f>'ROI Number insert'!I4</f>
        <v>31000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758">
        <v>2.8899999999999999E-2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758">
        <v>0.02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758">
        <v>5.0000000000000001E-3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15500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28" t="s">
        <v>26</v>
      </c>
      <c r="H10" s="929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>
        <f>'Calculating offering price ARV'!C26</f>
        <v>0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45000</v>
      </c>
      <c r="F13" s="1"/>
      <c r="G13" s="67" t="s">
        <v>31</v>
      </c>
      <c r="H13" s="68">
        <f>H12*12</f>
        <v>0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>
        <f>E16*E14</f>
        <v>7453.3705205882361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>
        <f>H23</f>
        <v>1490.6741041176472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71" t="s">
        <v>209</v>
      </c>
      <c r="E17" s="772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73" t="s">
        <v>313</v>
      </c>
      <c r="E18" s="774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>
        <f>E11+E13+E15+E10</f>
        <v>52953.370520588236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32" t="s">
        <v>117</v>
      </c>
      <c r="E22" s="933"/>
      <c r="F22" s="76"/>
      <c r="G22" s="84" t="s">
        <v>41</v>
      </c>
      <c r="H22" s="85">
        <f>H13+H14+H16+H18+H19+H21+H17</f>
        <v>17888.089249411765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5850</v>
      </c>
      <c r="F23" s="1"/>
      <c r="G23" s="87" t="s">
        <v>42</v>
      </c>
      <c r="H23" s="88">
        <f>H22/12</f>
        <v>1490.6741041176472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70200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759">
        <v>0.05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3510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66690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30" t="s">
        <v>187</v>
      </c>
      <c r="E28" s="931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>
        <f>H12</f>
        <v>0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>
        <f>E29*12</f>
        <v>0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23" t="s">
        <v>239</v>
      </c>
      <c r="E31" s="924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468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5616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3334.5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666.9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27505.489249411767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39184.510750588233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>
        <f>E30</f>
        <v>0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>
        <f>E45-E46</f>
        <v>39184.510750588233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>
        <f>E47/12</f>
        <v>3265.3758958823528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61" customWidth="1"/>
    <col min="2" max="2" width="10.6640625" style="561" customWidth="1"/>
    <col min="3" max="3" width="12.21875" style="561" customWidth="1"/>
    <col min="4" max="4" width="16.21875" style="559" customWidth="1"/>
    <col min="5" max="5" width="16.6640625" style="559" customWidth="1"/>
    <col min="6" max="6" width="12.77734375" style="559" customWidth="1"/>
    <col min="7" max="7" width="16.109375" style="561" customWidth="1"/>
    <col min="8" max="8" width="8.77734375" style="561"/>
    <col min="9" max="9" width="28.109375" style="561" customWidth="1"/>
    <col min="10" max="16384" width="8.77734375" style="561"/>
  </cols>
  <sheetData>
    <row r="1" spans="1:9" x14ac:dyDescent="0.3">
      <c r="A1" s="688" t="s">
        <v>454</v>
      </c>
    </row>
    <row r="2" spans="1:9" ht="15.6" x14ac:dyDescent="0.3">
      <c r="A2" s="935" t="s">
        <v>109</v>
      </c>
      <c r="B2" s="935"/>
      <c r="C2" s="559">
        <f>'ROI Number insert ARV'!H11</f>
        <v>0</v>
      </c>
    </row>
    <row r="3" spans="1:9" ht="15.6" x14ac:dyDescent="0.3">
      <c r="A3" s="935" t="s">
        <v>161</v>
      </c>
      <c r="B3" s="935"/>
      <c r="C3" s="559">
        <f>'Mortgage Caculator'!F11</f>
        <v>0</v>
      </c>
      <c r="I3"/>
    </row>
    <row r="4" spans="1:9" ht="15.6" x14ac:dyDescent="0.3">
      <c r="A4" s="935" t="s">
        <v>167</v>
      </c>
      <c r="B4" s="935"/>
      <c r="C4" s="560">
        <f>'ROI Number insert ARV'!E5</f>
        <v>2.8899999999999999E-2</v>
      </c>
      <c r="I4"/>
    </row>
    <row r="5" spans="1:9" ht="15.6" x14ac:dyDescent="0.3">
      <c r="A5" s="935" t="s">
        <v>168</v>
      </c>
      <c r="B5" s="935"/>
      <c r="C5" s="561">
        <f>'ROI Number insert ARV'!E4</f>
        <v>30</v>
      </c>
      <c r="I5"/>
    </row>
    <row r="6" spans="1:9" ht="15.6" x14ac:dyDescent="0.3">
      <c r="A6" s="935" t="s">
        <v>169</v>
      </c>
      <c r="B6" s="935"/>
      <c r="C6" s="561">
        <f>'Mortgage Caculator'!F6</f>
        <v>12</v>
      </c>
      <c r="I6"/>
    </row>
    <row r="7" spans="1:9" ht="18" x14ac:dyDescent="0.35">
      <c r="A7" s="934" t="s">
        <v>170</v>
      </c>
      <c r="B7" s="934"/>
      <c r="C7" s="934"/>
      <c r="D7" s="934"/>
      <c r="E7" s="934"/>
      <c r="F7" s="934"/>
      <c r="G7" s="934"/>
      <c r="I7"/>
    </row>
    <row r="8" spans="1:9" s="586" customFormat="1" ht="31.2" x14ac:dyDescent="0.3">
      <c r="A8" s="584" t="s">
        <v>171</v>
      </c>
      <c r="B8" s="584" t="s">
        <v>172</v>
      </c>
      <c r="C8" s="584" t="s">
        <v>173</v>
      </c>
      <c r="D8" s="585" t="s">
        <v>174</v>
      </c>
      <c r="E8" s="585" t="s">
        <v>175</v>
      </c>
      <c r="F8" s="585" t="s">
        <v>176</v>
      </c>
      <c r="G8" s="584" t="s">
        <v>177</v>
      </c>
      <c r="I8"/>
    </row>
    <row r="9" spans="1:9" x14ac:dyDescent="0.3">
      <c r="B9" s="561">
        <v>0</v>
      </c>
      <c r="C9" s="559">
        <f>IF($C$3&lt;G9+(G9*($C$4/$C$6)),$C$3,G9+(G9*($C$4/$C$6)))</f>
        <v>0</v>
      </c>
      <c r="D9" s="559">
        <f>G9*$C$4/$C$6</f>
        <v>0</v>
      </c>
      <c r="E9" s="559">
        <f>C9-D9</f>
        <v>0</v>
      </c>
      <c r="G9" s="559">
        <f>C2</f>
        <v>0</v>
      </c>
      <c r="I9"/>
    </row>
    <row r="10" spans="1:9" x14ac:dyDescent="0.3">
      <c r="B10" s="561">
        <v>1</v>
      </c>
      <c r="C10" s="559">
        <f t="shared" ref="C10:C73" si="0">IF($C$3&lt;G10+(G10*($C$4/$C$6)),$C$3,G10+(G10*($C$4/$C$6)))</f>
        <v>0</v>
      </c>
      <c r="D10" s="559">
        <f t="shared" ref="D10:D73" si="1">G10*$C$4/$C$6</f>
        <v>0</v>
      </c>
      <c r="E10" s="559">
        <f t="shared" ref="E10:E73" si="2">C10-D10</f>
        <v>0</v>
      </c>
      <c r="G10" s="559">
        <f>G9-E9-F9</f>
        <v>0</v>
      </c>
      <c r="I10"/>
    </row>
    <row r="11" spans="1:9" x14ac:dyDescent="0.3">
      <c r="B11" s="561">
        <v>2</v>
      </c>
      <c r="C11" s="559">
        <f t="shared" si="0"/>
        <v>0</v>
      </c>
      <c r="D11" s="559">
        <f t="shared" si="1"/>
        <v>0</v>
      </c>
      <c r="E11" s="559">
        <f t="shared" si="2"/>
        <v>0</v>
      </c>
      <c r="G11" s="559">
        <f t="shared" ref="G11:G74" si="3">G10-E10-F10</f>
        <v>0</v>
      </c>
      <c r="I11"/>
    </row>
    <row r="12" spans="1:9" x14ac:dyDescent="0.3">
      <c r="B12" s="561">
        <v>3</v>
      </c>
      <c r="C12" s="559">
        <f t="shared" si="0"/>
        <v>0</v>
      </c>
      <c r="D12" s="559">
        <f t="shared" si="1"/>
        <v>0</v>
      </c>
      <c r="E12" s="559">
        <f t="shared" si="2"/>
        <v>0</v>
      </c>
      <c r="G12" s="559">
        <f t="shared" si="3"/>
        <v>0</v>
      </c>
      <c r="I12"/>
    </row>
    <row r="13" spans="1:9" x14ac:dyDescent="0.3">
      <c r="B13" s="561">
        <v>4</v>
      </c>
      <c r="C13" s="559">
        <f t="shared" si="0"/>
        <v>0</v>
      </c>
      <c r="D13" s="559">
        <f t="shared" si="1"/>
        <v>0</v>
      </c>
      <c r="E13" s="559">
        <f t="shared" si="2"/>
        <v>0</v>
      </c>
      <c r="G13" s="559">
        <f t="shared" si="3"/>
        <v>0</v>
      </c>
      <c r="I13"/>
    </row>
    <row r="14" spans="1:9" x14ac:dyDescent="0.3">
      <c r="B14" s="561">
        <v>5</v>
      </c>
      <c r="C14" s="559">
        <f t="shared" si="0"/>
        <v>0</v>
      </c>
      <c r="D14" s="559">
        <f t="shared" si="1"/>
        <v>0</v>
      </c>
      <c r="E14" s="559">
        <f t="shared" si="2"/>
        <v>0</v>
      </c>
      <c r="G14" s="559">
        <f t="shared" si="3"/>
        <v>0</v>
      </c>
      <c r="I14"/>
    </row>
    <row r="15" spans="1:9" x14ac:dyDescent="0.3">
      <c r="B15" s="561">
        <v>6</v>
      </c>
      <c r="C15" s="559">
        <f t="shared" si="0"/>
        <v>0</v>
      </c>
      <c r="D15" s="559">
        <f t="shared" si="1"/>
        <v>0</v>
      </c>
      <c r="E15" s="559">
        <f t="shared" si="2"/>
        <v>0</v>
      </c>
      <c r="G15" s="559">
        <f t="shared" si="3"/>
        <v>0</v>
      </c>
      <c r="I15"/>
    </row>
    <row r="16" spans="1:9" x14ac:dyDescent="0.3">
      <c r="B16" s="561">
        <v>7</v>
      </c>
      <c r="C16" s="559">
        <f t="shared" si="0"/>
        <v>0</v>
      </c>
      <c r="D16" s="559">
        <f t="shared" si="1"/>
        <v>0</v>
      </c>
      <c r="E16" s="559">
        <f t="shared" si="2"/>
        <v>0</v>
      </c>
      <c r="G16" s="559">
        <f t="shared" si="3"/>
        <v>0</v>
      </c>
      <c r="I16"/>
    </row>
    <row r="17" spans="2:9" x14ac:dyDescent="0.3">
      <c r="B17" s="561">
        <v>8</v>
      </c>
      <c r="C17" s="559">
        <f t="shared" si="0"/>
        <v>0</v>
      </c>
      <c r="D17" s="559">
        <f t="shared" si="1"/>
        <v>0</v>
      </c>
      <c r="E17" s="559">
        <f t="shared" si="2"/>
        <v>0</v>
      </c>
      <c r="G17" s="559">
        <f t="shared" si="3"/>
        <v>0</v>
      </c>
      <c r="I17"/>
    </row>
    <row r="18" spans="2:9" x14ac:dyDescent="0.3">
      <c r="B18" s="561">
        <v>9</v>
      </c>
      <c r="C18" s="559">
        <f t="shared" si="0"/>
        <v>0</v>
      </c>
      <c r="D18" s="559">
        <f t="shared" si="1"/>
        <v>0</v>
      </c>
      <c r="E18" s="559">
        <f t="shared" si="2"/>
        <v>0</v>
      </c>
      <c r="G18" s="559">
        <f t="shared" si="3"/>
        <v>0</v>
      </c>
    </row>
    <row r="19" spans="2:9" x14ac:dyDescent="0.3">
      <c r="B19" s="561">
        <v>10</v>
      </c>
      <c r="C19" s="559">
        <f t="shared" si="0"/>
        <v>0</v>
      </c>
      <c r="D19" s="559">
        <f t="shared" si="1"/>
        <v>0</v>
      </c>
      <c r="E19" s="559">
        <f t="shared" si="2"/>
        <v>0</v>
      </c>
      <c r="G19" s="559">
        <f t="shared" si="3"/>
        <v>0</v>
      </c>
    </row>
    <row r="20" spans="2:9" x14ac:dyDescent="0.3">
      <c r="B20" s="561">
        <v>11</v>
      </c>
      <c r="C20" s="559">
        <f t="shared" si="0"/>
        <v>0</v>
      </c>
      <c r="D20" s="559">
        <f t="shared" si="1"/>
        <v>0</v>
      </c>
      <c r="E20" s="559">
        <f t="shared" si="2"/>
        <v>0</v>
      </c>
      <c r="G20" s="559">
        <f t="shared" si="3"/>
        <v>0</v>
      </c>
    </row>
    <row r="21" spans="2:9" x14ac:dyDescent="0.3">
      <c r="B21" s="561">
        <v>12</v>
      </c>
      <c r="C21" s="559">
        <f t="shared" si="0"/>
        <v>0</v>
      </c>
      <c r="D21" s="559">
        <f t="shared" si="1"/>
        <v>0</v>
      </c>
      <c r="E21" s="559">
        <f t="shared" si="2"/>
        <v>0</v>
      </c>
      <c r="G21" s="559">
        <f t="shared" si="3"/>
        <v>0</v>
      </c>
    </row>
    <row r="22" spans="2:9" x14ac:dyDescent="0.3">
      <c r="B22" s="561">
        <v>13</v>
      </c>
      <c r="C22" s="559">
        <f t="shared" si="0"/>
        <v>0</v>
      </c>
      <c r="D22" s="559">
        <f t="shared" si="1"/>
        <v>0</v>
      </c>
      <c r="E22" s="559">
        <f t="shared" si="2"/>
        <v>0</v>
      </c>
      <c r="G22" s="559">
        <f t="shared" si="3"/>
        <v>0</v>
      </c>
    </row>
    <row r="23" spans="2:9" x14ac:dyDescent="0.3">
      <c r="B23" s="561">
        <v>14</v>
      </c>
      <c r="C23" s="559">
        <f t="shared" si="0"/>
        <v>0</v>
      </c>
      <c r="D23" s="559">
        <f t="shared" si="1"/>
        <v>0</v>
      </c>
      <c r="E23" s="559">
        <f t="shared" si="2"/>
        <v>0</v>
      </c>
      <c r="G23" s="559">
        <f t="shared" si="3"/>
        <v>0</v>
      </c>
    </row>
    <row r="24" spans="2:9" x14ac:dyDescent="0.3">
      <c r="B24" s="561">
        <v>15</v>
      </c>
      <c r="C24" s="559">
        <f t="shared" si="0"/>
        <v>0</v>
      </c>
      <c r="D24" s="559">
        <f t="shared" si="1"/>
        <v>0</v>
      </c>
      <c r="E24" s="559">
        <f t="shared" si="2"/>
        <v>0</v>
      </c>
      <c r="G24" s="559">
        <f t="shared" si="3"/>
        <v>0</v>
      </c>
    </row>
    <row r="25" spans="2:9" x14ac:dyDescent="0.3">
      <c r="B25" s="561">
        <v>16</v>
      </c>
      <c r="C25" s="559">
        <f t="shared" si="0"/>
        <v>0</v>
      </c>
      <c r="D25" s="559">
        <f t="shared" si="1"/>
        <v>0</v>
      </c>
      <c r="E25" s="559">
        <f t="shared" si="2"/>
        <v>0</v>
      </c>
      <c r="G25" s="559">
        <f t="shared" si="3"/>
        <v>0</v>
      </c>
    </row>
    <row r="26" spans="2:9" x14ac:dyDescent="0.3">
      <c r="B26" s="561">
        <v>17</v>
      </c>
      <c r="C26" s="559">
        <f t="shared" si="0"/>
        <v>0</v>
      </c>
      <c r="D26" s="559">
        <f t="shared" si="1"/>
        <v>0</v>
      </c>
      <c r="E26" s="559">
        <f t="shared" si="2"/>
        <v>0</v>
      </c>
      <c r="G26" s="559">
        <f t="shared" si="3"/>
        <v>0</v>
      </c>
    </row>
    <row r="27" spans="2:9" x14ac:dyDescent="0.3">
      <c r="B27" s="561">
        <v>18</v>
      </c>
      <c r="C27" s="559">
        <f t="shared" si="0"/>
        <v>0</v>
      </c>
      <c r="D27" s="559">
        <f t="shared" si="1"/>
        <v>0</v>
      </c>
      <c r="E27" s="559">
        <f t="shared" si="2"/>
        <v>0</v>
      </c>
      <c r="G27" s="559">
        <f t="shared" si="3"/>
        <v>0</v>
      </c>
    </row>
    <row r="28" spans="2:9" x14ac:dyDescent="0.3">
      <c r="B28" s="561">
        <v>19</v>
      </c>
      <c r="C28" s="559">
        <f t="shared" si="0"/>
        <v>0</v>
      </c>
      <c r="D28" s="559">
        <f t="shared" si="1"/>
        <v>0</v>
      </c>
      <c r="E28" s="559">
        <f t="shared" si="2"/>
        <v>0</v>
      </c>
      <c r="G28" s="559">
        <f t="shared" si="3"/>
        <v>0</v>
      </c>
    </row>
    <row r="29" spans="2:9" x14ac:dyDescent="0.3">
      <c r="B29" s="561">
        <v>20</v>
      </c>
      <c r="C29" s="559">
        <f t="shared" si="0"/>
        <v>0</v>
      </c>
      <c r="D29" s="559">
        <f t="shared" si="1"/>
        <v>0</v>
      </c>
      <c r="E29" s="559">
        <f t="shared" si="2"/>
        <v>0</v>
      </c>
      <c r="G29" s="559">
        <f t="shared" si="3"/>
        <v>0</v>
      </c>
    </row>
    <row r="30" spans="2:9" x14ac:dyDescent="0.3">
      <c r="B30" s="561">
        <v>21</v>
      </c>
      <c r="C30" s="559">
        <f t="shared" si="0"/>
        <v>0</v>
      </c>
      <c r="D30" s="559">
        <f t="shared" si="1"/>
        <v>0</v>
      </c>
      <c r="E30" s="559">
        <f t="shared" si="2"/>
        <v>0</v>
      </c>
      <c r="G30" s="559">
        <f t="shared" si="3"/>
        <v>0</v>
      </c>
    </row>
    <row r="31" spans="2:9" x14ac:dyDescent="0.3">
      <c r="B31" s="561">
        <v>22</v>
      </c>
      <c r="C31" s="559">
        <f t="shared" si="0"/>
        <v>0</v>
      </c>
      <c r="D31" s="559">
        <f t="shared" si="1"/>
        <v>0</v>
      </c>
      <c r="E31" s="559">
        <f t="shared" si="2"/>
        <v>0</v>
      </c>
      <c r="G31" s="559">
        <f t="shared" si="3"/>
        <v>0</v>
      </c>
    </row>
    <row r="32" spans="2:9" x14ac:dyDescent="0.3">
      <c r="B32" s="561">
        <v>23</v>
      </c>
      <c r="C32" s="559">
        <f t="shared" si="0"/>
        <v>0</v>
      </c>
      <c r="D32" s="559">
        <f t="shared" si="1"/>
        <v>0</v>
      </c>
      <c r="E32" s="559">
        <f t="shared" si="2"/>
        <v>0</v>
      </c>
      <c r="G32" s="559">
        <f t="shared" si="3"/>
        <v>0</v>
      </c>
    </row>
    <row r="33" spans="2:7" x14ac:dyDescent="0.3">
      <c r="B33" s="561">
        <v>24</v>
      </c>
      <c r="C33" s="559">
        <f t="shared" si="0"/>
        <v>0</v>
      </c>
      <c r="D33" s="559">
        <f t="shared" si="1"/>
        <v>0</v>
      </c>
      <c r="E33" s="559">
        <f t="shared" si="2"/>
        <v>0</v>
      </c>
      <c r="G33" s="559">
        <f t="shared" si="3"/>
        <v>0</v>
      </c>
    </row>
    <row r="34" spans="2:7" x14ac:dyDescent="0.3">
      <c r="B34" s="561">
        <v>25</v>
      </c>
      <c r="C34" s="559">
        <f t="shared" si="0"/>
        <v>0</v>
      </c>
      <c r="D34" s="559">
        <f t="shared" si="1"/>
        <v>0</v>
      </c>
      <c r="E34" s="559">
        <f t="shared" si="2"/>
        <v>0</v>
      </c>
      <c r="G34" s="559">
        <f t="shared" si="3"/>
        <v>0</v>
      </c>
    </row>
    <row r="35" spans="2:7" x14ac:dyDescent="0.3">
      <c r="B35" s="561">
        <v>26</v>
      </c>
      <c r="C35" s="559">
        <f t="shared" si="0"/>
        <v>0</v>
      </c>
      <c r="D35" s="559">
        <f t="shared" si="1"/>
        <v>0</v>
      </c>
      <c r="E35" s="559">
        <f t="shared" si="2"/>
        <v>0</v>
      </c>
      <c r="G35" s="559">
        <f t="shared" si="3"/>
        <v>0</v>
      </c>
    </row>
    <row r="36" spans="2:7" x14ac:dyDescent="0.3">
      <c r="B36" s="561">
        <v>27</v>
      </c>
      <c r="C36" s="559">
        <f t="shared" si="0"/>
        <v>0</v>
      </c>
      <c r="D36" s="559">
        <f t="shared" si="1"/>
        <v>0</v>
      </c>
      <c r="E36" s="559">
        <f t="shared" si="2"/>
        <v>0</v>
      </c>
      <c r="G36" s="559">
        <f t="shared" si="3"/>
        <v>0</v>
      </c>
    </row>
    <row r="37" spans="2:7" x14ac:dyDescent="0.3">
      <c r="B37" s="561">
        <v>28</v>
      </c>
      <c r="C37" s="559">
        <f t="shared" si="0"/>
        <v>0</v>
      </c>
      <c r="D37" s="559">
        <f t="shared" si="1"/>
        <v>0</v>
      </c>
      <c r="E37" s="559">
        <f t="shared" si="2"/>
        <v>0</v>
      </c>
      <c r="G37" s="559">
        <f t="shared" si="3"/>
        <v>0</v>
      </c>
    </row>
    <row r="38" spans="2:7" x14ac:dyDescent="0.3">
      <c r="B38" s="561">
        <v>29</v>
      </c>
      <c r="C38" s="559">
        <f t="shared" si="0"/>
        <v>0</v>
      </c>
      <c r="D38" s="559">
        <f t="shared" si="1"/>
        <v>0</v>
      </c>
      <c r="E38" s="559">
        <f t="shared" si="2"/>
        <v>0</v>
      </c>
      <c r="G38" s="559">
        <f t="shared" si="3"/>
        <v>0</v>
      </c>
    </row>
    <row r="39" spans="2:7" x14ac:dyDescent="0.3">
      <c r="B39" s="561">
        <v>30</v>
      </c>
      <c r="C39" s="559">
        <f t="shared" si="0"/>
        <v>0</v>
      </c>
      <c r="D39" s="559">
        <f t="shared" si="1"/>
        <v>0</v>
      </c>
      <c r="E39" s="559">
        <f t="shared" si="2"/>
        <v>0</v>
      </c>
      <c r="G39" s="559">
        <f t="shared" si="3"/>
        <v>0</v>
      </c>
    </row>
    <row r="40" spans="2:7" x14ac:dyDescent="0.3">
      <c r="B40" s="561">
        <v>31</v>
      </c>
      <c r="C40" s="559">
        <f t="shared" si="0"/>
        <v>0</v>
      </c>
      <c r="D40" s="559">
        <f t="shared" si="1"/>
        <v>0</v>
      </c>
      <c r="E40" s="559">
        <f t="shared" si="2"/>
        <v>0</v>
      </c>
      <c r="G40" s="559">
        <f t="shared" si="3"/>
        <v>0</v>
      </c>
    </row>
    <row r="41" spans="2:7" x14ac:dyDescent="0.3">
      <c r="B41" s="561">
        <v>32</v>
      </c>
      <c r="C41" s="559">
        <f t="shared" si="0"/>
        <v>0</v>
      </c>
      <c r="D41" s="559">
        <f t="shared" si="1"/>
        <v>0</v>
      </c>
      <c r="E41" s="559">
        <f t="shared" si="2"/>
        <v>0</v>
      </c>
      <c r="G41" s="559">
        <f t="shared" si="3"/>
        <v>0</v>
      </c>
    </row>
    <row r="42" spans="2:7" x14ac:dyDescent="0.3">
      <c r="B42" s="561">
        <v>33</v>
      </c>
      <c r="C42" s="559">
        <f t="shared" si="0"/>
        <v>0</v>
      </c>
      <c r="D42" s="559">
        <f t="shared" si="1"/>
        <v>0</v>
      </c>
      <c r="E42" s="559">
        <f t="shared" si="2"/>
        <v>0</v>
      </c>
      <c r="G42" s="559">
        <f t="shared" si="3"/>
        <v>0</v>
      </c>
    </row>
    <row r="43" spans="2:7" x14ac:dyDescent="0.3">
      <c r="B43" s="561">
        <v>34</v>
      </c>
      <c r="C43" s="559">
        <f t="shared" si="0"/>
        <v>0</v>
      </c>
      <c r="D43" s="559">
        <f t="shared" si="1"/>
        <v>0</v>
      </c>
      <c r="E43" s="559">
        <f t="shared" si="2"/>
        <v>0</v>
      </c>
      <c r="G43" s="559">
        <f t="shared" si="3"/>
        <v>0</v>
      </c>
    </row>
    <row r="44" spans="2:7" x14ac:dyDescent="0.3">
      <c r="B44" s="561">
        <v>35</v>
      </c>
      <c r="C44" s="559">
        <f t="shared" si="0"/>
        <v>0</v>
      </c>
      <c r="D44" s="559">
        <f t="shared" si="1"/>
        <v>0</v>
      </c>
      <c r="E44" s="559">
        <f t="shared" si="2"/>
        <v>0</v>
      </c>
      <c r="G44" s="559">
        <f t="shared" si="3"/>
        <v>0</v>
      </c>
    </row>
    <row r="45" spans="2:7" x14ac:dyDescent="0.3">
      <c r="B45" s="561">
        <v>36</v>
      </c>
      <c r="C45" s="559">
        <f t="shared" si="0"/>
        <v>0</v>
      </c>
      <c r="D45" s="559">
        <f t="shared" si="1"/>
        <v>0</v>
      </c>
      <c r="E45" s="559">
        <f t="shared" si="2"/>
        <v>0</v>
      </c>
      <c r="G45" s="559">
        <f t="shared" si="3"/>
        <v>0</v>
      </c>
    </row>
    <row r="46" spans="2:7" x14ac:dyDescent="0.3">
      <c r="B46" s="561">
        <v>37</v>
      </c>
      <c r="C46" s="559">
        <f t="shared" si="0"/>
        <v>0</v>
      </c>
      <c r="D46" s="559">
        <f t="shared" si="1"/>
        <v>0</v>
      </c>
      <c r="E46" s="559">
        <f t="shared" si="2"/>
        <v>0</v>
      </c>
      <c r="G46" s="559">
        <f t="shared" si="3"/>
        <v>0</v>
      </c>
    </row>
    <row r="47" spans="2:7" x14ac:dyDescent="0.3">
      <c r="B47" s="561">
        <v>38</v>
      </c>
      <c r="C47" s="559">
        <f t="shared" si="0"/>
        <v>0</v>
      </c>
      <c r="D47" s="559">
        <f t="shared" si="1"/>
        <v>0</v>
      </c>
      <c r="E47" s="559">
        <f t="shared" si="2"/>
        <v>0</v>
      </c>
      <c r="G47" s="559">
        <f t="shared" si="3"/>
        <v>0</v>
      </c>
    </row>
    <row r="48" spans="2:7" x14ac:dyDescent="0.3">
      <c r="B48" s="561">
        <v>39</v>
      </c>
      <c r="C48" s="559">
        <f t="shared" si="0"/>
        <v>0</v>
      </c>
      <c r="D48" s="559">
        <f t="shared" si="1"/>
        <v>0</v>
      </c>
      <c r="E48" s="559">
        <f t="shared" si="2"/>
        <v>0</v>
      </c>
      <c r="G48" s="559">
        <f t="shared" si="3"/>
        <v>0</v>
      </c>
    </row>
    <row r="49" spans="2:7" x14ac:dyDescent="0.3">
      <c r="B49" s="561">
        <v>40</v>
      </c>
      <c r="C49" s="559">
        <f t="shared" si="0"/>
        <v>0</v>
      </c>
      <c r="D49" s="559">
        <f t="shared" si="1"/>
        <v>0</v>
      </c>
      <c r="E49" s="559">
        <f t="shared" si="2"/>
        <v>0</v>
      </c>
      <c r="G49" s="559">
        <f t="shared" si="3"/>
        <v>0</v>
      </c>
    </row>
    <row r="50" spans="2:7" x14ac:dyDescent="0.3">
      <c r="B50" s="561">
        <v>41</v>
      </c>
      <c r="C50" s="559">
        <f t="shared" si="0"/>
        <v>0</v>
      </c>
      <c r="D50" s="559">
        <f t="shared" si="1"/>
        <v>0</v>
      </c>
      <c r="E50" s="559">
        <f t="shared" si="2"/>
        <v>0</v>
      </c>
      <c r="G50" s="559">
        <f t="shared" si="3"/>
        <v>0</v>
      </c>
    </row>
    <row r="51" spans="2:7" x14ac:dyDescent="0.3">
      <c r="B51" s="561">
        <v>42</v>
      </c>
      <c r="C51" s="559">
        <f t="shared" si="0"/>
        <v>0</v>
      </c>
      <c r="D51" s="559">
        <f t="shared" si="1"/>
        <v>0</v>
      </c>
      <c r="E51" s="559">
        <f t="shared" si="2"/>
        <v>0</v>
      </c>
      <c r="G51" s="559">
        <f t="shared" si="3"/>
        <v>0</v>
      </c>
    </row>
    <row r="52" spans="2:7" x14ac:dyDescent="0.3">
      <c r="B52" s="561">
        <v>43</v>
      </c>
      <c r="C52" s="559">
        <f t="shared" si="0"/>
        <v>0</v>
      </c>
      <c r="D52" s="559">
        <f t="shared" si="1"/>
        <v>0</v>
      </c>
      <c r="E52" s="559">
        <f t="shared" si="2"/>
        <v>0</v>
      </c>
      <c r="G52" s="559">
        <f t="shared" si="3"/>
        <v>0</v>
      </c>
    </row>
    <row r="53" spans="2:7" x14ac:dyDescent="0.3">
      <c r="B53" s="561">
        <v>44</v>
      </c>
      <c r="C53" s="559">
        <f t="shared" si="0"/>
        <v>0</v>
      </c>
      <c r="D53" s="559">
        <f t="shared" si="1"/>
        <v>0</v>
      </c>
      <c r="E53" s="559">
        <f t="shared" si="2"/>
        <v>0</v>
      </c>
      <c r="G53" s="559">
        <f t="shared" si="3"/>
        <v>0</v>
      </c>
    </row>
    <row r="54" spans="2:7" x14ac:dyDescent="0.3">
      <c r="B54" s="561">
        <v>45</v>
      </c>
      <c r="C54" s="559">
        <f t="shared" si="0"/>
        <v>0</v>
      </c>
      <c r="D54" s="559">
        <f t="shared" si="1"/>
        <v>0</v>
      </c>
      <c r="E54" s="559">
        <f t="shared" si="2"/>
        <v>0</v>
      </c>
      <c r="G54" s="559">
        <f t="shared" si="3"/>
        <v>0</v>
      </c>
    </row>
    <row r="55" spans="2:7" x14ac:dyDescent="0.3">
      <c r="B55" s="561">
        <v>46</v>
      </c>
      <c r="C55" s="559">
        <f t="shared" si="0"/>
        <v>0</v>
      </c>
      <c r="D55" s="559">
        <f t="shared" si="1"/>
        <v>0</v>
      </c>
      <c r="E55" s="559">
        <f t="shared" si="2"/>
        <v>0</v>
      </c>
      <c r="G55" s="559">
        <f t="shared" si="3"/>
        <v>0</v>
      </c>
    </row>
    <row r="56" spans="2:7" x14ac:dyDescent="0.3">
      <c r="B56" s="561">
        <v>47</v>
      </c>
      <c r="C56" s="559">
        <f t="shared" si="0"/>
        <v>0</v>
      </c>
      <c r="D56" s="559">
        <f t="shared" si="1"/>
        <v>0</v>
      </c>
      <c r="E56" s="559">
        <f t="shared" si="2"/>
        <v>0</v>
      </c>
      <c r="G56" s="559">
        <f t="shared" si="3"/>
        <v>0</v>
      </c>
    </row>
    <row r="57" spans="2:7" x14ac:dyDescent="0.3">
      <c r="B57" s="561">
        <v>48</v>
      </c>
      <c r="C57" s="559">
        <f t="shared" si="0"/>
        <v>0</v>
      </c>
      <c r="D57" s="559">
        <f t="shared" si="1"/>
        <v>0</v>
      </c>
      <c r="E57" s="559">
        <f t="shared" si="2"/>
        <v>0</v>
      </c>
      <c r="G57" s="559">
        <f t="shared" si="3"/>
        <v>0</v>
      </c>
    </row>
    <row r="58" spans="2:7" x14ac:dyDescent="0.3">
      <c r="B58" s="561">
        <v>49</v>
      </c>
      <c r="C58" s="559">
        <f t="shared" si="0"/>
        <v>0</v>
      </c>
      <c r="D58" s="559">
        <f t="shared" si="1"/>
        <v>0</v>
      </c>
      <c r="E58" s="559">
        <f t="shared" si="2"/>
        <v>0</v>
      </c>
      <c r="G58" s="559">
        <f t="shared" si="3"/>
        <v>0</v>
      </c>
    </row>
    <row r="59" spans="2:7" x14ac:dyDescent="0.3">
      <c r="B59" s="561">
        <v>50</v>
      </c>
      <c r="C59" s="559">
        <f t="shared" si="0"/>
        <v>0</v>
      </c>
      <c r="D59" s="559">
        <f t="shared" si="1"/>
        <v>0</v>
      </c>
      <c r="E59" s="559">
        <f t="shared" si="2"/>
        <v>0</v>
      </c>
      <c r="G59" s="559">
        <f t="shared" si="3"/>
        <v>0</v>
      </c>
    </row>
    <row r="60" spans="2:7" x14ac:dyDescent="0.3">
      <c r="B60" s="561">
        <v>51</v>
      </c>
      <c r="C60" s="559">
        <f t="shared" si="0"/>
        <v>0</v>
      </c>
      <c r="D60" s="559">
        <f t="shared" si="1"/>
        <v>0</v>
      </c>
      <c r="E60" s="559">
        <f t="shared" si="2"/>
        <v>0</v>
      </c>
      <c r="G60" s="559">
        <f t="shared" si="3"/>
        <v>0</v>
      </c>
    </row>
    <row r="61" spans="2:7" x14ac:dyDescent="0.3">
      <c r="B61" s="561">
        <v>52</v>
      </c>
      <c r="C61" s="559">
        <f t="shared" si="0"/>
        <v>0</v>
      </c>
      <c r="D61" s="559">
        <f t="shared" si="1"/>
        <v>0</v>
      </c>
      <c r="E61" s="559">
        <f t="shared" si="2"/>
        <v>0</v>
      </c>
      <c r="G61" s="559">
        <f t="shared" si="3"/>
        <v>0</v>
      </c>
    </row>
    <row r="62" spans="2:7" x14ac:dyDescent="0.3">
      <c r="B62" s="561">
        <v>53</v>
      </c>
      <c r="C62" s="559">
        <f t="shared" si="0"/>
        <v>0</v>
      </c>
      <c r="D62" s="559">
        <f t="shared" si="1"/>
        <v>0</v>
      </c>
      <c r="E62" s="559">
        <f t="shared" si="2"/>
        <v>0</v>
      </c>
      <c r="G62" s="559">
        <f t="shared" si="3"/>
        <v>0</v>
      </c>
    </row>
    <row r="63" spans="2:7" x14ac:dyDescent="0.3">
      <c r="B63" s="561">
        <v>54</v>
      </c>
      <c r="C63" s="559">
        <f t="shared" si="0"/>
        <v>0</v>
      </c>
      <c r="D63" s="559">
        <f t="shared" si="1"/>
        <v>0</v>
      </c>
      <c r="E63" s="559">
        <f t="shared" si="2"/>
        <v>0</v>
      </c>
      <c r="G63" s="559">
        <f t="shared" si="3"/>
        <v>0</v>
      </c>
    </row>
    <row r="64" spans="2:7" x14ac:dyDescent="0.3">
      <c r="B64" s="561">
        <v>55</v>
      </c>
      <c r="C64" s="559">
        <f t="shared" si="0"/>
        <v>0</v>
      </c>
      <c r="D64" s="559">
        <f t="shared" si="1"/>
        <v>0</v>
      </c>
      <c r="E64" s="559">
        <f t="shared" si="2"/>
        <v>0</v>
      </c>
      <c r="G64" s="559">
        <f t="shared" si="3"/>
        <v>0</v>
      </c>
    </row>
    <row r="65" spans="2:7" x14ac:dyDescent="0.3">
      <c r="B65" s="561">
        <v>56</v>
      </c>
      <c r="C65" s="559">
        <f t="shared" si="0"/>
        <v>0</v>
      </c>
      <c r="D65" s="559">
        <f t="shared" si="1"/>
        <v>0</v>
      </c>
      <c r="E65" s="559">
        <f t="shared" si="2"/>
        <v>0</v>
      </c>
      <c r="G65" s="559">
        <f t="shared" si="3"/>
        <v>0</v>
      </c>
    </row>
    <row r="66" spans="2:7" x14ac:dyDescent="0.3">
      <c r="B66" s="561">
        <v>57</v>
      </c>
      <c r="C66" s="559">
        <f t="shared" si="0"/>
        <v>0</v>
      </c>
      <c r="D66" s="559">
        <f t="shared" si="1"/>
        <v>0</v>
      </c>
      <c r="E66" s="559">
        <f t="shared" si="2"/>
        <v>0</v>
      </c>
      <c r="G66" s="559">
        <f t="shared" si="3"/>
        <v>0</v>
      </c>
    </row>
    <row r="67" spans="2:7" x14ac:dyDescent="0.3">
      <c r="B67" s="561">
        <v>58</v>
      </c>
      <c r="C67" s="559">
        <f t="shared" si="0"/>
        <v>0</v>
      </c>
      <c r="D67" s="559">
        <f t="shared" si="1"/>
        <v>0</v>
      </c>
      <c r="E67" s="559">
        <f t="shared" si="2"/>
        <v>0</v>
      </c>
      <c r="G67" s="559">
        <f t="shared" si="3"/>
        <v>0</v>
      </c>
    </row>
    <row r="68" spans="2:7" x14ac:dyDescent="0.3">
      <c r="B68" s="561">
        <v>59</v>
      </c>
      <c r="C68" s="559">
        <f t="shared" si="0"/>
        <v>0</v>
      </c>
      <c r="D68" s="559">
        <f t="shared" si="1"/>
        <v>0</v>
      </c>
      <c r="E68" s="559">
        <f t="shared" si="2"/>
        <v>0</v>
      </c>
      <c r="G68" s="559">
        <f t="shared" si="3"/>
        <v>0</v>
      </c>
    </row>
    <row r="69" spans="2:7" x14ac:dyDescent="0.3">
      <c r="B69" s="561">
        <v>60</v>
      </c>
      <c r="C69" s="559">
        <f t="shared" si="0"/>
        <v>0</v>
      </c>
      <c r="D69" s="559">
        <f t="shared" si="1"/>
        <v>0</v>
      </c>
      <c r="E69" s="559">
        <f t="shared" si="2"/>
        <v>0</v>
      </c>
      <c r="G69" s="559">
        <f t="shared" si="3"/>
        <v>0</v>
      </c>
    </row>
    <row r="70" spans="2:7" x14ac:dyDescent="0.3">
      <c r="B70" s="561">
        <v>61</v>
      </c>
      <c r="C70" s="559">
        <f t="shared" si="0"/>
        <v>0</v>
      </c>
      <c r="D70" s="559">
        <f t="shared" si="1"/>
        <v>0</v>
      </c>
      <c r="E70" s="559">
        <f t="shared" si="2"/>
        <v>0</v>
      </c>
      <c r="G70" s="559">
        <f t="shared" si="3"/>
        <v>0</v>
      </c>
    </row>
    <row r="71" spans="2:7" x14ac:dyDescent="0.3">
      <c r="B71" s="561">
        <v>62</v>
      </c>
      <c r="C71" s="559">
        <f t="shared" si="0"/>
        <v>0</v>
      </c>
      <c r="D71" s="559">
        <f t="shared" si="1"/>
        <v>0</v>
      </c>
      <c r="E71" s="559">
        <f t="shared" si="2"/>
        <v>0</v>
      </c>
      <c r="G71" s="559">
        <f t="shared" si="3"/>
        <v>0</v>
      </c>
    </row>
    <row r="72" spans="2:7" x14ac:dyDescent="0.3">
      <c r="B72" s="561">
        <v>63</v>
      </c>
      <c r="C72" s="559">
        <f t="shared" si="0"/>
        <v>0</v>
      </c>
      <c r="D72" s="559">
        <f t="shared" si="1"/>
        <v>0</v>
      </c>
      <c r="E72" s="559">
        <f t="shared" si="2"/>
        <v>0</v>
      </c>
      <c r="G72" s="559">
        <f t="shared" si="3"/>
        <v>0</v>
      </c>
    </row>
    <row r="73" spans="2:7" x14ac:dyDescent="0.3">
      <c r="B73" s="561">
        <v>64</v>
      </c>
      <c r="C73" s="559">
        <f t="shared" si="0"/>
        <v>0</v>
      </c>
      <c r="D73" s="559">
        <f t="shared" si="1"/>
        <v>0</v>
      </c>
      <c r="E73" s="559">
        <f t="shared" si="2"/>
        <v>0</v>
      </c>
      <c r="G73" s="559">
        <f t="shared" si="3"/>
        <v>0</v>
      </c>
    </row>
    <row r="74" spans="2:7" x14ac:dyDescent="0.3">
      <c r="B74" s="561">
        <v>65</v>
      </c>
      <c r="C74" s="559">
        <f t="shared" ref="C74:C137" si="4">IF($C$3&lt;G74+(G74*($C$4/$C$6)),$C$3,G74+(G74*($C$4/$C$6)))</f>
        <v>0</v>
      </c>
      <c r="D74" s="559">
        <f t="shared" ref="D74:D137" si="5">G74*$C$4/$C$6</f>
        <v>0</v>
      </c>
      <c r="E74" s="559">
        <f t="shared" ref="E74:E137" si="6">C74-D74</f>
        <v>0</v>
      </c>
      <c r="G74" s="559">
        <f t="shared" si="3"/>
        <v>0</v>
      </c>
    </row>
    <row r="75" spans="2:7" x14ac:dyDescent="0.3">
      <c r="B75" s="561">
        <v>66</v>
      </c>
      <c r="C75" s="559">
        <f t="shared" si="4"/>
        <v>0</v>
      </c>
      <c r="D75" s="559">
        <f t="shared" si="5"/>
        <v>0</v>
      </c>
      <c r="E75" s="559">
        <f t="shared" si="6"/>
        <v>0</v>
      </c>
      <c r="G75" s="559">
        <f t="shared" ref="G75:G138" si="7">G74-E74-F74</f>
        <v>0</v>
      </c>
    </row>
    <row r="76" spans="2:7" x14ac:dyDescent="0.3">
      <c r="B76" s="561">
        <v>67</v>
      </c>
      <c r="C76" s="559">
        <f t="shared" si="4"/>
        <v>0</v>
      </c>
      <c r="D76" s="559">
        <f t="shared" si="5"/>
        <v>0</v>
      </c>
      <c r="E76" s="559">
        <f t="shared" si="6"/>
        <v>0</v>
      </c>
      <c r="G76" s="559">
        <f t="shared" si="7"/>
        <v>0</v>
      </c>
    </row>
    <row r="77" spans="2:7" x14ac:dyDescent="0.3">
      <c r="B77" s="561">
        <v>68</v>
      </c>
      <c r="C77" s="559">
        <f t="shared" si="4"/>
        <v>0</v>
      </c>
      <c r="D77" s="559">
        <f t="shared" si="5"/>
        <v>0</v>
      </c>
      <c r="E77" s="559">
        <f t="shared" si="6"/>
        <v>0</v>
      </c>
      <c r="G77" s="559">
        <f t="shared" si="7"/>
        <v>0</v>
      </c>
    </row>
    <row r="78" spans="2:7" x14ac:dyDescent="0.3">
      <c r="B78" s="561">
        <v>69</v>
      </c>
      <c r="C78" s="559">
        <f t="shared" si="4"/>
        <v>0</v>
      </c>
      <c r="D78" s="559">
        <f t="shared" si="5"/>
        <v>0</v>
      </c>
      <c r="E78" s="559">
        <f t="shared" si="6"/>
        <v>0</v>
      </c>
      <c r="G78" s="559">
        <f t="shared" si="7"/>
        <v>0</v>
      </c>
    </row>
    <row r="79" spans="2:7" x14ac:dyDescent="0.3">
      <c r="B79" s="561">
        <v>70</v>
      </c>
      <c r="C79" s="559">
        <f t="shared" si="4"/>
        <v>0</v>
      </c>
      <c r="D79" s="559">
        <f t="shared" si="5"/>
        <v>0</v>
      </c>
      <c r="E79" s="559">
        <f t="shared" si="6"/>
        <v>0</v>
      </c>
      <c r="G79" s="559">
        <f t="shared" si="7"/>
        <v>0</v>
      </c>
    </row>
    <row r="80" spans="2:7" x14ac:dyDescent="0.3">
      <c r="B80" s="561">
        <v>71</v>
      </c>
      <c r="C80" s="559">
        <f t="shared" si="4"/>
        <v>0</v>
      </c>
      <c r="D80" s="559">
        <f t="shared" si="5"/>
        <v>0</v>
      </c>
      <c r="E80" s="559">
        <f t="shared" si="6"/>
        <v>0</v>
      </c>
      <c r="G80" s="559">
        <f t="shared" si="7"/>
        <v>0</v>
      </c>
    </row>
    <row r="81" spans="2:7" x14ac:dyDescent="0.3">
      <c r="B81" s="561">
        <v>72</v>
      </c>
      <c r="C81" s="559">
        <f t="shared" si="4"/>
        <v>0</v>
      </c>
      <c r="D81" s="559">
        <f t="shared" si="5"/>
        <v>0</v>
      </c>
      <c r="E81" s="559">
        <f t="shared" si="6"/>
        <v>0</v>
      </c>
      <c r="G81" s="559">
        <f t="shared" si="7"/>
        <v>0</v>
      </c>
    </row>
    <row r="82" spans="2:7" x14ac:dyDescent="0.3">
      <c r="B82" s="561">
        <v>73</v>
      </c>
      <c r="C82" s="559">
        <f t="shared" si="4"/>
        <v>0</v>
      </c>
      <c r="D82" s="559">
        <f t="shared" si="5"/>
        <v>0</v>
      </c>
      <c r="E82" s="559">
        <f t="shared" si="6"/>
        <v>0</v>
      </c>
      <c r="G82" s="559">
        <f t="shared" si="7"/>
        <v>0</v>
      </c>
    </row>
    <row r="83" spans="2:7" x14ac:dyDescent="0.3">
      <c r="B83" s="561">
        <v>74</v>
      </c>
      <c r="C83" s="559">
        <f t="shared" si="4"/>
        <v>0</v>
      </c>
      <c r="D83" s="559">
        <f t="shared" si="5"/>
        <v>0</v>
      </c>
      <c r="E83" s="559">
        <f t="shared" si="6"/>
        <v>0</v>
      </c>
      <c r="G83" s="559">
        <f t="shared" si="7"/>
        <v>0</v>
      </c>
    </row>
    <row r="84" spans="2:7" x14ac:dyDescent="0.3">
      <c r="B84" s="561">
        <v>75</v>
      </c>
      <c r="C84" s="559">
        <f t="shared" si="4"/>
        <v>0</v>
      </c>
      <c r="D84" s="559">
        <f t="shared" si="5"/>
        <v>0</v>
      </c>
      <c r="E84" s="559">
        <f t="shared" si="6"/>
        <v>0</v>
      </c>
      <c r="G84" s="559">
        <f t="shared" si="7"/>
        <v>0</v>
      </c>
    </row>
    <row r="85" spans="2:7" x14ac:dyDescent="0.3">
      <c r="B85" s="561">
        <v>76</v>
      </c>
      <c r="C85" s="559">
        <f t="shared" si="4"/>
        <v>0</v>
      </c>
      <c r="D85" s="559">
        <f t="shared" si="5"/>
        <v>0</v>
      </c>
      <c r="E85" s="559">
        <f t="shared" si="6"/>
        <v>0</v>
      </c>
      <c r="G85" s="559">
        <f t="shared" si="7"/>
        <v>0</v>
      </c>
    </row>
    <row r="86" spans="2:7" x14ac:dyDescent="0.3">
      <c r="B86" s="561">
        <v>77</v>
      </c>
      <c r="C86" s="559">
        <f t="shared" si="4"/>
        <v>0</v>
      </c>
      <c r="D86" s="559">
        <f t="shared" si="5"/>
        <v>0</v>
      </c>
      <c r="E86" s="559">
        <f t="shared" si="6"/>
        <v>0</v>
      </c>
      <c r="G86" s="559">
        <f t="shared" si="7"/>
        <v>0</v>
      </c>
    </row>
    <row r="87" spans="2:7" x14ac:dyDescent="0.3">
      <c r="B87" s="561">
        <v>78</v>
      </c>
      <c r="C87" s="559">
        <f t="shared" si="4"/>
        <v>0</v>
      </c>
      <c r="D87" s="559">
        <f t="shared" si="5"/>
        <v>0</v>
      </c>
      <c r="E87" s="559">
        <f t="shared" si="6"/>
        <v>0</v>
      </c>
      <c r="G87" s="559">
        <f t="shared" si="7"/>
        <v>0</v>
      </c>
    </row>
    <row r="88" spans="2:7" x14ac:dyDescent="0.3">
      <c r="B88" s="561">
        <v>79</v>
      </c>
      <c r="C88" s="559">
        <f t="shared" si="4"/>
        <v>0</v>
      </c>
      <c r="D88" s="559">
        <f t="shared" si="5"/>
        <v>0</v>
      </c>
      <c r="E88" s="559">
        <f t="shared" si="6"/>
        <v>0</v>
      </c>
      <c r="G88" s="559">
        <f t="shared" si="7"/>
        <v>0</v>
      </c>
    </row>
    <row r="89" spans="2:7" x14ac:dyDescent="0.3">
      <c r="B89" s="561">
        <v>80</v>
      </c>
      <c r="C89" s="559">
        <f t="shared" si="4"/>
        <v>0</v>
      </c>
      <c r="D89" s="559">
        <f t="shared" si="5"/>
        <v>0</v>
      </c>
      <c r="E89" s="559">
        <f t="shared" si="6"/>
        <v>0</v>
      </c>
      <c r="G89" s="559">
        <f t="shared" si="7"/>
        <v>0</v>
      </c>
    </row>
    <row r="90" spans="2:7" x14ac:dyDescent="0.3">
      <c r="B90" s="561">
        <v>81</v>
      </c>
      <c r="C90" s="559">
        <f t="shared" si="4"/>
        <v>0</v>
      </c>
      <c r="D90" s="559">
        <f t="shared" si="5"/>
        <v>0</v>
      </c>
      <c r="E90" s="559">
        <f t="shared" si="6"/>
        <v>0</v>
      </c>
      <c r="G90" s="559">
        <f t="shared" si="7"/>
        <v>0</v>
      </c>
    </row>
    <row r="91" spans="2:7" x14ac:dyDescent="0.3">
      <c r="B91" s="561">
        <v>82</v>
      </c>
      <c r="C91" s="559">
        <f t="shared" si="4"/>
        <v>0</v>
      </c>
      <c r="D91" s="559">
        <f t="shared" si="5"/>
        <v>0</v>
      </c>
      <c r="E91" s="559">
        <f t="shared" si="6"/>
        <v>0</v>
      </c>
      <c r="G91" s="559">
        <f t="shared" si="7"/>
        <v>0</v>
      </c>
    </row>
    <row r="92" spans="2:7" x14ac:dyDescent="0.3">
      <c r="B92" s="561">
        <v>83</v>
      </c>
      <c r="C92" s="559">
        <f t="shared" si="4"/>
        <v>0</v>
      </c>
      <c r="D92" s="559">
        <f t="shared" si="5"/>
        <v>0</v>
      </c>
      <c r="E92" s="559">
        <f t="shared" si="6"/>
        <v>0</v>
      </c>
      <c r="G92" s="559">
        <f t="shared" si="7"/>
        <v>0</v>
      </c>
    </row>
    <row r="93" spans="2:7" x14ac:dyDescent="0.3">
      <c r="B93" s="561">
        <v>84</v>
      </c>
      <c r="C93" s="559">
        <f t="shared" si="4"/>
        <v>0</v>
      </c>
      <c r="D93" s="559">
        <f t="shared" si="5"/>
        <v>0</v>
      </c>
      <c r="E93" s="559">
        <f t="shared" si="6"/>
        <v>0</v>
      </c>
      <c r="G93" s="559">
        <f t="shared" si="7"/>
        <v>0</v>
      </c>
    </row>
    <row r="94" spans="2:7" x14ac:dyDescent="0.3">
      <c r="B94" s="561">
        <v>85</v>
      </c>
      <c r="C94" s="559">
        <f t="shared" si="4"/>
        <v>0</v>
      </c>
      <c r="D94" s="559">
        <f t="shared" si="5"/>
        <v>0</v>
      </c>
      <c r="E94" s="559">
        <f t="shared" si="6"/>
        <v>0</v>
      </c>
      <c r="G94" s="559">
        <f t="shared" si="7"/>
        <v>0</v>
      </c>
    </row>
    <row r="95" spans="2:7" x14ac:dyDescent="0.3">
      <c r="B95" s="561">
        <v>86</v>
      </c>
      <c r="C95" s="559">
        <f t="shared" si="4"/>
        <v>0</v>
      </c>
      <c r="D95" s="559">
        <f t="shared" si="5"/>
        <v>0</v>
      </c>
      <c r="E95" s="559">
        <f t="shared" si="6"/>
        <v>0</v>
      </c>
      <c r="G95" s="559">
        <f t="shared" si="7"/>
        <v>0</v>
      </c>
    </row>
    <row r="96" spans="2:7" x14ac:dyDescent="0.3">
      <c r="B96" s="561">
        <v>87</v>
      </c>
      <c r="C96" s="559">
        <f t="shared" si="4"/>
        <v>0</v>
      </c>
      <c r="D96" s="559">
        <f t="shared" si="5"/>
        <v>0</v>
      </c>
      <c r="E96" s="559">
        <f t="shared" si="6"/>
        <v>0</v>
      </c>
      <c r="G96" s="559">
        <f t="shared" si="7"/>
        <v>0</v>
      </c>
    </row>
    <row r="97" spans="2:7" x14ac:dyDescent="0.3">
      <c r="B97" s="561">
        <v>88</v>
      </c>
      <c r="C97" s="559">
        <f t="shared" si="4"/>
        <v>0</v>
      </c>
      <c r="D97" s="559">
        <f t="shared" si="5"/>
        <v>0</v>
      </c>
      <c r="E97" s="559">
        <f t="shared" si="6"/>
        <v>0</v>
      </c>
      <c r="G97" s="559">
        <f t="shared" si="7"/>
        <v>0</v>
      </c>
    </row>
    <row r="98" spans="2:7" x14ac:dyDescent="0.3">
      <c r="B98" s="561">
        <v>89</v>
      </c>
      <c r="C98" s="559">
        <f t="shared" si="4"/>
        <v>0</v>
      </c>
      <c r="D98" s="559">
        <f t="shared" si="5"/>
        <v>0</v>
      </c>
      <c r="E98" s="559">
        <f t="shared" si="6"/>
        <v>0</v>
      </c>
      <c r="G98" s="559">
        <f t="shared" si="7"/>
        <v>0</v>
      </c>
    </row>
    <row r="99" spans="2:7" x14ac:dyDescent="0.3">
      <c r="B99" s="561">
        <v>90</v>
      </c>
      <c r="C99" s="559">
        <f t="shared" si="4"/>
        <v>0</v>
      </c>
      <c r="D99" s="559">
        <f t="shared" si="5"/>
        <v>0</v>
      </c>
      <c r="E99" s="559">
        <f t="shared" si="6"/>
        <v>0</v>
      </c>
      <c r="G99" s="559">
        <f t="shared" si="7"/>
        <v>0</v>
      </c>
    </row>
    <row r="100" spans="2:7" x14ac:dyDescent="0.3">
      <c r="B100" s="561">
        <v>91</v>
      </c>
      <c r="C100" s="559">
        <f t="shared" si="4"/>
        <v>0</v>
      </c>
      <c r="D100" s="559">
        <f t="shared" si="5"/>
        <v>0</v>
      </c>
      <c r="E100" s="559">
        <f t="shared" si="6"/>
        <v>0</v>
      </c>
      <c r="G100" s="559">
        <f t="shared" si="7"/>
        <v>0</v>
      </c>
    </row>
    <row r="101" spans="2:7" x14ac:dyDescent="0.3">
      <c r="B101" s="561">
        <v>92</v>
      </c>
      <c r="C101" s="559">
        <f t="shared" si="4"/>
        <v>0</v>
      </c>
      <c r="D101" s="559">
        <f t="shared" si="5"/>
        <v>0</v>
      </c>
      <c r="E101" s="559">
        <f t="shared" si="6"/>
        <v>0</v>
      </c>
      <c r="G101" s="559">
        <f t="shared" si="7"/>
        <v>0</v>
      </c>
    </row>
    <row r="102" spans="2:7" x14ac:dyDescent="0.3">
      <c r="B102" s="561">
        <v>93</v>
      </c>
      <c r="C102" s="559">
        <f t="shared" si="4"/>
        <v>0</v>
      </c>
      <c r="D102" s="559">
        <f t="shared" si="5"/>
        <v>0</v>
      </c>
      <c r="E102" s="559">
        <f t="shared" si="6"/>
        <v>0</v>
      </c>
      <c r="G102" s="559">
        <f t="shared" si="7"/>
        <v>0</v>
      </c>
    </row>
    <row r="103" spans="2:7" x14ac:dyDescent="0.3">
      <c r="B103" s="561">
        <v>94</v>
      </c>
      <c r="C103" s="559">
        <f t="shared" si="4"/>
        <v>0</v>
      </c>
      <c r="D103" s="559">
        <f t="shared" si="5"/>
        <v>0</v>
      </c>
      <c r="E103" s="559">
        <f t="shared" si="6"/>
        <v>0</v>
      </c>
      <c r="G103" s="559">
        <f t="shared" si="7"/>
        <v>0</v>
      </c>
    </row>
    <row r="104" spans="2:7" x14ac:dyDescent="0.3">
      <c r="B104" s="561">
        <v>95</v>
      </c>
      <c r="C104" s="559">
        <f t="shared" si="4"/>
        <v>0</v>
      </c>
      <c r="D104" s="559">
        <f t="shared" si="5"/>
        <v>0</v>
      </c>
      <c r="E104" s="559">
        <f t="shared" si="6"/>
        <v>0</v>
      </c>
      <c r="G104" s="559">
        <f t="shared" si="7"/>
        <v>0</v>
      </c>
    </row>
    <row r="105" spans="2:7" x14ac:dyDescent="0.3">
      <c r="B105" s="561">
        <v>96</v>
      </c>
      <c r="C105" s="559">
        <f t="shared" si="4"/>
        <v>0</v>
      </c>
      <c r="D105" s="559">
        <f t="shared" si="5"/>
        <v>0</v>
      </c>
      <c r="E105" s="559">
        <f t="shared" si="6"/>
        <v>0</v>
      </c>
      <c r="G105" s="559">
        <f t="shared" si="7"/>
        <v>0</v>
      </c>
    </row>
    <row r="106" spans="2:7" x14ac:dyDescent="0.3">
      <c r="B106" s="561">
        <v>97</v>
      </c>
      <c r="C106" s="559">
        <f t="shared" si="4"/>
        <v>0</v>
      </c>
      <c r="D106" s="559">
        <f t="shared" si="5"/>
        <v>0</v>
      </c>
      <c r="E106" s="559">
        <f t="shared" si="6"/>
        <v>0</v>
      </c>
      <c r="G106" s="559">
        <f t="shared" si="7"/>
        <v>0</v>
      </c>
    </row>
    <row r="107" spans="2:7" x14ac:dyDescent="0.3">
      <c r="B107" s="561">
        <v>98</v>
      </c>
      <c r="C107" s="559">
        <f t="shared" si="4"/>
        <v>0</v>
      </c>
      <c r="D107" s="559">
        <f t="shared" si="5"/>
        <v>0</v>
      </c>
      <c r="E107" s="559">
        <f t="shared" si="6"/>
        <v>0</v>
      </c>
      <c r="G107" s="559">
        <f t="shared" si="7"/>
        <v>0</v>
      </c>
    </row>
    <row r="108" spans="2:7" x14ac:dyDescent="0.3">
      <c r="B108" s="561">
        <v>99</v>
      </c>
      <c r="C108" s="559">
        <f t="shared" si="4"/>
        <v>0</v>
      </c>
      <c r="D108" s="559">
        <f t="shared" si="5"/>
        <v>0</v>
      </c>
      <c r="E108" s="559">
        <f t="shared" si="6"/>
        <v>0</v>
      </c>
      <c r="G108" s="559">
        <f t="shared" si="7"/>
        <v>0</v>
      </c>
    </row>
    <row r="109" spans="2:7" x14ac:dyDescent="0.3">
      <c r="B109" s="561">
        <v>100</v>
      </c>
      <c r="C109" s="559">
        <f t="shared" si="4"/>
        <v>0</v>
      </c>
      <c r="D109" s="559">
        <f t="shared" si="5"/>
        <v>0</v>
      </c>
      <c r="E109" s="559">
        <f t="shared" si="6"/>
        <v>0</v>
      </c>
      <c r="G109" s="559">
        <f t="shared" si="7"/>
        <v>0</v>
      </c>
    </row>
    <row r="110" spans="2:7" x14ac:dyDescent="0.3">
      <c r="B110" s="561">
        <v>101</v>
      </c>
      <c r="C110" s="559">
        <f t="shared" si="4"/>
        <v>0</v>
      </c>
      <c r="D110" s="559">
        <f t="shared" si="5"/>
        <v>0</v>
      </c>
      <c r="E110" s="559">
        <f t="shared" si="6"/>
        <v>0</v>
      </c>
      <c r="G110" s="559">
        <f t="shared" si="7"/>
        <v>0</v>
      </c>
    </row>
    <row r="111" spans="2:7" x14ac:dyDescent="0.3">
      <c r="B111" s="561">
        <v>102</v>
      </c>
      <c r="C111" s="559">
        <f t="shared" si="4"/>
        <v>0</v>
      </c>
      <c r="D111" s="559">
        <f t="shared" si="5"/>
        <v>0</v>
      </c>
      <c r="E111" s="559">
        <f t="shared" si="6"/>
        <v>0</v>
      </c>
      <c r="G111" s="559">
        <f t="shared" si="7"/>
        <v>0</v>
      </c>
    </row>
    <row r="112" spans="2:7" x14ac:dyDescent="0.3">
      <c r="B112" s="561">
        <v>103</v>
      </c>
      <c r="C112" s="559">
        <f t="shared" si="4"/>
        <v>0</v>
      </c>
      <c r="D112" s="559">
        <f t="shared" si="5"/>
        <v>0</v>
      </c>
      <c r="E112" s="559">
        <f t="shared" si="6"/>
        <v>0</v>
      </c>
      <c r="G112" s="559">
        <f t="shared" si="7"/>
        <v>0</v>
      </c>
    </row>
    <row r="113" spans="2:7" x14ac:dyDescent="0.3">
      <c r="B113" s="561">
        <v>104</v>
      </c>
      <c r="C113" s="559">
        <f t="shared" si="4"/>
        <v>0</v>
      </c>
      <c r="D113" s="559">
        <f t="shared" si="5"/>
        <v>0</v>
      </c>
      <c r="E113" s="559">
        <f t="shared" si="6"/>
        <v>0</v>
      </c>
      <c r="G113" s="559">
        <f t="shared" si="7"/>
        <v>0</v>
      </c>
    </row>
    <row r="114" spans="2:7" x14ac:dyDescent="0.3">
      <c r="B114" s="561">
        <v>105</v>
      </c>
      <c r="C114" s="559">
        <f t="shared" si="4"/>
        <v>0</v>
      </c>
      <c r="D114" s="559">
        <f t="shared" si="5"/>
        <v>0</v>
      </c>
      <c r="E114" s="559">
        <f t="shared" si="6"/>
        <v>0</v>
      </c>
      <c r="G114" s="559">
        <f t="shared" si="7"/>
        <v>0</v>
      </c>
    </row>
    <row r="115" spans="2:7" x14ac:dyDescent="0.3">
      <c r="B115" s="561">
        <v>106</v>
      </c>
      <c r="C115" s="559">
        <f t="shared" si="4"/>
        <v>0</v>
      </c>
      <c r="D115" s="559">
        <f t="shared" si="5"/>
        <v>0</v>
      </c>
      <c r="E115" s="559">
        <f t="shared" si="6"/>
        <v>0</v>
      </c>
      <c r="G115" s="559">
        <f t="shared" si="7"/>
        <v>0</v>
      </c>
    </row>
    <row r="116" spans="2:7" x14ac:dyDescent="0.3">
      <c r="B116" s="561">
        <v>107</v>
      </c>
      <c r="C116" s="559">
        <f t="shared" si="4"/>
        <v>0</v>
      </c>
      <c r="D116" s="559">
        <f t="shared" si="5"/>
        <v>0</v>
      </c>
      <c r="E116" s="559">
        <f t="shared" si="6"/>
        <v>0</v>
      </c>
      <c r="G116" s="559">
        <f t="shared" si="7"/>
        <v>0</v>
      </c>
    </row>
    <row r="117" spans="2:7" x14ac:dyDescent="0.3">
      <c r="B117" s="561">
        <v>108</v>
      </c>
      <c r="C117" s="559">
        <f t="shared" si="4"/>
        <v>0</v>
      </c>
      <c r="D117" s="559">
        <f t="shared" si="5"/>
        <v>0</v>
      </c>
      <c r="E117" s="559">
        <f t="shared" si="6"/>
        <v>0</v>
      </c>
      <c r="G117" s="559">
        <f t="shared" si="7"/>
        <v>0</v>
      </c>
    </row>
    <row r="118" spans="2:7" x14ac:dyDescent="0.3">
      <c r="B118" s="561">
        <v>109</v>
      </c>
      <c r="C118" s="559">
        <f t="shared" si="4"/>
        <v>0</v>
      </c>
      <c r="D118" s="559">
        <f t="shared" si="5"/>
        <v>0</v>
      </c>
      <c r="E118" s="559">
        <f t="shared" si="6"/>
        <v>0</v>
      </c>
      <c r="G118" s="559">
        <f t="shared" si="7"/>
        <v>0</v>
      </c>
    </row>
    <row r="119" spans="2:7" x14ac:dyDescent="0.3">
      <c r="B119" s="561">
        <v>110</v>
      </c>
      <c r="C119" s="559">
        <f t="shared" si="4"/>
        <v>0</v>
      </c>
      <c r="D119" s="559">
        <f t="shared" si="5"/>
        <v>0</v>
      </c>
      <c r="E119" s="559">
        <f t="shared" si="6"/>
        <v>0</v>
      </c>
      <c r="G119" s="559">
        <f t="shared" si="7"/>
        <v>0</v>
      </c>
    </row>
    <row r="120" spans="2:7" x14ac:dyDescent="0.3">
      <c r="B120" s="561">
        <v>111</v>
      </c>
      <c r="C120" s="559">
        <f t="shared" si="4"/>
        <v>0</v>
      </c>
      <c r="D120" s="559">
        <f t="shared" si="5"/>
        <v>0</v>
      </c>
      <c r="E120" s="559">
        <f t="shared" si="6"/>
        <v>0</v>
      </c>
      <c r="G120" s="559">
        <f t="shared" si="7"/>
        <v>0</v>
      </c>
    </row>
    <row r="121" spans="2:7" x14ac:dyDescent="0.3">
      <c r="B121" s="561">
        <v>112</v>
      </c>
      <c r="C121" s="559">
        <f t="shared" si="4"/>
        <v>0</v>
      </c>
      <c r="D121" s="559">
        <f t="shared" si="5"/>
        <v>0</v>
      </c>
      <c r="E121" s="559">
        <f t="shared" si="6"/>
        <v>0</v>
      </c>
      <c r="G121" s="559">
        <f t="shared" si="7"/>
        <v>0</v>
      </c>
    </row>
    <row r="122" spans="2:7" x14ac:dyDescent="0.3">
      <c r="B122" s="561">
        <v>113</v>
      </c>
      <c r="C122" s="559">
        <f t="shared" si="4"/>
        <v>0</v>
      </c>
      <c r="D122" s="559">
        <f t="shared" si="5"/>
        <v>0</v>
      </c>
      <c r="E122" s="559">
        <f t="shared" si="6"/>
        <v>0</v>
      </c>
      <c r="G122" s="559">
        <f t="shared" si="7"/>
        <v>0</v>
      </c>
    </row>
    <row r="123" spans="2:7" x14ac:dyDescent="0.3">
      <c r="B123" s="561">
        <v>114</v>
      </c>
      <c r="C123" s="559">
        <f t="shared" si="4"/>
        <v>0</v>
      </c>
      <c r="D123" s="559">
        <f t="shared" si="5"/>
        <v>0</v>
      </c>
      <c r="E123" s="559">
        <f t="shared" si="6"/>
        <v>0</v>
      </c>
      <c r="G123" s="559">
        <f t="shared" si="7"/>
        <v>0</v>
      </c>
    </row>
    <row r="124" spans="2:7" x14ac:dyDescent="0.3">
      <c r="B124" s="561">
        <v>115</v>
      </c>
      <c r="C124" s="559">
        <f t="shared" si="4"/>
        <v>0</v>
      </c>
      <c r="D124" s="559">
        <f t="shared" si="5"/>
        <v>0</v>
      </c>
      <c r="E124" s="559">
        <f t="shared" si="6"/>
        <v>0</v>
      </c>
      <c r="G124" s="559">
        <f t="shared" si="7"/>
        <v>0</v>
      </c>
    </row>
    <row r="125" spans="2:7" x14ac:dyDescent="0.3">
      <c r="B125" s="561">
        <v>116</v>
      </c>
      <c r="C125" s="559">
        <f t="shared" si="4"/>
        <v>0</v>
      </c>
      <c r="D125" s="559">
        <f t="shared" si="5"/>
        <v>0</v>
      </c>
      <c r="E125" s="559">
        <f t="shared" si="6"/>
        <v>0</v>
      </c>
      <c r="G125" s="559">
        <f t="shared" si="7"/>
        <v>0</v>
      </c>
    </row>
    <row r="126" spans="2:7" x14ac:dyDescent="0.3">
      <c r="B126" s="561">
        <v>117</v>
      </c>
      <c r="C126" s="559">
        <f t="shared" si="4"/>
        <v>0</v>
      </c>
      <c r="D126" s="559">
        <f t="shared" si="5"/>
        <v>0</v>
      </c>
      <c r="E126" s="559">
        <f t="shared" si="6"/>
        <v>0</v>
      </c>
      <c r="G126" s="559">
        <f t="shared" si="7"/>
        <v>0</v>
      </c>
    </row>
    <row r="127" spans="2:7" x14ac:dyDescent="0.3">
      <c r="B127" s="561">
        <v>118</v>
      </c>
      <c r="C127" s="559">
        <f t="shared" si="4"/>
        <v>0</v>
      </c>
      <c r="D127" s="559">
        <f t="shared" si="5"/>
        <v>0</v>
      </c>
      <c r="E127" s="559">
        <f t="shared" si="6"/>
        <v>0</v>
      </c>
      <c r="G127" s="559">
        <f t="shared" si="7"/>
        <v>0</v>
      </c>
    </row>
    <row r="128" spans="2:7" x14ac:dyDescent="0.3">
      <c r="B128" s="561">
        <v>119</v>
      </c>
      <c r="C128" s="559">
        <f t="shared" si="4"/>
        <v>0</v>
      </c>
      <c r="D128" s="559">
        <f t="shared" si="5"/>
        <v>0</v>
      </c>
      <c r="E128" s="559">
        <f t="shared" si="6"/>
        <v>0</v>
      </c>
      <c r="G128" s="559">
        <f t="shared" si="7"/>
        <v>0</v>
      </c>
    </row>
    <row r="129" spans="2:7" x14ac:dyDescent="0.3">
      <c r="B129" s="561">
        <v>120</v>
      </c>
      <c r="C129" s="559">
        <f t="shared" si="4"/>
        <v>0</v>
      </c>
      <c r="D129" s="559">
        <f t="shared" si="5"/>
        <v>0</v>
      </c>
      <c r="E129" s="559">
        <f t="shared" si="6"/>
        <v>0</v>
      </c>
      <c r="G129" s="559">
        <f t="shared" si="7"/>
        <v>0</v>
      </c>
    </row>
    <row r="130" spans="2:7" x14ac:dyDescent="0.3">
      <c r="B130" s="561">
        <v>121</v>
      </c>
      <c r="C130" s="559">
        <f t="shared" si="4"/>
        <v>0</v>
      </c>
      <c r="D130" s="559">
        <f t="shared" si="5"/>
        <v>0</v>
      </c>
      <c r="E130" s="559">
        <f t="shared" si="6"/>
        <v>0</v>
      </c>
      <c r="G130" s="559">
        <f t="shared" si="7"/>
        <v>0</v>
      </c>
    </row>
    <row r="131" spans="2:7" x14ac:dyDescent="0.3">
      <c r="B131" s="561">
        <v>122</v>
      </c>
      <c r="C131" s="559">
        <f t="shared" si="4"/>
        <v>0</v>
      </c>
      <c r="D131" s="559">
        <f t="shared" si="5"/>
        <v>0</v>
      </c>
      <c r="E131" s="559">
        <f t="shared" si="6"/>
        <v>0</v>
      </c>
      <c r="G131" s="559">
        <f t="shared" si="7"/>
        <v>0</v>
      </c>
    </row>
    <row r="132" spans="2:7" x14ac:dyDescent="0.3">
      <c r="B132" s="561">
        <v>123</v>
      </c>
      <c r="C132" s="559">
        <f t="shared" si="4"/>
        <v>0</v>
      </c>
      <c r="D132" s="559">
        <f t="shared" si="5"/>
        <v>0</v>
      </c>
      <c r="E132" s="559">
        <f t="shared" si="6"/>
        <v>0</v>
      </c>
      <c r="G132" s="559">
        <f t="shared" si="7"/>
        <v>0</v>
      </c>
    </row>
    <row r="133" spans="2:7" x14ac:dyDescent="0.3">
      <c r="B133" s="561">
        <v>124</v>
      </c>
      <c r="C133" s="559">
        <f t="shared" si="4"/>
        <v>0</v>
      </c>
      <c r="D133" s="559">
        <f t="shared" si="5"/>
        <v>0</v>
      </c>
      <c r="E133" s="559">
        <f t="shared" si="6"/>
        <v>0</v>
      </c>
      <c r="G133" s="559">
        <f t="shared" si="7"/>
        <v>0</v>
      </c>
    </row>
    <row r="134" spans="2:7" x14ac:dyDescent="0.3">
      <c r="B134" s="561">
        <v>125</v>
      </c>
      <c r="C134" s="559">
        <f t="shared" si="4"/>
        <v>0</v>
      </c>
      <c r="D134" s="559">
        <f t="shared" si="5"/>
        <v>0</v>
      </c>
      <c r="E134" s="559">
        <f t="shared" si="6"/>
        <v>0</v>
      </c>
      <c r="G134" s="559">
        <f t="shared" si="7"/>
        <v>0</v>
      </c>
    </row>
    <row r="135" spans="2:7" x14ac:dyDescent="0.3">
      <c r="B135" s="561">
        <v>126</v>
      </c>
      <c r="C135" s="559">
        <f t="shared" si="4"/>
        <v>0</v>
      </c>
      <c r="D135" s="559">
        <f t="shared" si="5"/>
        <v>0</v>
      </c>
      <c r="E135" s="559">
        <f t="shared" si="6"/>
        <v>0</v>
      </c>
      <c r="G135" s="559">
        <f t="shared" si="7"/>
        <v>0</v>
      </c>
    </row>
    <row r="136" spans="2:7" x14ac:dyDescent="0.3">
      <c r="B136" s="561">
        <v>127</v>
      </c>
      <c r="C136" s="559">
        <f t="shared" si="4"/>
        <v>0</v>
      </c>
      <c r="D136" s="559">
        <f t="shared" si="5"/>
        <v>0</v>
      </c>
      <c r="E136" s="559">
        <f t="shared" si="6"/>
        <v>0</v>
      </c>
      <c r="G136" s="559">
        <f t="shared" si="7"/>
        <v>0</v>
      </c>
    </row>
    <row r="137" spans="2:7" x14ac:dyDescent="0.3">
      <c r="B137" s="561">
        <v>128</v>
      </c>
      <c r="C137" s="559">
        <f t="shared" si="4"/>
        <v>0</v>
      </c>
      <c r="D137" s="559">
        <f t="shared" si="5"/>
        <v>0</v>
      </c>
      <c r="E137" s="559">
        <f t="shared" si="6"/>
        <v>0</v>
      </c>
      <c r="G137" s="559">
        <f t="shared" si="7"/>
        <v>0</v>
      </c>
    </row>
    <row r="138" spans="2:7" x14ac:dyDescent="0.3">
      <c r="B138" s="561">
        <v>129</v>
      </c>
      <c r="C138" s="559">
        <f t="shared" ref="C138:C201" si="8">IF($C$3&lt;G138+(G138*($C$4/$C$6)),$C$3,G138+(G138*($C$4/$C$6)))</f>
        <v>0</v>
      </c>
      <c r="D138" s="559">
        <f t="shared" ref="D138:D201" si="9">G138*$C$4/$C$6</f>
        <v>0</v>
      </c>
      <c r="E138" s="559">
        <f t="shared" ref="E138:E201" si="10">C138-D138</f>
        <v>0</v>
      </c>
      <c r="G138" s="559">
        <f t="shared" si="7"/>
        <v>0</v>
      </c>
    </row>
    <row r="139" spans="2:7" x14ac:dyDescent="0.3">
      <c r="B139" s="561">
        <v>130</v>
      </c>
      <c r="C139" s="559">
        <f t="shared" si="8"/>
        <v>0</v>
      </c>
      <c r="D139" s="559">
        <f t="shared" si="9"/>
        <v>0</v>
      </c>
      <c r="E139" s="559">
        <f t="shared" si="10"/>
        <v>0</v>
      </c>
      <c r="G139" s="559">
        <f t="shared" ref="G139:G202" si="11">G138-E138-F138</f>
        <v>0</v>
      </c>
    </row>
    <row r="140" spans="2:7" x14ac:dyDescent="0.3">
      <c r="B140" s="561">
        <v>131</v>
      </c>
      <c r="C140" s="559">
        <f t="shared" si="8"/>
        <v>0</v>
      </c>
      <c r="D140" s="559">
        <f t="shared" si="9"/>
        <v>0</v>
      </c>
      <c r="E140" s="559">
        <f t="shared" si="10"/>
        <v>0</v>
      </c>
      <c r="G140" s="559">
        <f t="shared" si="11"/>
        <v>0</v>
      </c>
    </row>
    <row r="141" spans="2:7" x14ac:dyDescent="0.3">
      <c r="B141" s="561">
        <v>132</v>
      </c>
      <c r="C141" s="559">
        <f t="shared" si="8"/>
        <v>0</v>
      </c>
      <c r="D141" s="559">
        <f t="shared" si="9"/>
        <v>0</v>
      </c>
      <c r="E141" s="559">
        <f t="shared" si="10"/>
        <v>0</v>
      </c>
      <c r="G141" s="559">
        <f t="shared" si="11"/>
        <v>0</v>
      </c>
    </row>
    <row r="142" spans="2:7" x14ac:dyDescent="0.3">
      <c r="B142" s="561">
        <v>133</v>
      </c>
      <c r="C142" s="559">
        <f t="shared" si="8"/>
        <v>0</v>
      </c>
      <c r="D142" s="559">
        <f t="shared" si="9"/>
        <v>0</v>
      </c>
      <c r="E142" s="559">
        <f t="shared" si="10"/>
        <v>0</v>
      </c>
      <c r="G142" s="559">
        <f t="shared" si="11"/>
        <v>0</v>
      </c>
    </row>
    <row r="143" spans="2:7" x14ac:dyDescent="0.3">
      <c r="B143" s="561">
        <v>134</v>
      </c>
      <c r="C143" s="559">
        <f t="shared" si="8"/>
        <v>0</v>
      </c>
      <c r="D143" s="559">
        <f t="shared" si="9"/>
        <v>0</v>
      </c>
      <c r="E143" s="559">
        <f t="shared" si="10"/>
        <v>0</v>
      </c>
      <c r="G143" s="559">
        <f t="shared" si="11"/>
        <v>0</v>
      </c>
    </row>
    <row r="144" spans="2:7" x14ac:dyDescent="0.3">
      <c r="B144" s="561">
        <v>135</v>
      </c>
      <c r="C144" s="559">
        <f t="shared" si="8"/>
        <v>0</v>
      </c>
      <c r="D144" s="559">
        <f t="shared" si="9"/>
        <v>0</v>
      </c>
      <c r="E144" s="559">
        <f t="shared" si="10"/>
        <v>0</v>
      </c>
      <c r="G144" s="559">
        <f t="shared" si="11"/>
        <v>0</v>
      </c>
    </row>
    <row r="145" spans="2:7" x14ac:dyDescent="0.3">
      <c r="B145" s="561">
        <v>136</v>
      </c>
      <c r="C145" s="559">
        <f t="shared" si="8"/>
        <v>0</v>
      </c>
      <c r="D145" s="559">
        <f t="shared" si="9"/>
        <v>0</v>
      </c>
      <c r="E145" s="559">
        <f t="shared" si="10"/>
        <v>0</v>
      </c>
      <c r="G145" s="559">
        <f t="shared" si="11"/>
        <v>0</v>
      </c>
    </row>
    <row r="146" spans="2:7" x14ac:dyDescent="0.3">
      <c r="B146" s="561">
        <v>137</v>
      </c>
      <c r="C146" s="559">
        <f t="shared" si="8"/>
        <v>0</v>
      </c>
      <c r="D146" s="559">
        <f t="shared" si="9"/>
        <v>0</v>
      </c>
      <c r="E146" s="559">
        <f t="shared" si="10"/>
        <v>0</v>
      </c>
      <c r="G146" s="559">
        <f t="shared" si="11"/>
        <v>0</v>
      </c>
    </row>
    <row r="147" spans="2:7" x14ac:dyDescent="0.3">
      <c r="B147" s="561">
        <v>138</v>
      </c>
      <c r="C147" s="559">
        <f t="shared" si="8"/>
        <v>0</v>
      </c>
      <c r="D147" s="559">
        <f t="shared" si="9"/>
        <v>0</v>
      </c>
      <c r="E147" s="559">
        <f t="shared" si="10"/>
        <v>0</v>
      </c>
      <c r="G147" s="559">
        <f t="shared" si="11"/>
        <v>0</v>
      </c>
    </row>
    <row r="148" spans="2:7" x14ac:dyDescent="0.3">
      <c r="B148" s="561">
        <v>139</v>
      </c>
      <c r="C148" s="559">
        <f t="shared" si="8"/>
        <v>0</v>
      </c>
      <c r="D148" s="559">
        <f t="shared" si="9"/>
        <v>0</v>
      </c>
      <c r="E148" s="559">
        <f t="shared" si="10"/>
        <v>0</v>
      </c>
      <c r="G148" s="559">
        <f t="shared" si="11"/>
        <v>0</v>
      </c>
    </row>
    <row r="149" spans="2:7" x14ac:dyDescent="0.3">
      <c r="B149" s="561">
        <v>140</v>
      </c>
      <c r="C149" s="559">
        <f t="shared" si="8"/>
        <v>0</v>
      </c>
      <c r="D149" s="559">
        <f t="shared" si="9"/>
        <v>0</v>
      </c>
      <c r="E149" s="559">
        <f t="shared" si="10"/>
        <v>0</v>
      </c>
      <c r="G149" s="559">
        <f t="shared" si="11"/>
        <v>0</v>
      </c>
    </row>
    <row r="150" spans="2:7" x14ac:dyDescent="0.3">
      <c r="B150" s="561">
        <v>141</v>
      </c>
      <c r="C150" s="559">
        <f t="shared" si="8"/>
        <v>0</v>
      </c>
      <c r="D150" s="559">
        <f t="shared" si="9"/>
        <v>0</v>
      </c>
      <c r="E150" s="559">
        <f t="shared" si="10"/>
        <v>0</v>
      </c>
      <c r="G150" s="559">
        <f t="shared" si="11"/>
        <v>0</v>
      </c>
    </row>
    <row r="151" spans="2:7" x14ac:dyDescent="0.3">
      <c r="B151" s="561">
        <v>142</v>
      </c>
      <c r="C151" s="559">
        <f t="shared" si="8"/>
        <v>0</v>
      </c>
      <c r="D151" s="559">
        <f t="shared" si="9"/>
        <v>0</v>
      </c>
      <c r="E151" s="559">
        <f t="shared" si="10"/>
        <v>0</v>
      </c>
      <c r="G151" s="559">
        <f t="shared" si="11"/>
        <v>0</v>
      </c>
    </row>
    <row r="152" spans="2:7" x14ac:dyDescent="0.3">
      <c r="B152" s="561">
        <v>143</v>
      </c>
      <c r="C152" s="559">
        <f t="shared" si="8"/>
        <v>0</v>
      </c>
      <c r="D152" s="559">
        <f t="shared" si="9"/>
        <v>0</v>
      </c>
      <c r="E152" s="559">
        <f t="shared" si="10"/>
        <v>0</v>
      </c>
      <c r="G152" s="559">
        <f t="shared" si="11"/>
        <v>0</v>
      </c>
    </row>
    <row r="153" spans="2:7" x14ac:dyDescent="0.3">
      <c r="B153" s="561">
        <v>144</v>
      </c>
      <c r="C153" s="559">
        <f t="shared" si="8"/>
        <v>0</v>
      </c>
      <c r="D153" s="559">
        <f t="shared" si="9"/>
        <v>0</v>
      </c>
      <c r="E153" s="559">
        <f t="shared" si="10"/>
        <v>0</v>
      </c>
      <c r="G153" s="559">
        <f t="shared" si="11"/>
        <v>0</v>
      </c>
    </row>
    <row r="154" spans="2:7" x14ac:dyDescent="0.3">
      <c r="B154" s="561">
        <v>145</v>
      </c>
      <c r="C154" s="559">
        <f t="shared" si="8"/>
        <v>0</v>
      </c>
      <c r="D154" s="559">
        <f t="shared" si="9"/>
        <v>0</v>
      </c>
      <c r="E154" s="559">
        <f t="shared" si="10"/>
        <v>0</v>
      </c>
      <c r="G154" s="559">
        <f t="shared" si="11"/>
        <v>0</v>
      </c>
    </row>
    <row r="155" spans="2:7" x14ac:dyDescent="0.3">
      <c r="B155" s="561">
        <v>146</v>
      </c>
      <c r="C155" s="559">
        <f t="shared" si="8"/>
        <v>0</v>
      </c>
      <c r="D155" s="559">
        <f t="shared" si="9"/>
        <v>0</v>
      </c>
      <c r="E155" s="559">
        <f t="shared" si="10"/>
        <v>0</v>
      </c>
      <c r="G155" s="559">
        <f t="shared" si="11"/>
        <v>0</v>
      </c>
    </row>
    <row r="156" spans="2:7" x14ac:dyDescent="0.3">
      <c r="B156" s="561">
        <v>147</v>
      </c>
      <c r="C156" s="559">
        <f t="shared" si="8"/>
        <v>0</v>
      </c>
      <c r="D156" s="559">
        <f t="shared" si="9"/>
        <v>0</v>
      </c>
      <c r="E156" s="559">
        <f t="shared" si="10"/>
        <v>0</v>
      </c>
      <c r="G156" s="559">
        <f t="shared" si="11"/>
        <v>0</v>
      </c>
    </row>
    <row r="157" spans="2:7" x14ac:dyDescent="0.3">
      <c r="B157" s="561">
        <v>148</v>
      </c>
      <c r="C157" s="559">
        <f t="shared" si="8"/>
        <v>0</v>
      </c>
      <c r="D157" s="559">
        <f t="shared" si="9"/>
        <v>0</v>
      </c>
      <c r="E157" s="559">
        <f t="shared" si="10"/>
        <v>0</v>
      </c>
      <c r="G157" s="559">
        <f t="shared" si="11"/>
        <v>0</v>
      </c>
    </row>
    <row r="158" spans="2:7" x14ac:dyDescent="0.3">
      <c r="B158" s="561">
        <v>149</v>
      </c>
      <c r="C158" s="559">
        <f t="shared" si="8"/>
        <v>0</v>
      </c>
      <c r="D158" s="559">
        <f t="shared" si="9"/>
        <v>0</v>
      </c>
      <c r="E158" s="559">
        <f t="shared" si="10"/>
        <v>0</v>
      </c>
      <c r="G158" s="559">
        <f t="shared" si="11"/>
        <v>0</v>
      </c>
    </row>
    <row r="159" spans="2:7" x14ac:dyDescent="0.3">
      <c r="B159" s="561">
        <v>150</v>
      </c>
      <c r="C159" s="559">
        <f t="shared" si="8"/>
        <v>0</v>
      </c>
      <c r="D159" s="559">
        <f t="shared" si="9"/>
        <v>0</v>
      </c>
      <c r="E159" s="559">
        <f t="shared" si="10"/>
        <v>0</v>
      </c>
      <c r="G159" s="559">
        <f t="shared" si="11"/>
        <v>0</v>
      </c>
    </row>
    <row r="160" spans="2:7" x14ac:dyDescent="0.3">
      <c r="B160" s="561">
        <v>151</v>
      </c>
      <c r="C160" s="559">
        <f t="shared" si="8"/>
        <v>0</v>
      </c>
      <c r="D160" s="559">
        <f t="shared" si="9"/>
        <v>0</v>
      </c>
      <c r="E160" s="559">
        <f t="shared" si="10"/>
        <v>0</v>
      </c>
      <c r="G160" s="559">
        <f t="shared" si="11"/>
        <v>0</v>
      </c>
    </row>
    <row r="161" spans="2:7" x14ac:dyDescent="0.3">
      <c r="B161" s="561">
        <v>152</v>
      </c>
      <c r="C161" s="559">
        <f t="shared" si="8"/>
        <v>0</v>
      </c>
      <c r="D161" s="559">
        <f t="shared" si="9"/>
        <v>0</v>
      </c>
      <c r="E161" s="559">
        <f t="shared" si="10"/>
        <v>0</v>
      </c>
      <c r="G161" s="559">
        <f t="shared" si="11"/>
        <v>0</v>
      </c>
    </row>
    <row r="162" spans="2:7" x14ac:dyDescent="0.3">
      <c r="B162" s="561">
        <v>153</v>
      </c>
      <c r="C162" s="559">
        <f t="shared" si="8"/>
        <v>0</v>
      </c>
      <c r="D162" s="559">
        <f t="shared" si="9"/>
        <v>0</v>
      </c>
      <c r="E162" s="559">
        <f t="shared" si="10"/>
        <v>0</v>
      </c>
      <c r="G162" s="559">
        <f t="shared" si="11"/>
        <v>0</v>
      </c>
    </row>
    <row r="163" spans="2:7" x14ac:dyDescent="0.3">
      <c r="B163" s="561">
        <v>154</v>
      </c>
      <c r="C163" s="559">
        <f t="shared" si="8"/>
        <v>0</v>
      </c>
      <c r="D163" s="559">
        <f t="shared" si="9"/>
        <v>0</v>
      </c>
      <c r="E163" s="559">
        <f t="shared" si="10"/>
        <v>0</v>
      </c>
      <c r="G163" s="559">
        <f t="shared" si="11"/>
        <v>0</v>
      </c>
    </row>
    <row r="164" spans="2:7" x14ac:dyDescent="0.3">
      <c r="B164" s="561">
        <v>155</v>
      </c>
      <c r="C164" s="559">
        <f t="shared" si="8"/>
        <v>0</v>
      </c>
      <c r="D164" s="559">
        <f t="shared" si="9"/>
        <v>0</v>
      </c>
      <c r="E164" s="559">
        <f t="shared" si="10"/>
        <v>0</v>
      </c>
      <c r="G164" s="559">
        <f t="shared" si="11"/>
        <v>0</v>
      </c>
    </row>
    <row r="165" spans="2:7" x14ac:dyDescent="0.3">
      <c r="B165" s="561">
        <v>156</v>
      </c>
      <c r="C165" s="559">
        <f t="shared" si="8"/>
        <v>0</v>
      </c>
      <c r="D165" s="559">
        <f t="shared" si="9"/>
        <v>0</v>
      </c>
      <c r="E165" s="559">
        <f t="shared" si="10"/>
        <v>0</v>
      </c>
      <c r="G165" s="559">
        <f t="shared" si="11"/>
        <v>0</v>
      </c>
    </row>
    <row r="166" spans="2:7" x14ac:dyDescent="0.3">
      <c r="B166" s="561">
        <v>157</v>
      </c>
      <c r="C166" s="559">
        <f t="shared" si="8"/>
        <v>0</v>
      </c>
      <c r="D166" s="559">
        <f t="shared" si="9"/>
        <v>0</v>
      </c>
      <c r="E166" s="559">
        <f t="shared" si="10"/>
        <v>0</v>
      </c>
      <c r="G166" s="559">
        <f t="shared" si="11"/>
        <v>0</v>
      </c>
    </row>
    <row r="167" spans="2:7" x14ac:dyDescent="0.3">
      <c r="B167" s="561">
        <v>158</v>
      </c>
      <c r="C167" s="559">
        <f t="shared" si="8"/>
        <v>0</v>
      </c>
      <c r="D167" s="559">
        <f t="shared" si="9"/>
        <v>0</v>
      </c>
      <c r="E167" s="559">
        <f t="shared" si="10"/>
        <v>0</v>
      </c>
      <c r="G167" s="559">
        <f t="shared" si="11"/>
        <v>0</v>
      </c>
    </row>
    <row r="168" spans="2:7" x14ac:dyDescent="0.3">
      <c r="B168" s="561">
        <v>159</v>
      </c>
      <c r="C168" s="559">
        <f t="shared" si="8"/>
        <v>0</v>
      </c>
      <c r="D168" s="559">
        <f t="shared" si="9"/>
        <v>0</v>
      </c>
      <c r="E168" s="559">
        <f t="shared" si="10"/>
        <v>0</v>
      </c>
      <c r="G168" s="559">
        <f t="shared" si="11"/>
        <v>0</v>
      </c>
    </row>
    <row r="169" spans="2:7" x14ac:dyDescent="0.3">
      <c r="B169" s="561">
        <v>160</v>
      </c>
      <c r="C169" s="559">
        <f t="shared" si="8"/>
        <v>0</v>
      </c>
      <c r="D169" s="559">
        <f t="shared" si="9"/>
        <v>0</v>
      </c>
      <c r="E169" s="559">
        <f t="shared" si="10"/>
        <v>0</v>
      </c>
      <c r="G169" s="559">
        <f t="shared" si="11"/>
        <v>0</v>
      </c>
    </row>
    <row r="170" spans="2:7" x14ac:dyDescent="0.3">
      <c r="B170" s="561">
        <v>161</v>
      </c>
      <c r="C170" s="559">
        <f t="shared" si="8"/>
        <v>0</v>
      </c>
      <c r="D170" s="559">
        <f t="shared" si="9"/>
        <v>0</v>
      </c>
      <c r="E170" s="559">
        <f t="shared" si="10"/>
        <v>0</v>
      </c>
      <c r="G170" s="559">
        <f t="shared" si="11"/>
        <v>0</v>
      </c>
    </row>
    <row r="171" spans="2:7" x14ac:dyDescent="0.3">
      <c r="B171" s="561">
        <v>162</v>
      </c>
      <c r="C171" s="559">
        <f t="shared" si="8"/>
        <v>0</v>
      </c>
      <c r="D171" s="559">
        <f t="shared" si="9"/>
        <v>0</v>
      </c>
      <c r="E171" s="559">
        <f t="shared" si="10"/>
        <v>0</v>
      </c>
      <c r="G171" s="559">
        <f t="shared" si="11"/>
        <v>0</v>
      </c>
    </row>
    <row r="172" spans="2:7" x14ac:dyDescent="0.3">
      <c r="B172" s="561">
        <v>163</v>
      </c>
      <c r="C172" s="559">
        <f t="shared" si="8"/>
        <v>0</v>
      </c>
      <c r="D172" s="559">
        <f t="shared" si="9"/>
        <v>0</v>
      </c>
      <c r="E172" s="559">
        <f t="shared" si="10"/>
        <v>0</v>
      </c>
      <c r="G172" s="559">
        <f t="shared" si="11"/>
        <v>0</v>
      </c>
    </row>
    <row r="173" spans="2:7" x14ac:dyDescent="0.3">
      <c r="B173" s="561">
        <v>164</v>
      </c>
      <c r="C173" s="559">
        <f t="shared" si="8"/>
        <v>0</v>
      </c>
      <c r="D173" s="559">
        <f t="shared" si="9"/>
        <v>0</v>
      </c>
      <c r="E173" s="559">
        <f t="shared" si="10"/>
        <v>0</v>
      </c>
      <c r="G173" s="559">
        <f t="shared" si="11"/>
        <v>0</v>
      </c>
    </row>
    <row r="174" spans="2:7" x14ac:dyDescent="0.3">
      <c r="B174" s="561">
        <v>165</v>
      </c>
      <c r="C174" s="559">
        <f t="shared" si="8"/>
        <v>0</v>
      </c>
      <c r="D174" s="559">
        <f t="shared" si="9"/>
        <v>0</v>
      </c>
      <c r="E174" s="559">
        <f t="shared" si="10"/>
        <v>0</v>
      </c>
      <c r="G174" s="559">
        <f t="shared" si="11"/>
        <v>0</v>
      </c>
    </row>
    <row r="175" spans="2:7" x14ac:dyDescent="0.3">
      <c r="B175" s="561">
        <v>166</v>
      </c>
      <c r="C175" s="559">
        <f t="shared" si="8"/>
        <v>0</v>
      </c>
      <c r="D175" s="559">
        <f t="shared" si="9"/>
        <v>0</v>
      </c>
      <c r="E175" s="559">
        <f t="shared" si="10"/>
        <v>0</v>
      </c>
      <c r="G175" s="559">
        <f t="shared" si="11"/>
        <v>0</v>
      </c>
    </row>
    <row r="176" spans="2:7" x14ac:dyDescent="0.3">
      <c r="B176" s="561">
        <v>167</v>
      </c>
      <c r="C176" s="559">
        <f t="shared" si="8"/>
        <v>0</v>
      </c>
      <c r="D176" s="559">
        <f t="shared" si="9"/>
        <v>0</v>
      </c>
      <c r="E176" s="559">
        <f t="shared" si="10"/>
        <v>0</v>
      </c>
      <c r="G176" s="559">
        <f t="shared" si="11"/>
        <v>0</v>
      </c>
    </row>
    <row r="177" spans="2:7" x14ac:dyDescent="0.3">
      <c r="B177" s="561">
        <v>168</v>
      </c>
      <c r="C177" s="559">
        <f t="shared" si="8"/>
        <v>0</v>
      </c>
      <c r="D177" s="559">
        <f t="shared" si="9"/>
        <v>0</v>
      </c>
      <c r="E177" s="559">
        <f t="shared" si="10"/>
        <v>0</v>
      </c>
      <c r="G177" s="559">
        <f t="shared" si="11"/>
        <v>0</v>
      </c>
    </row>
    <row r="178" spans="2:7" x14ac:dyDescent="0.3">
      <c r="B178" s="561">
        <v>169</v>
      </c>
      <c r="C178" s="559">
        <f t="shared" si="8"/>
        <v>0</v>
      </c>
      <c r="D178" s="559">
        <f t="shared" si="9"/>
        <v>0</v>
      </c>
      <c r="E178" s="559">
        <f t="shared" si="10"/>
        <v>0</v>
      </c>
      <c r="G178" s="559">
        <f t="shared" si="11"/>
        <v>0</v>
      </c>
    </row>
    <row r="179" spans="2:7" x14ac:dyDescent="0.3">
      <c r="B179" s="561">
        <v>170</v>
      </c>
      <c r="C179" s="559">
        <f t="shared" si="8"/>
        <v>0</v>
      </c>
      <c r="D179" s="559">
        <f t="shared" si="9"/>
        <v>0</v>
      </c>
      <c r="E179" s="559">
        <f t="shared" si="10"/>
        <v>0</v>
      </c>
      <c r="G179" s="559">
        <f t="shared" si="11"/>
        <v>0</v>
      </c>
    </row>
    <row r="180" spans="2:7" x14ac:dyDescent="0.3">
      <c r="B180" s="561">
        <v>171</v>
      </c>
      <c r="C180" s="559">
        <f t="shared" si="8"/>
        <v>0</v>
      </c>
      <c r="D180" s="559">
        <f t="shared" si="9"/>
        <v>0</v>
      </c>
      <c r="E180" s="559">
        <f t="shared" si="10"/>
        <v>0</v>
      </c>
      <c r="G180" s="559">
        <f t="shared" si="11"/>
        <v>0</v>
      </c>
    </row>
    <row r="181" spans="2:7" x14ac:dyDescent="0.3">
      <c r="B181" s="561">
        <v>172</v>
      </c>
      <c r="C181" s="559">
        <f t="shared" si="8"/>
        <v>0</v>
      </c>
      <c r="D181" s="559">
        <f t="shared" si="9"/>
        <v>0</v>
      </c>
      <c r="E181" s="559">
        <f t="shared" si="10"/>
        <v>0</v>
      </c>
      <c r="G181" s="559">
        <f t="shared" si="11"/>
        <v>0</v>
      </c>
    </row>
    <row r="182" spans="2:7" x14ac:dyDescent="0.3">
      <c r="B182" s="561">
        <v>173</v>
      </c>
      <c r="C182" s="559">
        <f t="shared" si="8"/>
        <v>0</v>
      </c>
      <c r="D182" s="559">
        <f t="shared" si="9"/>
        <v>0</v>
      </c>
      <c r="E182" s="559">
        <f t="shared" si="10"/>
        <v>0</v>
      </c>
      <c r="G182" s="559">
        <f t="shared" si="11"/>
        <v>0</v>
      </c>
    </row>
    <row r="183" spans="2:7" x14ac:dyDescent="0.3">
      <c r="B183" s="561">
        <v>174</v>
      </c>
      <c r="C183" s="559">
        <f t="shared" si="8"/>
        <v>0</v>
      </c>
      <c r="D183" s="559">
        <f t="shared" si="9"/>
        <v>0</v>
      </c>
      <c r="E183" s="559">
        <f t="shared" si="10"/>
        <v>0</v>
      </c>
      <c r="G183" s="559">
        <f t="shared" si="11"/>
        <v>0</v>
      </c>
    </row>
    <row r="184" spans="2:7" x14ac:dyDescent="0.3">
      <c r="B184" s="561">
        <v>175</v>
      </c>
      <c r="C184" s="559">
        <f t="shared" si="8"/>
        <v>0</v>
      </c>
      <c r="D184" s="559">
        <f t="shared" si="9"/>
        <v>0</v>
      </c>
      <c r="E184" s="559">
        <f t="shared" si="10"/>
        <v>0</v>
      </c>
      <c r="G184" s="559">
        <f t="shared" si="11"/>
        <v>0</v>
      </c>
    </row>
    <row r="185" spans="2:7" x14ac:dyDescent="0.3">
      <c r="B185" s="561">
        <v>176</v>
      </c>
      <c r="C185" s="559">
        <f t="shared" si="8"/>
        <v>0</v>
      </c>
      <c r="D185" s="559">
        <f t="shared" si="9"/>
        <v>0</v>
      </c>
      <c r="E185" s="559">
        <f t="shared" si="10"/>
        <v>0</v>
      </c>
      <c r="G185" s="559">
        <f t="shared" si="11"/>
        <v>0</v>
      </c>
    </row>
    <row r="186" spans="2:7" x14ac:dyDescent="0.3">
      <c r="B186" s="561">
        <v>177</v>
      </c>
      <c r="C186" s="559">
        <f t="shared" si="8"/>
        <v>0</v>
      </c>
      <c r="D186" s="559">
        <f t="shared" si="9"/>
        <v>0</v>
      </c>
      <c r="E186" s="559">
        <f t="shared" si="10"/>
        <v>0</v>
      </c>
      <c r="G186" s="559">
        <f t="shared" si="11"/>
        <v>0</v>
      </c>
    </row>
    <row r="187" spans="2:7" x14ac:dyDescent="0.3">
      <c r="B187" s="561">
        <v>178</v>
      </c>
      <c r="C187" s="559">
        <f t="shared" si="8"/>
        <v>0</v>
      </c>
      <c r="D187" s="559">
        <f t="shared" si="9"/>
        <v>0</v>
      </c>
      <c r="E187" s="559">
        <f t="shared" si="10"/>
        <v>0</v>
      </c>
      <c r="G187" s="559">
        <f t="shared" si="11"/>
        <v>0</v>
      </c>
    </row>
    <row r="188" spans="2:7" x14ac:dyDescent="0.3">
      <c r="B188" s="561">
        <v>179</v>
      </c>
      <c r="C188" s="559">
        <f t="shared" si="8"/>
        <v>0</v>
      </c>
      <c r="D188" s="559">
        <f t="shared" si="9"/>
        <v>0</v>
      </c>
      <c r="E188" s="559">
        <f t="shared" si="10"/>
        <v>0</v>
      </c>
      <c r="G188" s="559">
        <f t="shared" si="11"/>
        <v>0</v>
      </c>
    </row>
    <row r="189" spans="2:7" x14ac:dyDescent="0.3">
      <c r="B189" s="561">
        <v>180</v>
      </c>
      <c r="C189" s="559">
        <f t="shared" si="8"/>
        <v>0</v>
      </c>
      <c r="D189" s="559">
        <f t="shared" si="9"/>
        <v>0</v>
      </c>
      <c r="E189" s="559">
        <f t="shared" si="10"/>
        <v>0</v>
      </c>
      <c r="G189" s="559">
        <f t="shared" si="11"/>
        <v>0</v>
      </c>
    </row>
    <row r="190" spans="2:7" x14ac:dyDescent="0.3">
      <c r="B190" s="561">
        <v>181</v>
      </c>
      <c r="C190" s="559">
        <f t="shared" si="8"/>
        <v>0</v>
      </c>
      <c r="D190" s="559">
        <f t="shared" si="9"/>
        <v>0</v>
      </c>
      <c r="E190" s="559">
        <f t="shared" si="10"/>
        <v>0</v>
      </c>
      <c r="G190" s="559">
        <f t="shared" si="11"/>
        <v>0</v>
      </c>
    </row>
    <row r="191" spans="2:7" x14ac:dyDescent="0.3">
      <c r="B191" s="561">
        <v>182</v>
      </c>
      <c r="C191" s="559">
        <f t="shared" si="8"/>
        <v>0</v>
      </c>
      <c r="D191" s="559">
        <f t="shared" si="9"/>
        <v>0</v>
      </c>
      <c r="E191" s="559">
        <f t="shared" si="10"/>
        <v>0</v>
      </c>
      <c r="G191" s="559">
        <f t="shared" si="11"/>
        <v>0</v>
      </c>
    </row>
    <row r="192" spans="2:7" x14ac:dyDescent="0.3">
      <c r="B192" s="561">
        <v>183</v>
      </c>
      <c r="C192" s="559">
        <f t="shared" si="8"/>
        <v>0</v>
      </c>
      <c r="D192" s="559">
        <f t="shared" si="9"/>
        <v>0</v>
      </c>
      <c r="E192" s="559">
        <f t="shared" si="10"/>
        <v>0</v>
      </c>
      <c r="G192" s="559">
        <f t="shared" si="11"/>
        <v>0</v>
      </c>
    </row>
    <row r="193" spans="2:7" x14ac:dyDescent="0.3">
      <c r="B193" s="561">
        <v>184</v>
      </c>
      <c r="C193" s="559">
        <f t="shared" si="8"/>
        <v>0</v>
      </c>
      <c r="D193" s="559">
        <f t="shared" si="9"/>
        <v>0</v>
      </c>
      <c r="E193" s="559">
        <f t="shared" si="10"/>
        <v>0</v>
      </c>
      <c r="G193" s="559">
        <f t="shared" si="11"/>
        <v>0</v>
      </c>
    </row>
    <row r="194" spans="2:7" x14ac:dyDescent="0.3">
      <c r="B194" s="561">
        <v>185</v>
      </c>
      <c r="C194" s="559">
        <f t="shared" si="8"/>
        <v>0</v>
      </c>
      <c r="D194" s="559">
        <f t="shared" si="9"/>
        <v>0</v>
      </c>
      <c r="E194" s="559">
        <f t="shared" si="10"/>
        <v>0</v>
      </c>
      <c r="G194" s="559">
        <f t="shared" si="11"/>
        <v>0</v>
      </c>
    </row>
    <row r="195" spans="2:7" x14ac:dyDescent="0.3">
      <c r="B195" s="561">
        <v>186</v>
      </c>
      <c r="C195" s="559">
        <f t="shared" si="8"/>
        <v>0</v>
      </c>
      <c r="D195" s="559">
        <f t="shared" si="9"/>
        <v>0</v>
      </c>
      <c r="E195" s="559">
        <f t="shared" si="10"/>
        <v>0</v>
      </c>
      <c r="G195" s="559">
        <f t="shared" si="11"/>
        <v>0</v>
      </c>
    </row>
    <row r="196" spans="2:7" x14ac:dyDescent="0.3">
      <c r="B196" s="561">
        <v>187</v>
      </c>
      <c r="C196" s="559">
        <f t="shared" si="8"/>
        <v>0</v>
      </c>
      <c r="D196" s="559">
        <f t="shared" si="9"/>
        <v>0</v>
      </c>
      <c r="E196" s="559">
        <f t="shared" si="10"/>
        <v>0</v>
      </c>
      <c r="G196" s="559">
        <f t="shared" si="11"/>
        <v>0</v>
      </c>
    </row>
    <row r="197" spans="2:7" x14ac:dyDescent="0.3">
      <c r="B197" s="561">
        <v>188</v>
      </c>
      <c r="C197" s="559">
        <f t="shared" si="8"/>
        <v>0</v>
      </c>
      <c r="D197" s="559">
        <f t="shared" si="9"/>
        <v>0</v>
      </c>
      <c r="E197" s="559">
        <f t="shared" si="10"/>
        <v>0</v>
      </c>
      <c r="G197" s="559">
        <f t="shared" si="11"/>
        <v>0</v>
      </c>
    </row>
    <row r="198" spans="2:7" x14ac:dyDescent="0.3">
      <c r="B198" s="561">
        <v>189</v>
      </c>
      <c r="C198" s="559">
        <f t="shared" si="8"/>
        <v>0</v>
      </c>
      <c r="D198" s="559">
        <f t="shared" si="9"/>
        <v>0</v>
      </c>
      <c r="E198" s="559">
        <f t="shared" si="10"/>
        <v>0</v>
      </c>
      <c r="G198" s="559">
        <f t="shared" si="11"/>
        <v>0</v>
      </c>
    </row>
    <row r="199" spans="2:7" x14ac:dyDescent="0.3">
      <c r="B199" s="561">
        <v>190</v>
      </c>
      <c r="C199" s="559">
        <f t="shared" si="8"/>
        <v>0</v>
      </c>
      <c r="D199" s="559">
        <f t="shared" si="9"/>
        <v>0</v>
      </c>
      <c r="E199" s="559">
        <f t="shared" si="10"/>
        <v>0</v>
      </c>
      <c r="G199" s="559">
        <f t="shared" si="11"/>
        <v>0</v>
      </c>
    </row>
    <row r="200" spans="2:7" x14ac:dyDescent="0.3">
      <c r="B200" s="561">
        <v>191</v>
      </c>
      <c r="C200" s="559">
        <f t="shared" si="8"/>
        <v>0</v>
      </c>
      <c r="D200" s="559">
        <f t="shared" si="9"/>
        <v>0</v>
      </c>
      <c r="E200" s="559">
        <f t="shared" si="10"/>
        <v>0</v>
      </c>
      <c r="G200" s="559">
        <f t="shared" si="11"/>
        <v>0</v>
      </c>
    </row>
    <row r="201" spans="2:7" x14ac:dyDescent="0.3">
      <c r="B201" s="561">
        <v>192</v>
      </c>
      <c r="C201" s="559">
        <f t="shared" si="8"/>
        <v>0</v>
      </c>
      <c r="D201" s="559">
        <f t="shared" si="9"/>
        <v>0</v>
      </c>
      <c r="E201" s="559">
        <f t="shared" si="10"/>
        <v>0</v>
      </c>
      <c r="G201" s="559">
        <f t="shared" si="11"/>
        <v>0</v>
      </c>
    </row>
    <row r="202" spans="2:7" x14ac:dyDescent="0.3">
      <c r="B202" s="561">
        <v>193</v>
      </c>
      <c r="C202" s="559">
        <f t="shared" ref="C202:C265" si="12">IF($C$3&lt;G202+(G202*($C$4/$C$6)),$C$3,G202+(G202*($C$4/$C$6)))</f>
        <v>0</v>
      </c>
      <c r="D202" s="559">
        <f t="shared" ref="D202:D265" si="13">G202*$C$4/$C$6</f>
        <v>0</v>
      </c>
      <c r="E202" s="559">
        <f t="shared" ref="E202:E265" si="14">C202-D202</f>
        <v>0</v>
      </c>
      <c r="G202" s="559">
        <f t="shared" si="11"/>
        <v>0</v>
      </c>
    </row>
    <row r="203" spans="2:7" x14ac:dyDescent="0.3">
      <c r="B203" s="561">
        <v>194</v>
      </c>
      <c r="C203" s="559">
        <f t="shared" si="12"/>
        <v>0</v>
      </c>
      <c r="D203" s="559">
        <f t="shared" si="13"/>
        <v>0</v>
      </c>
      <c r="E203" s="559">
        <f t="shared" si="14"/>
        <v>0</v>
      </c>
      <c r="G203" s="559">
        <f t="shared" ref="G203:G266" si="15">G202-E202-F202</f>
        <v>0</v>
      </c>
    </row>
    <row r="204" spans="2:7" x14ac:dyDescent="0.3">
      <c r="B204" s="561">
        <v>195</v>
      </c>
      <c r="C204" s="559">
        <f t="shared" si="12"/>
        <v>0</v>
      </c>
      <c r="D204" s="559">
        <f t="shared" si="13"/>
        <v>0</v>
      </c>
      <c r="E204" s="559">
        <f t="shared" si="14"/>
        <v>0</v>
      </c>
      <c r="G204" s="559">
        <f t="shared" si="15"/>
        <v>0</v>
      </c>
    </row>
    <row r="205" spans="2:7" x14ac:dyDescent="0.3">
      <c r="B205" s="561">
        <v>196</v>
      </c>
      <c r="C205" s="559">
        <f t="shared" si="12"/>
        <v>0</v>
      </c>
      <c r="D205" s="559">
        <f t="shared" si="13"/>
        <v>0</v>
      </c>
      <c r="E205" s="559">
        <f t="shared" si="14"/>
        <v>0</v>
      </c>
      <c r="G205" s="559">
        <f t="shared" si="15"/>
        <v>0</v>
      </c>
    </row>
    <row r="206" spans="2:7" x14ac:dyDescent="0.3">
      <c r="B206" s="561">
        <v>197</v>
      </c>
      <c r="C206" s="559">
        <f t="shared" si="12"/>
        <v>0</v>
      </c>
      <c r="D206" s="559">
        <f t="shared" si="13"/>
        <v>0</v>
      </c>
      <c r="E206" s="559">
        <f t="shared" si="14"/>
        <v>0</v>
      </c>
      <c r="G206" s="559">
        <f t="shared" si="15"/>
        <v>0</v>
      </c>
    </row>
    <row r="207" spans="2:7" x14ac:dyDescent="0.3">
      <c r="B207" s="561">
        <v>198</v>
      </c>
      <c r="C207" s="559">
        <f t="shared" si="12"/>
        <v>0</v>
      </c>
      <c r="D207" s="559">
        <f t="shared" si="13"/>
        <v>0</v>
      </c>
      <c r="E207" s="559">
        <f t="shared" si="14"/>
        <v>0</v>
      </c>
      <c r="G207" s="559">
        <f t="shared" si="15"/>
        <v>0</v>
      </c>
    </row>
    <row r="208" spans="2:7" x14ac:dyDescent="0.3">
      <c r="B208" s="561">
        <v>199</v>
      </c>
      <c r="C208" s="559">
        <f t="shared" si="12"/>
        <v>0</v>
      </c>
      <c r="D208" s="559">
        <f t="shared" si="13"/>
        <v>0</v>
      </c>
      <c r="E208" s="559">
        <f t="shared" si="14"/>
        <v>0</v>
      </c>
      <c r="G208" s="559">
        <f t="shared" si="15"/>
        <v>0</v>
      </c>
    </row>
    <row r="209" spans="2:7" x14ac:dyDescent="0.3">
      <c r="B209" s="561">
        <v>200</v>
      </c>
      <c r="C209" s="559">
        <f t="shared" si="12"/>
        <v>0</v>
      </c>
      <c r="D209" s="559">
        <f t="shared" si="13"/>
        <v>0</v>
      </c>
      <c r="E209" s="559">
        <f t="shared" si="14"/>
        <v>0</v>
      </c>
      <c r="G209" s="559">
        <f t="shared" si="15"/>
        <v>0</v>
      </c>
    </row>
    <row r="210" spans="2:7" x14ac:dyDescent="0.3">
      <c r="B210" s="561">
        <v>201</v>
      </c>
      <c r="C210" s="559">
        <f t="shared" si="12"/>
        <v>0</v>
      </c>
      <c r="D210" s="559">
        <f t="shared" si="13"/>
        <v>0</v>
      </c>
      <c r="E210" s="559">
        <f t="shared" si="14"/>
        <v>0</v>
      </c>
      <c r="G210" s="559">
        <f t="shared" si="15"/>
        <v>0</v>
      </c>
    </row>
    <row r="211" spans="2:7" x14ac:dyDescent="0.3">
      <c r="B211" s="561">
        <v>202</v>
      </c>
      <c r="C211" s="559">
        <f t="shared" si="12"/>
        <v>0</v>
      </c>
      <c r="D211" s="559">
        <f t="shared" si="13"/>
        <v>0</v>
      </c>
      <c r="E211" s="559">
        <f t="shared" si="14"/>
        <v>0</v>
      </c>
      <c r="G211" s="559">
        <f t="shared" si="15"/>
        <v>0</v>
      </c>
    </row>
    <row r="212" spans="2:7" x14ac:dyDescent="0.3">
      <c r="B212" s="561">
        <v>203</v>
      </c>
      <c r="C212" s="559">
        <f t="shared" si="12"/>
        <v>0</v>
      </c>
      <c r="D212" s="559">
        <f t="shared" si="13"/>
        <v>0</v>
      </c>
      <c r="E212" s="559">
        <f t="shared" si="14"/>
        <v>0</v>
      </c>
      <c r="G212" s="559">
        <f t="shared" si="15"/>
        <v>0</v>
      </c>
    </row>
    <row r="213" spans="2:7" x14ac:dyDescent="0.3">
      <c r="B213" s="561">
        <v>204</v>
      </c>
      <c r="C213" s="559">
        <f t="shared" si="12"/>
        <v>0</v>
      </c>
      <c r="D213" s="559">
        <f t="shared" si="13"/>
        <v>0</v>
      </c>
      <c r="E213" s="559">
        <f t="shared" si="14"/>
        <v>0</v>
      </c>
      <c r="G213" s="559">
        <f t="shared" si="15"/>
        <v>0</v>
      </c>
    </row>
    <row r="214" spans="2:7" x14ac:dyDescent="0.3">
      <c r="B214" s="561">
        <v>205</v>
      </c>
      <c r="C214" s="559">
        <f t="shared" si="12"/>
        <v>0</v>
      </c>
      <c r="D214" s="559">
        <f t="shared" si="13"/>
        <v>0</v>
      </c>
      <c r="E214" s="559">
        <f t="shared" si="14"/>
        <v>0</v>
      </c>
      <c r="G214" s="559">
        <f t="shared" si="15"/>
        <v>0</v>
      </c>
    </row>
    <row r="215" spans="2:7" x14ac:dyDescent="0.3">
      <c r="B215" s="561">
        <v>206</v>
      </c>
      <c r="C215" s="559">
        <f t="shared" si="12"/>
        <v>0</v>
      </c>
      <c r="D215" s="559">
        <f t="shared" si="13"/>
        <v>0</v>
      </c>
      <c r="E215" s="559">
        <f t="shared" si="14"/>
        <v>0</v>
      </c>
      <c r="G215" s="559">
        <f t="shared" si="15"/>
        <v>0</v>
      </c>
    </row>
    <row r="216" spans="2:7" x14ac:dyDescent="0.3">
      <c r="B216" s="561">
        <v>207</v>
      </c>
      <c r="C216" s="559">
        <f t="shared" si="12"/>
        <v>0</v>
      </c>
      <c r="D216" s="559">
        <f t="shared" si="13"/>
        <v>0</v>
      </c>
      <c r="E216" s="559">
        <f t="shared" si="14"/>
        <v>0</v>
      </c>
      <c r="G216" s="559">
        <f t="shared" si="15"/>
        <v>0</v>
      </c>
    </row>
    <row r="217" spans="2:7" x14ac:dyDescent="0.3">
      <c r="B217" s="561">
        <v>208</v>
      </c>
      <c r="C217" s="559">
        <f t="shared" si="12"/>
        <v>0</v>
      </c>
      <c r="D217" s="559">
        <f t="shared" si="13"/>
        <v>0</v>
      </c>
      <c r="E217" s="559">
        <f t="shared" si="14"/>
        <v>0</v>
      </c>
      <c r="G217" s="559">
        <f t="shared" si="15"/>
        <v>0</v>
      </c>
    </row>
    <row r="218" spans="2:7" x14ac:dyDescent="0.3">
      <c r="B218" s="561">
        <v>209</v>
      </c>
      <c r="C218" s="559">
        <f t="shared" si="12"/>
        <v>0</v>
      </c>
      <c r="D218" s="559">
        <f t="shared" si="13"/>
        <v>0</v>
      </c>
      <c r="E218" s="559">
        <f t="shared" si="14"/>
        <v>0</v>
      </c>
      <c r="G218" s="559">
        <f t="shared" si="15"/>
        <v>0</v>
      </c>
    </row>
    <row r="219" spans="2:7" x14ac:dyDescent="0.3">
      <c r="B219" s="561">
        <v>210</v>
      </c>
      <c r="C219" s="559">
        <f t="shared" si="12"/>
        <v>0</v>
      </c>
      <c r="D219" s="559">
        <f t="shared" si="13"/>
        <v>0</v>
      </c>
      <c r="E219" s="559">
        <f t="shared" si="14"/>
        <v>0</v>
      </c>
      <c r="G219" s="559">
        <f t="shared" si="15"/>
        <v>0</v>
      </c>
    </row>
    <row r="220" spans="2:7" x14ac:dyDescent="0.3">
      <c r="B220" s="561">
        <v>211</v>
      </c>
      <c r="C220" s="559">
        <f t="shared" si="12"/>
        <v>0</v>
      </c>
      <c r="D220" s="559">
        <f t="shared" si="13"/>
        <v>0</v>
      </c>
      <c r="E220" s="559">
        <f t="shared" si="14"/>
        <v>0</v>
      </c>
      <c r="G220" s="559">
        <f t="shared" si="15"/>
        <v>0</v>
      </c>
    </row>
    <row r="221" spans="2:7" x14ac:dyDescent="0.3">
      <c r="B221" s="561">
        <v>212</v>
      </c>
      <c r="C221" s="559">
        <f t="shared" si="12"/>
        <v>0</v>
      </c>
      <c r="D221" s="559">
        <f t="shared" si="13"/>
        <v>0</v>
      </c>
      <c r="E221" s="559">
        <f t="shared" si="14"/>
        <v>0</v>
      </c>
      <c r="G221" s="559">
        <f t="shared" si="15"/>
        <v>0</v>
      </c>
    </row>
    <row r="222" spans="2:7" x14ac:dyDescent="0.3">
      <c r="B222" s="561">
        <v>213</v>
      </c>
      <c r="C222" s="559">
        <f t="shared" si="12"/>
        <v>0</v>
      </c>
      <c r="D222" s="559">
        <f t="shared" si="13"/>
        <v>0</v>
      </c>
      <c r="E222" s="559">
        <f t="shared" si="14"/>
        <v>0</v>
      </c>
      <c r="G222" s="559">
        <f t="shared" si="15"/>
        <v>0</v>
      </c>
    </row>
    <row r="223" spans="2:7" x14ac:dyDescent="0.3">
      <c r="B223" s="561">
        <v>214</v>
      </c>
      <c r="C223" s="559">
        <f t="shared" si="12"/>
        <v>0</v>
      </c>
      <c r="D223" s="559">
        <f t="shared" si="13"/>
        <v>0</v>
      </c>
      <c r="E223" s="559">
        <f t="shared" si="14"/>
        <v>0</v>
      </c>
      <c r="G223" s="559">
        <f t="shared" si="15"/>
        <v>0</v>
      </c>
    </row>
    <row r="224" spans="2:7" x14ac:dyDescent="0.3">
      <c r="B224" s="561">
        <v>215</v>
      </c>
      <c r="C224" s="559">
        <f t="shared" si="12"/>
        <v>0</v>
      </c>
      <c r="D224" s="559">
        <f t="shared" si="13"/>
        <v>0</v>
      </c>
      <c r="E224" s="559">
        <f t="shared" si="14"/>
        <v>0</v>
      </c>
      <c r="G224" s="559">
        <f t="shared" si="15"/>
        <v>0</v>
      </c>
    </row>
    <row r="225" spans="2:7" x14ac:dyDescent="0.3">
      <c r="B225" s="561">
        <v>216</v>
      </c>
      <c r="C225" s="559">
        <f t="shared" si="12"/>
        <v>0</v>
      </c>
      <c r="D225" s="559">
        <f t="shared" si="13"/>
        <v>0</v>
      </c>
      <c r="E225" s="559">
        <f t="shared" si="14"/>
        <v>0</v>
      </c>
      <c r="G225" s="559">
        <f t="shared" si="15"/>
        <v>0</v>
      </c>
    </row>
    <row r="226" spans="2:7" x14ac:dyDescent="0.3">
      <c r="B226" s="561">
        <v>217</v>
      </c>
      <c r="C226" s="559">
        <f t="shared" si="12"/>
        <v>0</v>
      </c>
      <c r="D226" s="559">
        <f t="shared" si="13"/>
        <v>0</v>
      </c>
      <c r="E226" s="559">
        <f t="shared" si="14"/>
        <v>0</v>
      </c>
      <c r="G226" s="559">
        <f t="shared" si="15"/>
        <v>0</v>
      </c>
    </row>
    <row r="227" spans="2:7" x14ac:dyDescent="0.3">
      <c r="B227" s="561">
        <v>218</v>
      </c>
      <c r="C227" s="559">
        <f t="shared" si="12"/>
        <v>0</v>
      </c>
      <c r="D227" s="559">
        <f t="shared" si="13"/>
        <v>0</v>
      </c>
      <c r="E227" s="559">
        <f t="shared" si="14"/>
        <v>0</v>
      </c>
      <c r="G227" s="559">
        <f t="shared" si="15"/>
        <v>0</v>
      </c>
    </row>
    <row r="228" spans="2:7" x14ac:dyDescent="0.3">
      <c r="B228" s="561">
        <v>219</v>
      </c>
      <c r="C228" s="559">
        <f t="shared" si="12"/>
        <v>0</v>
      </c>
      <c r="D228" s="559">
        <f t="shared" si="13"/>
        <v>0</v>
      </c>
      <c r="E228" s="559">
        <f t="shared" si="14"/>
        <v>0</v>
      </c>
      <c r="G228" s="559">
        <f t="shared" si="15"/>
        <v>0</v>
      </c>
    </row>
    <row r="229" spans="2:7" x14ac:dyDescent="0.3">
      <c r="B229" s="561">
        <v>220</v>
      </c>
      <c r="C229" s="559">
        <f t="shared" si="12"/>
        <v>0</v>
      </c>
      <c r="D229" s="559">
        <f t="shared" si="13"/>
        <v>0</v>
      </c>
      <c r="E229" s="559">
        <f t="shared" si="14"/>
        <v>0</v>
      </c>
      <c r="G229" s="559">
        <f t="shared" si="15"/>
        <v>0</v>
      </c>
    </row>
    <row r="230" spans="2:7" x14ac:dyDescent="0.3">
      <c r="B230" s="561">
        <v>221</v>
      </c>
      <c r="C230" s="559">
        <f t="shared" si="12"/>
        <v>0</v>
      </c>
      <c r="D230" s="559">
        <f t="shared" si="13"/>
        <v>0</v>
      </c>
      <c r="E230" s="559">
        <f t="shared" si="14"/>
        <v>0</v>
      </c>
      <c r="G230" s="559">
        <f t="shared" si="15"/>
        <v>0</v>
      </c>
    </row>
    <row r="231" spans="2:7" x14ac:dyDescent="0.3">
      <c r="B231" s="561">
        <v>222</v>
      </c>
      <c r="C231" s="559">
        <f t="shared" si="12"/>
        <v>0</v>
      </c>
      <c r="D231" s="559">
        <f t="shared" si="13"/>
        <v>0</v>
      </c>
      <c r="E231" s="559">
        <f t="shared" si="14"/>
        <v>0</v>
      </c>
      <c r="G231" s="559">
        <f t="shared" si="15"/>
        <v>0</v>
      </c>
    </row>
    <row r="232" spans="2:7" x14ac:dyDescent="0.3">
      <c r="B232" s="561">
        <v>223</v>
      </c>
      <c r="C232" s="559">
        <f t="shared" si="12"/>
        <v>0</v>
      </c>
      <c r="D232" s="559">
        <f t="shared" si="13"/>
        <v>0</v>
      </c>
      <c r="E232" s="559">
        <f t="shared" si="14"/>
        <v>0</v>
      </c>
      <c r="G232" s="559">
        <f t="shared" si="15"/>
        <v>0</v>
      </c>
    </row>
    <row r="233" spans="2:7" x14ac:dyDescent="0.3">
      <c r="B233" s="561">
        <v>224</v>
      </c>
      <c r="C233" s="559">
        <f t="shared" si="12"/>
        <v>0</v>
      </c>
      <c r="D233" s="559">
        <f t="shared" si="13"/>
        <v>0</v>
      </c>
      <c r="E233" s="559">
        <f t="shared" si="14"/>
        <v>0</v>
      </c>
      <c r="G233" s="559">
        <f t="shared" si="15"/>
        <v>0</v>
      </c>
    </row>
    <row r="234" spans="2:7" x14ac:dyDescent="0.3">
      <c r="B234" s="561">
        <v>225</v>
      </c>
      <c r="C234" s="559">
        <f t="shared" si="12"/>
        <v>0</v>
      </c>
      <c r="D234" s="559">
        <f t="shared" si="13"/>
        <v>0</v>
      </c>
      <c r="E234" s="559">
        <f t="shared" si="14"/>
        <v>0</v>
      </c>
      <c r="G234" s="559">
        <f t="shared" si="15"/>
        <v>0</v>
      </c>
    </row>
    <row r="235" spans="2:7" x14ac:dyDescent="0.3">
      <c r="B235" s="561">
        <v>226</v>
      </c>
      <c r="C235" s="559">
        <f t="shared" si="12"/>
        <v>0</v>
      </c>
      <c r="D235" s="559">
        <f t="shared" si="13"/>
        <v>0</v>
      </c>
      <c r="E235" s="559">
        <f t="shared" si="14"/>
        <v>0</v>
      </c>
      <c r="G235" s="559">
        <f t="shared" si="15"/>
        <v>0</v>
      </c>
    </row>
    <row r="236" spans="2:7" x14ac:dyDescent="0.3">
      <c r="B236" s="561">
        <v>227</v>
      </c>
      <c r="C236" s="559">
        <f t="shared" si="12"/>
        <v>0</v>
      </c>
      <c r="D236" s="559">
        <f t="shared" si="13"/>
        <v>0</v>
      </c>
      <c r="E236" s="559">
        <f t="shared" si="14"/>
        <v>0</v>
      </c>
      <c r="G236" s="559">
        <f t="shared" si="15"/>
        <v>0</v>
      </c>
    </row>
    <row r="237" spans="2:7" x14ac:dyDescent="0.3">
      <c r="B237" s="561">
        <v>228</v>
      </c>
      <c r="C237" s="559">
        <f t="shared" si="12"/>
        <v>0</v>
      </c>
      <c r="D237" s="559">
        <f t="shared" si="13"/>
        <v>0</v>
      </c>
      <c r="E237" s="559">
        <f t="shared" si="14"/>
        <v>0</v>
      </c>
      <c r="G237" s="559">
        <f t="shared" si="15"/>
        <v>0</v>
      </c>
    </row>
    <row r="238" spans="2:7" x14ac:dyDescent="0.3">
      <c r="B238" s="561">
        <v>229</v>
      </c>
      <c r="C238" s="559">
        <f t="shared" si="12"/>
        <v>0</v>
      </c>
      <c r="D238" s="559">
        <f t="shared" si="13"/>
        <v>0</v>
      </c>
      <c r="E238" s="559">
        <f t="shared" si="14"/>
        <v>0</v>
      </c>
      <c r="G238" s="559">
        <f t="shared" si="15"/>
        <v>0</v>
      </c>
    </row>
    <row r="239" spans="2:7" x14ac:dyDescent="0.3">
      <c r="B239" s="561">
        <v>230</v>
      </c>
      <c r="C239" s="559">
        <f t="shared" si="12"/>
        <v>0</v>
      </c>
      <c r="D239" s="559">
        <f t="shared" si="13"/>
        <v>0</v>
      </c>
      <c r="E239" s="559">
        <f t="shared" si="14"/>
        <v>0</v>
      </c>
      <c r="G239" s="559">
        <f t="shared" si="15"/>
        <v>0</v>
      </c>
    </row>
    <row r="240" spans="2:7" x14ac:dyDescent="0.3">
      <c r="B240" s="561">
        <v>231</v>
      </c>
      <c r="C240" s="559">
        <f t="shared" si="12"/>
        <v>0</v>
      </c>
      <c r="D240" s="559">
        <f t="shared" si="13"/>
        <v>0</v>
      </c>
      <c r="E240" s="559">
        <f t="shared" si="14"/>
        <v>0</v>
      </c>
      <c r="G240" s="559">
        <f t="shared" si="15"/>
        <v>0</v>
      </c>
    </row>
    <row r="241" spans="2:7" x14ac:dyDescent="0.3">
      <c r="B241" s="561">
        <v>232</v>
      </c>
      <c r="C241" s="559">
        <f t="shared" si="12"/>
        <v>0</v>
      </c>
      <c r="D241" s="559">
        <f t="shared" si="13"/>
        <v>0</v>
      </c>
      <c r="E241" s="559">
        <f t="shared" si="14"/>
        <v>0</v>
      </c>
      <c r="G241" s="559">
        <f t="shared" si="15"/>
        <v>0</v>
      </c>
    </row>
    <row r="242" spans="2:7" x14ac:dyDescent="0.3">
      <c r="B242" s="561">
        <v>233</v>
      </c>
      <c r="C242" s="559">
        <f t="shared" si="12"/>
        <v>0</v>
      </c>
      <c r="D242" s="559">
        <f t="shared" si="13"/>
        <v>0</v>
      </c>
      <c r="E242" s="559">
        <f t="shared" si="14"/>
        <v>0</v>
      </c>
      <c r="G242" s="559">
        <f t="shared" si="15"/>
        <v>0</v>
      </c>
    </row>
    <row r="243" spans="2:7" x14ac:dyDescent="0.3">
      <c r="B243" s="561">
        <v>234</v>
      </c>
      <c r="C243" s="559">
        <f t="shared" si="12"/>
        <v>0</v>
      </c>
      <c r="D243" s="559">
        <f t="shared" si="13"/>
        <v>0</v>
      </c>
      <c r="E243" s="559">
        <f t="shared" si="14"/>
        <v>0</v>
      </c>
      <c r="G243" s="559">
        <f t="shared" si="15"/>
        <v>0</v>
      </c>
    </row>
    <row r="244" spans="2:7" x14ac:dyDescent="0.3">
      <c r="B244" s="561">
        <v>235</v>
      </c>
      <c r="C244" s="559">
        <f t="shared" si="12"/>
        <v>0</v>
      </c>
      <c r="D244" s="559">
        <f t="shared" si="13"/>
        <v>0</v>
      </c>
      <c r="E244" s="559">
        <f t="shared" si="14"/>
        <v>0</v>
      </c>
      <c r="G244" s="559">
        <f t="shared" si="15"/>
        <v>0</v>
      </c>
    </row>
    <row r="245" spans="2:7" x14ac:dyDescent="0.3">
      <c r="B245" s="561">
        <v>236</v>
      </c>
      <c r="C245" s="559">
        <f t="shared" si="12"/>
        <v>0</v>
      </c>
      <c r="D245" s="559">
        <f t="shared" si="13"/>
        <v>0</v>
      </c>
      <c r="E245" s="559">
        <f t="shared" si="14"/>
        <v>0</v>
      </c>
      <c r="G245" s="559">
        <f t="shared" si="15"/>
        <v>0</v>
      </c>
    </row>
    <row r="246" spans="2:7" x14ac:dyDescent="0.3">
      <c r="B246" s="561">
        <v>237</v>
      </c>
      <c r="C246" s="559">
        <f t="shared" si="12"/>
        <v>0</v>
      </c>
      <c r="D246" s="559">
        <f t="shared" si="13"/>
        <v>0</v>
      </c>
      <c r="E246" s="559">
        <f t="shared" si="14"/>
        <v>0</v>
      </c>
      <c r="G246" s="559">
        <f t="shared" si="15"/>
        <v>0</v>
      </c>
    </row>
    <row r="247" spans="2:7" x14ac:dyDescent="0.3">
      <c r="B247" s="561">
        <v>238</v>
      </c>
      <c r="C247" s="559">
        <f t="shared" si="12"/>
        <v>0</v>
      </c>
      <c r="D247" s="559">
        <f t="shared" si="13"/>
        <v>0</v>
      </c>
      <c r="E247" s="559">
        <f t="shared" si="14"/>
        <v>0</v>
      </c>
      <c r="G247" s="559">
        <f t="shared" si="15"/>
        <v>0</v>
      </c>
    </row>
    <row r="248" spans="2:7" x14ac:dyDescent="0.3">
      <c r="B248" s="561">
        <v>239</v>
      </c>
      <c r="C248" s="559">
        <f t="shared" si="12"/>
        <v>0</v>
      </c>
      <c r="D248" s="559">
        <f t="shared" si="13"/>
        <v>0</v>
      </c>
      <c r="E248" s="559">
        <f t="shared" si="14"/>
        <v>0</v>
      </c>
      <c r="G248" s="559">
        <f t="shared" si="15"/>
        <v>0</v>
      </c>
    </row>
    <row r="249" spans="2:7" x14ac:dyDescent="0.3">
      <c r="B249" s="561">
        <v>240</v>
      </c>
      <c r="C249" s="559">
        <f t="shared" si="12"/>
        <v>0</v>
      </c>
      <c r="D249" s="559">
        <f t="shared" si="13"/>
        <v>0</v>
      </c>
      <c r="E249" s="559">
        <f t="shared" si="14"/>
        <v>0</v>
      </c>
      <c r="G249" s="559">
        <f t="shared" si="15"/>
        <v>0</v>
      </c>
    </row>
    <row r="250" spans="2:7" x14ac:dyDescent="0.3">
      <c r="B250" s="561">
        <v>241</v>
      </c>
      <c r="C250" s="559">
        <f t="shared" si="12"/>
        <v>0</v>
      </c>
      <c r="D250" s="559">
        <f t="shared" si="13"/>
        <v>0</v>
      </c>
      <c r="E250" s="559">
        <f t="shared" si="14"/>
        <v>0</v>
      </c>
      <c r="G250" s="559">
        <f t="shared" si="15"/>
        <v>0</v>
      </c>
    </row>
    <row r="251" spans="2:7" x14ac:dyDescent="0.3">
      <c r="B251" s="561">
        <v>242</v>
      </c>
      <c r="C251" s="559">
        <f t="shared" si="12"/>
        <v>0</v>
      </c>
      <c r="D251" s="559">
        <f t="shared" si="13"/>
        <v>0</v>
      </c>
      <c r="E251" s="559">
        <f t="shared" si="14"/>
        <v>0</v>
      </c>
      <c r="G251" s="559">
        <f t="shared" si="15"/>
        <v>0</v>
      </c>
    </row>
    <row r="252" spans="2:7" x14ac:dyDescent="0.3">
      <c r="B252" s="561">
        <v>243</v>
      </c>
      <c r="C252" s="559">
        <f t="shared" si="12"/>
        <v>0</v>
      </c>
      <c r="D252" s="559">
        <f t="shared" si="13"/>
        <v>0</v>
      </c>
      <c r="E252" s="559">
        <f t="shared" si="14"/>
        <v>0</v>
      </c>
      <c r="G252" s="559">
        <f t="shared" si="15"/>
        <v>0</v>
      </c>
    </row>
    <row r="253" spans="2:7" x14ac:dyDescent="0.3">
      <c r="B253" s="561">
        <v>244</v>
      </c>
      <c r="C253" s="559">
        <f t="shared" si="12"/>
        <v>0</v>
      </c>
      <c r="D253" s="559">
        <f t="shared" si="13"/>
        <v>0</v>
      </c>
      <c r="E253" s="559">
        <f t="shared" si="14"/>
        <v>0</v>
      </c>
      <c r="G253" s="559">
        <f t="shared" si="15"/>
        <v>0</v>
      </c>
    </row>
    <row r="254" spans="2:7" x14ac:dyDescent="0.3">
      <c r="B254" s="561">
        <v>245</v>
      </c>
      <c r="C254" s="559">
        <f t="shared" si="12"/>
        <v>0</v>
      </c>
      <c r="D254" s="559">
        <f t="shared" si="13"/>
        <v>0</v>
      </c>
      <c r="E254" s="559">
        <f t="shared" si="14"/>
        <v>0</v>
      </c>
      <c r="G254" s="559">
        <f t="shared" si="15"/>
        <v>0</v>
      </c>
    </row>
    <row r="255" spans="2:7" x14ac:dyDescent="0.3">
      <c r="B255" s="561">
        <v>246</v>
      </c>
      <c r="C255" s="559">
        <f t="shared" si="12"/>
        <v>0</v>
      </c>
      <c r="D255" s="559">
        <f t="shared" si="13"/>
        <v>0</v>
      </c>
      <c r="E255" s="559">
        <f t="shared" si="14"/>
        <v>0</v>
      </c>
      <c r="G255" s="559">
        <f t="shared" si="15"/>
        <v>0</v>
      </c>
    </row>
    <row r="256" spans="2:7" x14ac:dyDescent="0.3">
      <c r="B256" s="561">
        <v>247</v>
      </c>
      <c r="C256" s="559">
        <f t="shared" si="12"/>
        <v>0</v>
      </c>
      <c r="D256" s="559">
        <f t="shared" si="13"/>
        <v>0</v>
      </c>
      <c r="E256" s="559">
        <f t="shared" si="14"/>
        <v>0</v>
      </c>
      <c r="G256" s="559">
        <f t="shared" si="15"/>
        <v>0</v>
      </c>
    </row>
    <row r="257" spans="2:7" x14ac:dyDescent="0.3">
      <c r="B257" s="561">
        <v>248</v>
      </c>
      <c r="C257" s="559">
        <f t="shared" si="12"/>
        <v>0</v>
      </c>
      <c r="D257" s="559">
        <f t="shared" si="13"/>
        <v>0</v>
      </c>
      <c r="E257" s="559">
        <f t="shared" si="14"/>
        <v>0</v>
      </c>
      <c r="G257" s="559">
        <f t="shared" si="15"/>
        <v>0</v>
      </c>
    </row>
    <row r="258" spans="2:7" x14ac:dyDescent="0.3">
      <c r="B258" s="561">
        <v>249</v>
      </c>
      <c r="C258" s="559">
        <f t="shared" si="12"/>
        <v>0</v>
      </c>
      <c r="D258" s="559">
        <f t="shared" si="13"/>
        <v>0</v>
      </c>
      <c r="E258" s="559">
        <f t="shared" si="14"/>
        <v>0</v>
      </c>
      <c r="G258" s="559">
        <f t="shared" si="15"/>
        <v>0</v>
      </c>
    </row>
    <row r="259" spans="2:7" x14ac:dyDescent="0.3">
      <c r="B259" s="561">
        <v>250</v>
      </c>
      <c r="C259" s="559">
        <f t="shared" si="12"/>
        <v>0</v>
      </c>
      <c r="D259" s="559">
        <f t="shared" si="13"/>
        <v>0</v>
      </c>
      <c r="E259" s="559">
        <f t="shared" si="14"/>
        <v>0</v>
      </c>
      <c r="G259" s="559">
        <f t="shared" si="15"/>
        <v>0</v>
      </c>
    </row>
    <row r="260" spans="2:7" x14ac:dyDescent="0.3">
      <c r="B260" s="561">
        <v>251</v>
      </c>
      <c r="C260" s="559">
        <f t="shared" si="12"/>
        <v>0</v>
      </c>
      <c r="D260" s="559">
        <f t="shared" si="13"/>
        <v>0</v>
      </c>
      <c r="E260" s="559">
        <f t="shared" si="14"/>
        <v>0</v>
      </c>
      <c r="G260" s="559">
        <f t="shared" si="15"/>
        <v>0</v>
      </c>
    </row>
    <row r="261" spans="2:7" x14ac:dyDescent="0.3">
      <c r="B261" s="561">
        <v>252</v>
      </c>
      <c r="C261" s="559">
        <f t="shared" si="12"/>
        <v>0</v>
      </c>
      <c r="D261" s="559">
        <f t="shared" si="13"/>
        <v>0</v>
      </c>
      <c r="E261" s="559">
        <f t="shared" si="14"/>
        <v>0</v>
      </c>
      <c r="G261" s="559">
        <f t="shared" si="15"/>
        <v>0</v>
      </c>
    </row>
    <row r="262" spans="2:7" x14ac:dyDescent="0.3">
      <c r="B262" s="561">
        <v>253</v>
      </c>
      <c r="C262" s="559">
        <f t="shared" si="12"/>
        <v>0</v>
      </c>
      <c r="D262" s="559">
        <f t="shared" si="13"/>
        <v>0</v>
      </c>
      <c r="E262" s="559">
        <f t="shared" si="14"/>
        <v>0</v>
      </c>
      <c r="G262" s="559">
        <f t="shared" si="15"/>
        <v>0</v>
      </c>
    </row>
    <row r="263" spans="2:7" x14ac:dyDescent="0.3">
      <c r="B263" s="561">
        <v>254</v>
      </c>
      <c r="C263" s="559">
        <f t="shared" si="12"/>
        <v>0</v>
      </c>
      <c r="D263" s="559">
        <f t="shared" si="13"/>
        <v>0</v>
      </c>
      <c r="E263" s="559">
        <f t="shared" si="14"/>
        <v>0</v>
      </c>
      <c r="G263" s="559">
        <f t="shared" si="15"/>
        <v>0</v>
      </c>
    </row>
    <row r="264" spans="2:7" x14ac:dyDescent="0.3">
      <c r="B264" s="561">
        <v>255</v>
      </c>
      <c r="C264" s="559">
        <f t="shared" si="12"/>
        <v>0</v>
      </c>
      <c r="D264" s="559">
        <f t="shared" si="13"/>
        <v>0</v>
      </c>
      <c r="E264" s="559">
        <f t="shared" si="14"/>
        <v>0</v>
      </c>
      <c r="G264" s="559">
        <f t="shared" si="15"/>
        <v>0</v>
      </c>
    </row>
    <row r="265" spans="2:7" x14ac:dyDescent="0.3">
      <c r="B265" s="561">
        <v>256</v>
      </c>
      <c r="C265" s="559">
        <f t="shared" si="12"/>
        <v>0</v>
      </c>
      <c r="D265" s="559">
        <f t="shared" si="13"/>
        <v>0</v>
      </c>
      <c r="E265" s="559">
        <f t="shared" si="14"/>
        <v>0</v>
      </c>
      <c r="G265" s="559">
        <f t="shared" si="15"/>
        <v>0</v>
      </c>
    </row>
    <row r="266" spans="2:7" x14ac:dyDescent="0.3">
      <c r="B266" s="561">
        <v>257</v>
      </c>
      <c r="C266" s="559">
        <f t="shared" ref="C266:C329" si="16">IF($C$3&lt;G266+(G266*($C$4/$C$6)),$C$3,G266+(G266*($C$4/$C$6)))</f>
        <v>0</v>
      </c>
      <c r="D266" s="559">
        <f t="shared" ref="D266:D329" si="17">G266*$C$4/$C$6</f>
        <v>0</v>
      </c>
      <c r="E266" s="559">
        <f t="shared" ref="E266:E329" si="18">C266-D266</f>
        <v>0</v>
      </c>
      <c r="G266" s="559">
        <f t="shared" si="15"/>
        <v>0</v>
      </c>
    </row>
    <row r="267" spans="2:7" x14ac:dyDescent="0.3">
      <c r="B267" s="561">
        <v>258</v>
      </c>
      <c r="C267" s="559">
        <f t="shared" si="16"/>
        <v>0</v>
      </c>
      <c r="D267" s="559">
        <f t="shared" si="17"/>
        <v>0</v>
      </c>
      <c r="E267" s="559">
        <f t="shared" si="18"/>
        <v>0</v>
      </c>
      <c r="G267" s="559">
        <f t="shared" ref="G267:G330" si="19">G266-E266-F266</f>
        <v>0</v>
      </c>
    </row>
    <row r="268" spans="2:7" x14ac:dyDescent="0.3">
      <c r="B268" s="561">
        <v>259</v>
      </c>
      <c r="C268" s="559">
        <f t="shared" si="16"/>
        <v>0</v>
      </c>
      <c r="D268" s="559">
        <f t="shared" si="17"/>
        <v>0</v>
      </c>
      <c r="E268" s="559">
        <f t="shared" si="18"/>
        <v>0</v>
      </c>
      <c r="G268" s="559">
        <f t="shared" si="19"/>
        <v>0</v>
      </c>
    </row>
    <row r="269" spans="2:7" x14ac:dyDescent="0.3">
      <c r="B269" s="561">
        <v>260</v>
      </c>
      <c r="C269" s="559">
        <f t="shared" si="16"/>
        <v>0</v>
      </c>
      <c r="D269" s="559">
        <f t="shared" si="17"/>
        <v>0</v>
      </c>
      <c r="E269" s="559">
        <f t="shared" si="18"/>
        <v>0</v>
      </c>
      <c r="G269" s="559">
        <f t="shared" si="19"/>
        <v>0</v>
      </c>
    </row>
    <row r="270" spans="2:7" x14ac:dyDescent="0.3">
      <c r="B270" s="561">
        <v>261</v>
      </c>
      <c r="C270" s="559">
        <f t="shared" si="16"/>
        <v>0</v>
      </c>
      <c r="D270" s="559">
        <f t="shared" si="17"/>
        <v>0</v>
      </c>
      <c r="E270" s="559">
        <f t="shared" si="18"/>
        <v>0</v>
      </c>
      <c r="G270" s="559">
        <f t="shared" si="19"/>
        <v>0</v>
      </c>
    </row>
    <row r="271" spans="2:7" x14ac:dyDescent="0.3">
      <c r="B271" s="561">
        <v>262</v>
      </c>
      <c r="C271" s="559">
        <f t="shared" si="16"/>
        <v>0</v>
      </c>
      <c r="D271" s="559">
        <f t="shared" si="17"/>
        <v>0</v>
      </c>
      <c r="E271" s="559">
        <f t="shared" si="18"/>
        <v>0</v>
      </c>
      <c r="G271" s="559">
        <f t="shared" si="19"/>
        <v>0</v>
      </c>
    </row>
    <row r="272" spans="2:7" x14ac:dyDescent="0.3">
      <c r="B272" s="561">
        <v>263</v>
      </c>
      <c r="C272" s="559">
        <f t="shared" si="16"/>
        <v>0</v>
      </c>
      <c r="D272" s="559">
        <f t="shared" si="17"/>
        <v>0</v>
      </c>
      <c r="E272" s="559">
        <f t="shared" si="18"/>
        <v>0</v>
      </c>
      <c r="G272" s="559">
        <f t="shared" si="19"/>
        <v>0</v>
      </c>
    </row>
    <row r="273" spans="2:7" x14ac:dyDescent="0.3">
      <c r="B273" s="561">
        <v>264</v>
      </c>
      <c r="C273" s="559">
        <f t="shared" si="16"/>
        <v>0</v>
      </c>
      <c r="D273" s="559">
        <f t="shared" si="17"/>
        <v>0</v>
      </c>
      <c r="E273" s="559">
        <f t="shared" si="18"/>
        <v>0</v>
      </c>
      <c r="G273" s="559">
        <f t="shared" si="19"/>
        <v>0</v>
      </c>
    </row>
    <row r="274" spans="2:7" x14ac:dyDescent="0.3">
      <c r="B274" s="561">
        <v>265</v>
      </c>
      <c r="C274" s="559">
        <f t="shared" si="16"/>
        <v>0</v>
      </c>
      <c r="D274" s="559">
        <f t="shared" si="17"/>
        <v>0</v>
      </c>
      <c r="E274" s="559">
        <f t="shared" si="18"/>
        <v>0</v>
      </c>
      <c r="G274" s="559">
        <f t="shared" si="19"/>
        <v>0</v>
      </c>
    </row>
    <row r="275" spans="2:7" x14ac:dyDescent="0.3">
      <c r="B275" s="561">
        <v>266</v>
      </c>
      <c r="C275" s="559">
        <f t="shared" si="16"/>
        <v>0</v>
      </c>
      <c r="D275" s="559">
        <f t="shared" si="17"/>
        <v>0</v>
      </c>
      <c r="E275" s="559">
        <f t="shared" si="18"/>
        <v>0</v>
      </c>
      <c r="G275" s="559">
        <f t="shared" si="19"/>
        <v>0</v>
      </c>
    </row>
    <row r="276" spans="2:7" x14ac:dyDescent="0.3">
      <c r="B276" s="561">
        <v>267</v>
      </c>
      <c r="C276" s="559">
        <f t="shared" si="16"/>
        <v>0</v>
      </c>
      <c r="D276" s="559">
        <f t="shared" si="17"/>
        <v>0</v>
      </c>
      <c r="E276" s="559">
        <f t="shared" si="18"/>
        <v>0</v>
      </c>
      <c r="G276" s="559">
        <f t="shared" si="19"/>
        <v>0</v>
      </c>
    </row>
    <row r="277" spans="2:7" x14ac:dyDescent="0.3">
      <c r="B277" s="561">
        <v>268</v>
      </c>
      <c r="C277" s="559">
        <f t="shared" si="16"/>
        <v>0</v>
      </c>
      <c r="D277" s="559">
        <f t="shared" si="17"/>
        <v>0</v>
      </c>
      <c r="E277" s="559">
        <f t="shared" si="18"/>
        <v>0</v>
      </c>
      <c r="G277" s="559">
        <f t="shared" si="19"/>
        <v>0</v>
      </c>
    </row>
    <row r="278" spans="2:7" x14ac:dyDescent="0.3">
      <c r="B278" s="561">
        <v>269</v>
      </c>
      <c r="C278" s="559">
        <f t="shared" si="16"/>
        <v>0</v>
      </c>
      <c r="D278" s="559">
        <f t="shared" si="17"/>
        <v>0</v>
      </c>
      <c r="E278" s="559">
        <f t="shared" si="18"/>
        <v>0</v>
      </c>
      <c r="G278" s="559">
        <f t="shared" si="19"/>
        <v>0</v>
      </c>
    </row>
    <row r="279" spans="2:7" x14ac:dyDescent="0.3">
      <c r="B279" s="561">
        <v>270</v>
      </c>
      <c r="C279" s="559">
        <f t="shared" si="16"/>
        <v>0</v>
      </c>
      <c r="D279" s="559">
        <f t="shared" si="17"/>
        <v>0</v>
      </c>
      <c r="E279" s="559">
        <f t="shared" si="18"/>
        <v>0</v>
      </c>
      <c r="G279" s="559">
        <f t="shared" si="19"/>
        <v>0</v>
      </c>
    </row>
    <row r="280" spans="2:7" x14ac:dyDescent="0.3">
      <c r="B280" s="561">
        <v>271</v>
      </c>
      <c r="C280" s="559">
        <f t="shared" si="16"/>
        <v>0</v>
      </c>
      <c r="D280" s="559">
        <f t="shared" si="17"/>
        <v>0</v>
      </c>
      <c r="E280" s="559">
        <f t="shared" si="18"/>
        <v>0</v>
      </c>
      <c r="G280" s="559">
        <f t="shared" si="19"/>
        <v>0</v>
      </c>
    </row>
    <row r="281" spans="2:7" x14ac:dyDescent="0.3">
      <c r="B281" s="561">
        <v>272</v>
      </c>
      <c r="C281" s="559">
        <f t="shared" si="16"/>
        <v>0</v>
      </c>
      <c r="D281" s="559">
        <f t="shared" si="17"/>
        <v>0</v>
      </c>
      <c r="E281" s="559">
        <f t="shared" si="18"/>
        <v>0</v>
      </c>
      <c r="G281" s="559">
        <f t="shared" si="19"/>
        <v>0</v>
      </c>
    </row>
    <row r="282" spans="2:7" x14ac:dyDescent="0.3">
      <c r="B282" s="561">
        <v>273</v>
      </c>
      <c r="C282" s="559">
        <f t="shared" si="16"/>
        <v>0</v>
      </c>
      <c r="D282" s="559">
        <f t="shared" si="17"/>
        <v>0</v>
      </c>
      <c r="E282" s="559">
        <f t="shared" si="18"/>
        <v>0</v>
      </c>
      <c r="G282" s="559">
        <f t="shared" si="19"/>
        <v>0</v>
      </c>
    </row>
    <row r="283" spans="2:7" x14ac:dyDescent="0.3">
      <c r="B283" s="561">
        <v>274</v>
      </c>
      <c r="C283" s="559">
        <f t="shared" si="16"/>
        <v>0</v>
      </c>
      <c r="D283" s="559">
        <f t="shared" si="17"/>
        <v>0</v>
      </c>
      <c r="E283" s="559">
        <f t="shared" si="18"/>
        <v>0</v>
      </c>
      <c r="G283" s="559">
        <f t="shared" si="19"/>
        <v>0</v>
      </c>
    </row>
    <row r="284" spans="2:7" x14ac:dyDescent="0.3">
      <c r="B284" s="561">
        <v>275</v>
      </c>
      <c r="C284" s="559">
        <f t="shared" si="16"/>
        <v>0</v>
      </c>
      <c r="D284" s="559">
        <f t="shared" si="17"/>
        <v>0</v>
      </c>
      <c r="E284" s="559">
        <f t="shared" si="18"/>
        <v>0</v>
      </c>
      <c r="G284" s="559">
        <f t="shared" si="19"/>
        <v>0</v>
      </c>
    </row>
    <row r="285" spans="2:7" x14ac:dyDescent="0.3">
      <c r="B285" s="561">
        <v>276</v>
      </c>
      <c r="C285" s="559">
        <f t="shared" si="16"/>
        <v>0</v>
      </c>
      <c r="D285" s="559">
        <f t="shared" si="17"/>
        <v>0</v>
      </c>
      <c r="E285" s="559">
        <f t="shared" si="18"/>
        <v>0</v>
      </c>
      <c r="G285" s="559">
        <f t="shared" si="19"/>
        <v>0</v>
      </c>
    </row>
    <row r="286" spans="2:7" x14ac:dyDescent="0.3">
      <c r="B286" s="561">
        <v>277</v>
      </c>
      <c r="C286" s="559">
        <f t="shared" si="16"/>
        <v>0</v>
      </c>
      <c r="D286" s="559">
        <f t="shared" si="17"/>
        <v>0</v>
      </c>
      <c r="E286" s="559">
        <f t="shared" si="18"/>
        <v>0</v>
      </c>
      <c r="G286" s="559">
        <f t="shared" si="19"/>
        <v>0</v>
      </c>
    </row>
    <row r="287" spans="2:7" x14ac:dyDescent="0.3">
      <c r="B287" s="561">
        <v>278</v>
      </c>
      <c r="C287" s="559">
        <f t="shared" si="16"/>
        <v>0</v>
      </c>
      <c r="D287" s="559">
        <f t="shared" si="17"/>
        <v>0</v>
      </c>
      <c r="E287" s="559">
        <f t="shared" si="18"/>
        <v>0</v>
      </c>
      <c r="G287" s="559">
        <f t="shared" si="19"/>
        <v>0</v>
      </c>
    </row>
    <row r="288" spans="2:7" x14ac:dyDescent="0.3">
      <c r="B288" s="561">
        <v>279</v>
      </c>
      <c r="C288" s="559">
        <f t="shared" si="16"/>
        <v>0</v>
      </c>
      <c r="D288" s="559">
        <f t="shared" si="17"/>
        <v>0</v>
      </c>
      <c r="E288" s="559">
        <f t="shared" si="18"/>
        <v>0</v>
      </c>
      <c r="G288" s="559">
        <f t="shared" si="19"/>
        <v>0</v>
      </c>
    </row>
    <row r="289" spans="2:7" x14ac:dyDescent="0.3">
      <c r="B289" s="561">
        <v>280</v>
      </c>
      <c r="C289" s="559">
        <f t="shared" si="16"/>
        <v>0</v>
      </c>
      <c r="D289" s="559">
        <f t="shared" si="17"/>
        <v>0</v>
      </c>
      <c r="E289" s="559">
        <f t="shared" si="18"/>
        <v>0</v>
      </c>
      <c r="G289" s="559">
        <f t="shared" si="19"/>
        <v>0</v>
      </c>
    </row>
    <row r="290" spans="2:7" x14ac:dyDescent="0.3">
      <c r="B290" s="561">
        <v>281</v>
      </c>
      <c r="C290" s="559">
        <f t="shared" si="16"/>
        <v>0</v>
      </c>
      <c r="D290" s="559">
        <f t="shared" si="17"/>
        <v>0</v>
      </c>
      <c r="E290" s="559">
        <f t="shared" si="18"/>
        <v>0</v>
      </c>
      <c r="G290" s="559">
        <f t="shared" si="19"/>
        <v>0</v>
      </c>
    </row>
    <row r="291" spans="2:7" x14ac:dyDescent="0.3">
      <c r="B291" s="561">
        <v>282</v>
      </c>
      <c r="C291" s="559">
        <f t="shared" si="16"/>
        <v>0</v>
      </c>
      <c r="D291" s="559">
        <f t="shared" si="17"/>
        <v>0</v>
      </c>
      <c r="E291" s="559">
        <f t="shared" si="18"/>
        <v>0</v>
      </c>
      <c r="G291" s="559">
        <f t="shared" si="19"/>
        <v>0</v>
      </c>
    </row>
    <row r="292" spans="2:7" x14ac:dyDescent="0.3">
      <c r="B292" s="561">
        <v>283</v>
      </c>
      <c r="C292" s="559">
        <f t="shared" si="16"/>
        <v>0</v>
      </c>
      <c r="D292" s="559">
        <f t="shared" si="17"/>
        <v>0</v>
      </c>
      <c r="E292" s="559">
        <f t="shared" si="18"/>
        <v>0</v>
      </c>
      <c r="G292" s="559">
        <f t="shared" si="19"/>
        <v>0</v>
      </c>
    </row>
    <row r="293" spans="2:7" x14ac:dyDescent="0.3">
      <c r="B293" s="561">
        <v>284</v>
      </c>
      <c r="C293" s="559">
        <f t="shared" si="16"/>
        <v>0</v>
      </c>
      <c r="D293" s="559">
        <f t="shared" si="17"/>
        <v>0</v>
      </c>
      <c r="E293" s="559">
        <f t="shared" si="18"/>
        <v>0</v>
      </c>
      <c r="G293" s="559">
        <f t="shared" si="19"/>
        <v>0</v>
      </c>
    </row>
    <row r="294" spans="2:7" x14ac:dyDescent="0.3">
      <c r="B294" s="561">
        <v>285</v>
      </c>
      <c r="C294" s="559">
        <f t="shared" si="16"/>
        <v>0</v>
      </c>
      <c r="D294" s="559">
        <f t="shared" si="17"/>
        <v>0</v>
      </c>
      <c r="E294" s="559">
        <f t="shared" si="18"/>
        <v>0</v>
      </c>
      <c r="G294" s="559">
        <f t="shared" si="19"/>
        <v>0</v>
      </c>
    </row>
    <row r="295" spans="2:7" x14ac:dyDescent="0.3">
      <c r="B295" s="561">
        <v>286</v>
      </c>
      <c r="C295" s="559">
        <f t="shared" si="16"/>
        <v>0</v>
      </c>
      <c r="D295" s="559">
        <f t="shared" si="17"/>
        <v>0</v>
      </c>
      <c r="E295" s="559">
        <f t="shared" si="18"/>
        <v>0</v>
      </c>
      <c r="G295" s="559">
        <f t="shared" si="19"/>
        <v>0</v>
      </c>
    </row>
    <row r="296" spans="2:7" x14ac:dyDescent="0.3">
      <c r="B296" s="561">
        <v>287</v>
      </c>
      <c r="C296" s="559">
        <f t="shared" si="16"/>
        <v>0</v>
      </c>
      <c r="D296" s="559">
        <f t="shared" si="17"/>
        <v>0</v>
      </c>
      <c r="E296" s="559">
        <f t="shared" si="18"/>
        <v>0</v>
      </c>
      <c r="G296" s="559">
        <f t="shared" si="19"/>
        <v>0</v>
      </c>
    </row>
    <row r="297" spans="2:7" x14ac:dyDescent="0.3">
      <c r="B297" s="561">
        <v>288</v>
      </c>
      <c r="C297" s="559">
        <f t="shared" si="16"/>
        <v>0</v>
      </c>
      <c r="D297" s="559">
        <f t="shared" si="17"/>
        <v>0</v>
      </c>
      <c r="E297" s="559">
        <f t="shared" si="18"/>
        <v>0</v>
      </c>
      <c r="G297" s="559">
        <f t="shared" si="19"/>
        <v>0</v>
      </c>
    </row>
    <row r="298" spans="2:7" x14ac:dyDescent="0.3">
      <c r="B298" s="561">
        <v>289</v>
      </c>
      <c r="C298" s="559">
        <f t="shared" si="16"/>
        <v>0</v>
      </c>
      <c r="D298" s="559">
        <f t="shared" si="17"/>
        <v>0</v>
      </c>
      <c r="E298" s="559">
        <f t="shared" si="18"/>
        <v>0</v>
      </c>
      <c r="G298" s="559">
        <f t="shared" si="19"/>
        <v>0</v>
      </c>
    </row>
    <row r="299" spans="2:7" x14ac:dyDescent="0.3">
      <c r="B299" s="561">
        <v>290</v>
      </c>
      <c r="C299" s="559">
        <f t="shared" si="16"/>
        <v>0</v>
      </c>
      <c r="D299" s="559">
        <f t="shared" si="17"/>
        <v>0</v>
      </c>
      <c r="E299" s="559">
        <f t="shared" si="18"/>
        <v>0</v>
      </c>
      <c r="G299" s="559">
        <f t="shared" si="19"/>
        <v>0</v>
      </c>
    </row>
    <row r="300" spans="2:7" x14ac:dyDescent="0.3">
      <c r="B300" s="561">
        <v>291</v>
      </c>
      <c r="C300" s="559">
        <f t="shared" si="16"/>
        <v>0</v>
      </c>
      <c r="D300" s="559">
        <f t="shared" si="17"/>
        <v>0</v>
      </c>
      <c r="E300" s="559">
        <f t="shared" si="18"/>
        <v>0</v>
      </c>
      <c r="G300" s="559">
        <f t="shared" si="19"/>
        <v>0</v>
      </c>
    </row>
    <row r="301" spans="2:7" x14ac:dyDescent="0.3">
      <c r="B301" s="561">
        <v>292</v>
      </c>
      <c r="C301" s="559">
        <f t="shared" si="16"/>
        <v>0</v>
      </c>
      <c r="D301" s="559">
        <f t="shared" si="17"/>
        <v>0</v>
      </c>
      <c r="E301" s="559">
        <f t="shared" si="18"/>
        <v>0</v>
      </c>
      <c r="G301" s="559">
        <f t="shared" si="19"/>
        <v>0</v>
      </c>
    </row>
    <row r="302" spans="2:7" x14ac:dyDescent="0.3">
      <c r="B302" s="561">
        <v>293</v>
      </c>
      <c r="C302" s="559">
        <f t="shared" si="16"/>
        <v>0</v>
      </c>
      <c r="D302" s="559">
        <f t="shared" si="17"/>
        <v>0</v>
      </c>
      <c r="E302" s="559">
        <f t="shared" si="18"/>
        <v>0</v>
      </c>
      <c r="G302" s="559">
        <f t="shared" si="19"/>
        <v>0</v>
      </c>
    </row>
    <row r="303" spans="2:7" x14ac:dyDescent="0.3">
      <c r="B303" s="561">
        <v>294</v>
      </c>
      <c r="C303" s="559">
        <f t="shared" si="16"/>
        <v>0</v>
      </c>
      <c r="D303" s="559">
        <f t="shared" si="17"/>
        <v>0</v>
      </c>
      <c r="E303" s="559">
        <f t="shared" si="18"/>
        <v>0</v>
      </c>
      <c r="G303" s="559">
        <f t="shared" si="19"/>
        <v>0</v>
      </c>
    </row>
    <row r="304" spans="2:7" x14ac:dyDescent="0.3">
      <c r="B304" s="561">
        <v>295</v>
      </c>
      <c r="C304" s="559">
        <f t="shared" si="16"/>
        <v>0</v>
      </c>
      <c r="D304" s="559">
        <f t="shared" si="17"/>
        <v>0</v>
      </c>
      <c r="E304" s="559">
        <f t="shared" si="18"/>
        <v>0</v>
      </c>
      <c r="G304" s="559">
        <f t="shared" si="19"/>
        <v>0</v>
      </c>
    </row>
    <row r="305" spans="2:7" x14ac:dyDescent="0.3">
      <c r="B305" s="561">
        <v>296</v>
      </c>
      <c r="C305" s="559">
        <f t="shared" si="16"/>
        <v>0</v>
      </c>
      <c r="D305" s="559">
        <f t="shared" si="17"/>
        <v>0</v>
      </c>
      <c r="E305" s="559">
        <f t="shared" si="18"/>
        <v>0</v>
      </c>
      <c r="G305" s="559">
        <f t="shared" si="19"/>
        <v>0</v>
      </c>
    </row>
    <row r="306" spans="2:7" x14ac:dyDescent="0.3">
      <c r="B306" s="561">
        <v>297</v>
      </c>
      <c r="C306" s="559">
        <f t="shared" si="16"/>
        <v>0</v>
      </c>
      <c r="D306" s="559">
        <f t="shared" si="17"/>
        <v>0</v>
      </c>
      <c r="E306" s="559">
        <f t="shared" si="18"/>
        <v>0</v>
      </c>
      <c r="G306" s="559">
        <f t="shared" si="19"/>
        <v>0</v>
      </c>
    </row>
    <row r="307" spans="2:7" x14ac:dyDescent="0.3">
      <c r="B307" s="561">
        <v>298</v>
      </c>
      <c r="C307" s="559">
        <f t="shared" si="16"/>
        <v>0</v>
      </c>
      <c r="D307" s="559">
        <f t="shared" si="17"/>
        <v>0</v>
      </c>
      <c r="E307" s="559">
        <f t="shared" si="18"/>
        <v>0</v>
      </c>
      <c r="G307" s="559">
        <f t="shared" si="19"/>
        <v>0</v>
      </c>
    </row>
    <row r="308" spans="2:7" x14ac:dyDescent="0.3">
      <c r="B308" s="561">
        <v>299</v>
      </c>
      <c r="C308" s="559">
        <f t="shared" si="16"/>
        <v>0</v>
      </c>
      <c r="D308" s="559">
        <f t="shared" si="17"/>
        <v>0</v>
      </c>
      <c r="E308" s="559">
        <f t="shared" si="18"/>
        <v>0</v>
      </c>
      <c r="G308" s="559">
        <f t="shared" si="19"/>
        <v>0</v>
      </c>
    </row>
    <row r="309" spans="2:7" x14ac:dyDescent="0.3">
      <c r="B309" s="561">
        <v>300</v>
      </c>
      <c r="C309" s="559">
        <f t="shared" si="16"/>
        <v>0</v>
      </c>
      <c r="D309" s="559">
        <f t="shared" si="17"/>
        <v>0</v>
      </c>
      <c r="E309" s="559">
        <f t="shared" si="18"/>
        <v>0</v>
      </c>
      <c r="G309" s="559">
        <f t="shared" si="19"/>
        <v>0</v>
      </c>
    </row>
    <row r="310" spans="2:7" x14ac:dyDescent="0.3">
      <c r="B310" s="561">
        <v>301</v>
      </c>
      <c r="C310" s="559">
        <f t="shared" si="16"/>
        <v>0</v>
      </c>
      <c r="D310" s="559">
        <f t="shared" si="17"/>
        <v>0</v>
      </c>
      <c r="E310" s="559">
        <f t="shared" si="18"/>
        <v>0</v>
      </c>
      <c r="G310" s="559">
        <f t="shared" si="19"/>
        <v>0</v>
      </c>
    </row>
    <row r="311" spans="2:7" x14ac:dyDescent="0.3">
      <c r="B311" s="561">
        <v>302</v>
      </c>
      <c r="C311" s="559">
        <f t="shared" si="16"/>
        <v>0</v>
      </c>
      <c r="D311" s="559">
        <f t="shared" si="17"/>
        <v>0</v>
      </c>
      <c r="E311" s="559">
        <f t="shared" si="18"/>
        <v>0</v>
      </c>
      <c r="G311" s="559">
        <f t="shared" si="19"/>
        <v>0</v>
      </c>
    </row>
    <row r="312" spans="2:7" x14ac:dyDescent="0.3">
      <c r="B312" s="561">
        <v>303</v>
      </c>
      <c r="C312" s="559">
        <f t="shared" si="16"/>
        <v>0</v>
      </c>
      <c r="D312" s="559">
        <f t="shared" si="17"/>
        <v>0</v>
      </c>
      <c r="E312" s="559">
        <f t="shared" si="18"/>
        <v>0</v>
      </c>
      <c r="G312" s="559">
        <f t="shared" si="19"/>
        <v>0</v>
      </c>
    </row>
    <row r="313" spans="2:7" x14ac:dyDescent="0.3">
      <c r="B313" s="561">
        <v>304</v>
      </c>
      <c r="C313" s="559">
        <f t="shared" si="16"/>
        <v>0</v>
      </c>
      <c r="D313" s="559">
        <f t="shared" si="17"/>
        <v>0</v>
      </c>
      <c r="E313" s="559">
        <f t="shared" si="18"/>
        <v>0</v>
      </c>
      <c r="G313" s="559">
        <f t="shared" si="19"/>
        <v>0</v>
      </c>
    </row>
    <row r="314" spans="2:7" x14ac:dyDescent="0.3">
      <c r="B314" s="561">
        <v>305</v>
      </c>
      <c r="C314" s="559">
        <f t="shared" si="16"/>
        <v>0</v>
      </c>
      <c r="D314" s="559">
        <f t="shared" si="17"/>
        <v>0</v>
      </c>
      <c r="E314" s="559">
        <f t="shared" si="18"/>
        <v>0</v>
      </c>
      <c r="G314" s="559">
        <f t="shared" si="19"/>
        <v>0</v>
      </c>
    </row>
    <row r="315" spans="2:7" x14ac:dyDescent="0.3">
      <c r="B315" s="561">
        <v>306</v>
      </c>
      <c r="C315" s="559">
        <f t="shared" si="16"/>
        <v>0</v>
      </c>
      <c r="D315" s="559">
        <f t="shared" si="17"/>
        <v>0</v>
      </c>
      <c r="E315" s="559">
        <f t="shared" si="18"/>
        <v>0</v>
      </c>
      <c r="G315" s="559">
        <f t="shared" si="19"/>
        <v>0</v>
      </c>
    </row>
    <row r="316" spans="2:7" x14ac:dyDescent="0.3">
      <c r="B316" s="561">
        <v>307</v>
      </c>
      <c r="C316" s="559">
        <f t="shared" si="16"/>
        <v>0</v>
      </c>
      <c r="D316" s="559">
        <f t="shared" si="17"/>
        <v>0</v>
      </c>
      <c r="E316" s="559">
        <f t="shared" si="18"/>
        <v>0</v>
      </c>
      <c r="G316" s="559">
        <f t="shared" si="19"/>
        <v>0</v>
      </c>
    </row>
    <row r="317" spans="2:7" x14ac:dyDescent="0.3">
      <c r="B317" s="561">
        <v>308</v>
      </c>
      <c r="C317" s="559">
        <f t="shared" si="16"/>
        <v>0</v>
      </c>
      <c r="D317" s="559">
        <f t="shared" si="17"/>
        <v>0</v>
      </c>
      <c r="E317" s="559">
        <f t="shared" si="18"/>
        <v>0</v>
      </c>
      <c r="G317" s="559">
        <f t="shared" si="19"/>
        <v>0</v>
      </c>
    </row>
    <row r="318" spans="2:7" x14ac:dyDescent="0.3">
      <c r="B318" s="561">
        <v>309</v>
      </c>
      <c r="C318" s="559">
        <f t="shared" si="16"/>
        <v>0</v>
      </c>
      <c r="D318" s="559">
        <f t="shared" si="17"/>
        <v>0</v>
      </c>
      <c r="E318" s="559">
        <f t="shared" si="18"/>
        <v>0</v>
      </c>
      <c r="G318" s="559">
        <f t="shared" si="19"/>
        <v>0</v>
      </c>
    </row>
    <row r="319" spans="2:7" x14ac:dyDescent="0.3">
      <c r="B319" s="561">
        <v>310</v>
      </c>
      <c r="C319" s="559">
        <f t="shared" si="16"/>
        <v>0</v>
      </c>
      <c r="D319" s="559">
        <f t="shared" si="17"/>
        <v>0</v>
      </c>
      <c r="E319" s="559">
        <f t="shared" si="18"/>
        <v>0</v>
      </c>
      <c r="G319" s="559">
        <f t="shared" si="19"/>
        <v>0</v>
      </c>
    </row>
    <row r="320" spans="2:7" x14ac:dyDescent="0.3">
      <c r="B320" s="561">
        <v>311</v>
      </c>
      <c r="C320" s="559">
        <f t="shared" si="16"/>
        <v>0</v>
      </c>
      <c r="D320" s="559">
        <f t="shared" si="17"/>
        <v>0</v>
      </c>
      <c r="E320" s="559">
        <f t="shared" si="18"/>
        <v>0</v>
      </c>
      <c r="G320" s="559">
        <f t="shared" si="19"/>
        <v>0</v>
      </c>
    </row>
    <row r="321" spans="2:7" x14ac:dyDescent="0.3">
      <c r="B321" s="561">
        <v>312</v>
      </c>
      <c r="C321" s="559">
        <f t="shared" si="16"/>
        <v>0</v>
      </c>
      <c r="D321" s="559">
        <f t="shared" si="17"/>
        <v>0</v>
      </c>
      <c r="E321" s="559">
        <f t="shared" si="18"/>
        <v>0</v>
      </c>
      <c r="G321" s="559">
        <f t="shared" si="19"/>
        <v>0</v>
      </c>
    </row>
    <row r="322" spans="2:7" x14ac:dyDescent="0.3">
      <c r="B322" s="561">
        <v>313</v>
      </c>
      <c r="C322" s="559">
        <f t="shared" si="16"/>
        <v>0</v>
      </c>
      <c r="D322" s="559">
        <f t="shared" si="17"/>
        <v>0</v>
      </c>
      <c r="E322" s="559">
        <f t="shared" si="18"/>
        <v>0</v>
      </c>
      <c r="G322" s="559">
        <f t="shared" si="19"/>
        <v>0</v>
      </c>
    </row>
    <row r="323" spans="2:7" x14ac:dyDescent="0.3">
      <c r="B323" s="561">
        <v>314</v>
      </c>
      <c r="C323" s="559">
        <f t="shared" si="16"/>
        <v>0</v>
      </c>
      <c r="D323" s="559">
        <f t="shared" si="17"/>
        <v>0</v>
      </c>
      <c r="E323" s="559">
        <f t="shared" si="18"/>
        <v>0</v>
      </c>
      <c r="G323" s="559">
        <f t="shared" si="19"/>
        <v>0</v>
      </c>
    </row>
    <row r="324" spans="2:7" x14ac:dyDescent="0.3">
      <c r="B324" s="561">
        <v>315</v>
      </c>
      <c r="C324" s="559">
        <f t="shared" si="16"/>
        <v>0</v>
      </c>
      <c r="D324" s="559">
        <f t="shared" si="17"/>
        <v>0</v>
      </c>
      <c r="E324" s="559">
        <f t="shared" si="18"/>
        <v>0</v>
      </c>
      <c r="G324" s="559">
        <f t="shared" si="19"/>
        <v>0</v>
      </c>
    </row>
    <row r="325" spans="2:7" x14ac:dyDescent="0.3">
      <c r="B325" s="561">
        <v>316</v>
      </c>
      <c r="C325" s="559">
        <f t="shared" si="16"/>
        <v>0</v>
      </c>
      <c r="D325" s="559">
        <f t="shared" si="17"/>
        <v>0</v>
      </c>
      <c r="E325" s="559">
        <f t="shared" si="18"/>
        <v>0</v>
      </c>
      <c r="G325" s="559">
        <f t="shared" si="19"/>
        <v>0</v>
      </c>
    </row>
    <row r="326" spans="2:7" x14ac:dyDescent="0.3">
      <c r="B326" s="561">
        <v>317</v>
      </c>
      <c r="C326" s="559">
        <f t="shared" si="16"/>
        <v>0</v>
      </c>
      <c r="D326" s="559">
        <f t="shared" si="17"/>
        <v>0</v>
      </c>
      <c r="E326" s="559">
        <f t="shared" si="18"/>
        <v>0</v>
      </c>
      <c r="G326" s="559">
        <f t="shared" si="19"/>
        <v>0</v>
      </c>
    </row>
    <row r="327" spans="2:7" x14ac:dyDescent="0.3">
      <c r="B327" s="561">
        <v>318</v>
      </c>
      <c r="C327" s="559">
        <f t="shared" si="16"/>
        <v>0</v>
      </c>
      <c r="D327" s="559">
        <f t="shared" si="17"/>
        <v>0</v>
      </c>
      <c r="E327" s="559">
        <f t="shared" si="18"/>
        <v>0</v>
      </c>
      <c r="G327" s="559">
        <f t="shared" si="19"/>
        <v>0</v>
      </c>
    </row>
    <row r="328" spans="2:7" x14ac:dyDescent="0.3">
      <c r="B328" s="561">
        <v>319</v>
      </c>
      <c r="C328" s="559">
        <f t="shared" si="16"/>
        <v>0</v>
      </c>
      <c r="D328" s="559">
        <f t="shared" si="17"/>
        <v>0</v>
      </c>
      <c r="E328" s="559">
        <f t="shared" si="18"/>
        <v>0</v>
      </c>
      <c r="G328" s="559">
        <f t="shared" si="19"/>
        <v>0</v>
      </c>
    </row>
    <row r="329" spans="2:7" x14ac:dyDescent="0.3">
      <c r="B329" s="561">
        <v>320</v>
      </c>
      <c r="C329" s="559">
        <f t="shared" si="16"/>
        <v>0</v>
      </c>
      <c r="D329" s="559">
        <f t="shared" si="17"/>
        <v>0</v>
      </c>
      <c r="E329" s="559">
        <f t="shared" si="18"/>
        <v>0</v>
      </c>
      <c r="G329" s="559">
        <f t="shared" si="19"/>
        <v>0</v>
      </c>
    </row>
    <row r="330" spans="2:7" x14ac:dyDescent="0.3">
      <c r="B330" s="561">
        <v>321</v>
      </c>
      <c r="C330" s="559">
        <f t="shared" ref="C330:C371" si="20">IF($C$3&lt;G330+(G330*($C$4/$C$6)),$C$3,G330+(G330*($C$4/$C$6)))</f>
        <v>0</v>
      </c>
      <c r="D330" s="559">
        <f t="shared" ref="D330:D371" si="21">G330*$C$4/$C$6</f>
        <v>0</v>
      </c>
      <c r="E330" s="559">
        <f t="shared" ref="E330:E371" si="22">C330-D330</f>
        <v>0</v>
      </c>
      <c r="G330" s="559">
        <f t="shared" si="19"/>
        <v>0</v>
      </c>
    </row>
    <row r="331" spans="2:7" x14ac:dyDescent="0.3">
      <c r="B331" s="561">
        <v>322</v>
      </c>
      <c r="C331" s="559">
        <f t="shared" si="20"/>
        <v>0</v>
      </c>
      <c r="D331" s="559">
        <f t="shared" si="21"/>
        <v>0</v>
      </c>
      <c r="E331" s="559">
        <f t="shared" si="22"/>
        <v>0</v>
      </c>
      <c r="G331" s="559">
        <f t="shared" ref="G331:G371" si="23">G330-E330-F330</f>
        <v>0</v>
      </c>
    </row>
    <row r="332" spans="2:7" x14ac:dyDescent="0.3">
      <c r="B332" s="561">
        <v>323</v>
      </c>
      <c r="C332" s="559">
        <f t="shared" si="20"/>
        <v>0</v>
      </c>
      <c r="D332" s="559">
        <f t="shared" si="21"/>
        <v>0</v>
      </c>
      <c r="E332" s="559">
        <f t="shared" si="22"/>
        <v>0</v>
      </c>
      <c r="G332" s="559">
        <f t="shared" si="23"/>
        <v>0</v>
      </c>
    </row>
    <row r="333" spans="2:7" x14ac:dyDescent="0.3">
      <c r="B333" s="561">
        <v>324</v>
      </c>
      <c r="C333" s="559">
        <f t="shared" si="20"/>
        <v>0</v>
      </c>
      <c r="D333" s="559">
        <f t="shared" si="21"/>
        <v>0</v>
      </c>
      <c r="E333" s="559">
        <f t="shared" si="22"/>
        <v>0</v>
      </c>
      <c r="G333" s="559">
        <f t="shared" si="23"/>
        <v>0</v>
      </c>
    </row>
    <row r="334" spans="2:7" x14ac:dyDescent="0.3">
      <c r="B334" s="561">
        <v>325</v>
      </c>
      <c r="C334" s="559">
        <f t="shared" si="20"/>
        <v>0</v>
      </c>
      <c r="D334" s="559">
        <f t="shared" si="21"/>
        <v>0</v>
      </c>
      <c r="E334" s="559">
        <f t="shared" si="22"/>
        <v>0</v>
      </c>
      <c r="G334" s="559">
        <f t="shared" si="23"/>
        <v>0</v>
      </c>
    </row>
    <row r="335" spans="2:7" x14ac:dyDescent="0.3">
      <c r="B335" s="561">
        <v>326</v>
      </c>
      <c r="C335" s="559">
        <f t="shared" si="20"/>
        <v>0</v>
      </c>
      <c r="D335" s="559">
        <f t="shared" si="21"/>
        <v>0</v>
      </c>
      <c r="E335" s="559">
        <f t="shared" si="22"/>
        <v>0</v>
      </c>
      <c r="G335" s="559">
        <f t="shared" si="23"/>
        <v>0</v>
      </c>
    </row>
    <row r="336" spans="2:7" x14ac:dyDescent="0.3">
      <c r="B336" s="561">
        <v>327</v>
      </c>
      <c r="C336" s="559">
        <f t="shared" si="20"/>
        <v>0</v>
      </c>
      <c r="D336" s="559">
        <f t="shared" si="21"/>
        <v>0</v>
      </c>
      <c r="E336" s="559">
        <f t="shared" si="22"/>
        <v>0</v>
      </c>
      <c r="G336" s="559">
        <f t="shared" si="23"/>
        <v>0</v>
      </c>
    </row>
    <row r="337" spans="2:7" x14ac:dyDescent="0.3">
      <c r="B337" s="561">
        <v>328</v>
      </c>
      <c r="C337" s="559">
        <f t="shared" si="20"/>
        <v>0</v>
      </c>
      <c r="D337" s="559">
        <f t="shared" si="21"/>
        <v>0</v>
      </c>
      <c r="E337" s="559">
        <f t="shared" si="22"/>
        <v>0</v>
      </c>
      <c r="G337" s="559">
        <f t="shared" si="23"/>
        <v>0</v>
      </c>
    </row>
    <row r="338" spans="2:7" x14ac:dyDescent="0.3">
      <c r="B338" s="561">
        <v>329</v>
      </c>
      <c r="C338" s="559">
        <f t="shared" si="20"/>
        <v>0</v>
      </c>
      <c r="D338" s="559">
        <f t="shared" si="21"/>
        <v>0</v>
      </c>
      <c r="E338" s="559">
        <f t="shared" si="22"/>
        <v>0</v>
      </c>
      <c r="G338" s="559">
        <f t="shared" si="23"/>
        <v>0</v>
      </c>
    </row>
    <row r="339" spans="2:7" x14ac:dyDescent="0.3">
      <c r="B339" s="561">
        <v>330</v>
      </c>
      <c r="C339" s="559">
        <f t="shared" si="20"/>
        <v>0</v>
      </c>
      <c r="D339" s="559">
        <f t="shared" si="21"/>
        <v>0</v>
      </c>
      <c r="E339" s="559">
        <f t="shared" si="22"/>
        <v>0</v>
      </c>
      <c r="G339" s="559">
        <f t="shared" si="23"/>
        <v>0</v>
      </c>
    </row>
    <row r="340" spans="2:7" x14ac:dyDescent="0.3">
      <c r="B340" s="561">
        <v>331</v>
      </c>
      <c r="C340" s="559">
        <f t="shared" si="20"/>
        <v>0</v>
      </c>
      <c r="D340" s="559">
        <f t="shared" si="21"/>
        <v>0</v>
      </c>
      <c r="E340" s="559">
        <f t="shared" si="22"/>
        <v>0</v>
      </c>
      <c r="G340" s="559">
        <f t="shared" si="23"/>
        <v>0</v>
      </c>
    </row>
    <row r="341" spans="2:7" x14ac:dyDescent="0.3">
      <c r="B341" s="561">
        <v>332</v>
      </c>
      <c r="C341" s="559">
        <f t="shared" si="20"/>
        <v>0</v>
      </c>
      <c r="D341" s="559">
        <f t="shared" si="21"/>
        <v>0</v>
      </c>
      <c r="E341" s="559">
        <f t="shared" si="22"/>
        <v>0</v>
      </c>
      <c r="G341" s="559">
        <f t="shared" si="23"/>
        <v>0</v>
      </c>
    </row>
    <row r="342" spans="2:7" x14ac:dyDescent="0.3">
      <c r="B342" s="561">
        <v>333</v>
      </c>
      <c r="C342" s="559">
        <f t="shared" si="20"/>
        <v>0</v>
      </c>
      <c r="D342" s="559">
        <f t="shared" si="21"/>
        <v>0</v>
      </c>
      <c r="E342" s="559">
        <f t="shared" si="22"/>
        <v>0</v>
      </c>
      <c r="G342" s="559">
        <f t="shared" si="23"/>
        <v>0</v>
      </c>
    </row>
    <row r="343" spans="2:7" x14ac:dyDescent="0.3">
      <c r="B343" s="561">
        <v>334</v>
      </c>
      <c r="C343" s="559">
        <f t="shared" si="20"/>
        <v>0</v>
      </c>
      <c r="D343" s="559">
        <f t="shared" si="21"/>
        <v>0</v>
      </c>
      <c r="E343" s="559">
        <f t="shared" si="22"/>
        <v>0</v>
      </c>
      <c r="G343" s="559">
        <f t="shared" si="23"/>
        <v>0</v>
      </c>
    </row>
    <row r="344" spans="2:7" x14ac:dyDescent="0.3">
      <c r="B344" s="561">
        <v>335</v>
      </c>
      <c r="C344" s="559">
        <f t="shared" si="20"/>
        <v>0</v>
      </c>
      <c r="D344" s="559">
        <f t="shared" si="21"/>
        <v>0</v>
      </c>
      <c r="E344" s="559">
        <f t="shared" si="22"/>
        <v>0</v>
      </c>
      <c r="G344" s="559">
        <f t="shared" si="23"/>
        <v>0</v>
      </c>
    </row>
    <row r="345" spans="2:7" x14ac:dyDescent="0.3">
      <c r="B345" s="561">
        <v>336</v>
      </c>
      <c r="C345" s="559">
        <f t="shared" si="20"/>
        <v>0</v>
      </c>
      <c r="D345" s="559">
        <f t="shared" si="21"/>
        <v>0</v>
      </c>
      <c r="E345" s="559">
        <f t="shared" si="22"/>
        <v>0</v>
      </c>
      <c r="G345" s="559">
        <f t="shared" si="23"/>
        <v>0</v>
      </c>
    </row>
    <row r="346" spans="2:7" x14ac:dyDescent="0.3">
      <c r="B346" s="561">
        <v>337</v>
      </c>
      <c r="C346" s="559">
        <f t="shared" si="20"/>
        <v>0</v>
      </c>
      <c r="D346" s="559">
        <f t="shared" si="21"/>
        <v>0</v>
      </c>
      <c r="E346" s="559">
        <f t="shared" si="22"/>
        <v>0</v>
      </c>
      <c r="G346" s="559">
        <f t="shared" si="23"/>
        <v>0</v>
      </c>
    </row>
    <row r="347" spans="2:7" x14ac:dyDescent="0.3">
      <c r="B347" s="561">
        <v>338</v>
      </c>
      <c r="C347" s="559">
        <f t="shared" si="20"/>
        <v>0</v>
      </c>
      <c r="D347" s="559">
        <f t="shared" si="21"/>
        <v>0</v>
      </c>
      <c r="E347" s="559">
        <f t="shared" si="22"/>
        <v>0</v>
      </c>
      <c r="G347" s="559">
        <f t="shared" si="23"/>
        <v>0</v>
      </c>
    </row>
    <row r="348" spans="2:7" x14ac:dyDescent="0.3">
      <c r="B348" s="561">
        <v>339</v>
      </c>
      <c r="C348" s="559">
        <f t="shared" si="20"/>
        <v>0</v>
      </c>
      <c r="D348" s="559">
        <f t="shared" si="21"/>
        <v>0</v>
      </c>
      <c r="E348" s="559">
        <f t="shared" si="22"/>
        <v>0</v>
      </c>
      <c r="G348" s="559">
        <f t="shared" si="23"/>
        <v>0</v>
      </c>
    </row>
    <row r="349" spans="2:7" x14ac:dyDescent="0.3">
      <c r="B349" s="561">
        <v>340</v>
      </c>
      <c r="C349" s="559">
        <f t="shared" si="20"/>
        <v>0</v>
      </c>
      <c r="D349" s="559">
        <f t="shared" si="21"/>
        <v>0</v>
      </c>
      <c r="E349" s="559">
        <f t="shared" si="22"/>
        <v>0</v>
      </c>
      <c r="G349" s="559">
        <f t="shared" si="23"/>
        <v>0</v>
      </c>
    </row>
    <row r="350" spans="2:7" x14ac:dyDescent="0.3">
      <c r="B350" s="561">
        <v>341</v>
      </c>
      <c r="C350" s="559">
        <f t="shared" si="20"/>
        <v>0</v>
      </c>
      <c r="D350" s="559">
        <f t="shared" si="21"/>
        <v>0</v>
      </c>
      <c r="E350" s="559">
        <f t="shared" si="22"/>
        <v>0</v>
      </c>
      <c r="G350" s="559">
        <f t="shared" si="23"/>
        <v>0</v>
      </c>
    </row>
    <row r="351" spans="2:7" x14ac:dyDescent="0.3">
      <c r="B351" s="561">
        <v>342</v>
      </c>
      <c r="C351" s="559">
        <f t="shared" si="20"/>
        <v>0</v>
      </c>
      <c r="D351" s="559">
        <f t="shared" si="21"/>
        <v>0</v>
      </c>
      <c r="E351" s="559">
        <f t="shared" si="22"/>
        <v>0</v>
      </c>
      <c r="G351" s="559">
        <f t="shared" si="23"/>
        <v>0</v>
      </c>
    </row>
    <row r="352" spans="2:7" x14ac:dyDescent="0.3">
      <c r="B352" s="561">
        <v>343</v>
      </c>
      <c r="C352" s="559">
        <f t="shared" si="20"/>
        <v>0</v>
      </c>
      <c r="D352" s="559">
        <f t="shared" si="21"/>
        <v>0</v>
      </c>
      <c r="E352" s="559">
        <f t="shared" si="22"/>
        <v>0</v>
      </c>
      <c r="G352" s="559">
        <f t="shared" si="23"/>
        <v>0</v>
      </c>
    </row>
    <row r="353" spans="2:7" x14ac:dyDescent="0.3">
      <c r="B353" s="561">
        <v>344</v>
      </c>
      <c r="C353" s="559">
        <f t="shared" si="20"/>
        <v>0</v>
      </c>
      <c r="D353" s="559">
        <f t="shared" si="21"/>
        <v>0</v>
      </c>
      <c r="E353" s="559">
        <f t="shared" si="22"/>
        <v>0</v>
      </c>
      <c r="G353" s="559">
        <f t="shared" si="23"/>
        <v>0</v>
      </c>
    </row>
    <row r="354" spans="2:7" x14ac:dyDescent="0.3">
      <c r="B354" s="561">
        <v>345</v>
      </c>
      <c r="C354" s="559">
        <f t="shared" si="20"/>
        <v>0</v>
      </c>
      <c r="D354" s="559">
        <f t="shared" si="21"/>
        <v>0</v>
      </c>
      <c r="E354" s="559">
        <f t="shared" si="22"/>
        <v>0</v>
      </c>
      <c r="G354" s="559">
        <f t="shared" si="23"/>
        <v>0</v>
      </c>
    </row>
    <row r="355" spans="2:7" x14ac:dyDescent="0.3">
      <c r="B355" s="561">
        <v>346</v>
      </c>
      <c r="C355" s="559">
        <f t="shared" si="20"/>
        <v>0</v>
      </c>
      <c r="D355" s="559">
        <f t="shared" si="21"/>
        <v>0</v>
      </c>
      <c r="E355" s="559">
        <f t="shared" si="22"/>
        <v>0</v>
      </c>
      <c r="G355" s="559">
        <f t="shared" si="23"/>
        <v>0</v>
      </c>
    </row>
    <row r="356" spans="2:7" x14ac:dyDescent="0.3">
      <c r="B356" s="561">
        <v>347</v>
      </c>
      <c r="C356" s="559">
        <f t="shared" si="20"/>
        <v>0</v>
      </c>
      <c r="D356" s="559">
        <f t="shared" si="21"/>
        <v>0</v>
      </c>
      <c r="E356" s="559">
        <f t="shared" si="22"/>
        <v>0</v>
      </c>
      <c r="G356" s="559">
        <f t="shared" si="23"/>
        <v>0</v>
      </c>
    </row>
    <row r="357" spans="2:7" x14ac:dyDescent="0.3">
      <c r="B357" s="561">
        <v>348</v>
      </c>
      <c r="C357" s="559">
        <f t="shared" si="20"/>
        <v>0</v>
      </c>
      <c r="D357" s="559">
        <f t="shared" si="21"/>
        <v>0</v>
      </c>
      <c r="E357" s="559">
        <f t="shared" si="22"/>
        <v>0</v>
      </c>
      <c r="G357" s="559">
        <f t="shared" si="23"/>
        <v>0</v>
      </c>
    </row>
    <row r="358" spans="2:7" x14ac:dyDescent="0.3">
      <c r="B358" s="561">
        <v>349</v>
      </c>
      <c r="C358" s="559">
        <f t="shared" si="20"/>
        <v>0</v>
      </c>
      <c r="D358" s="559">
        <f t="shared" si="21"/>
        <v>0</v>
      </c>
      <c r="E358" s="559">
        <f t="shared" si="22"/>
        <v>0</v>
      </c>
      <c r="G358" s="559">
        <f t="shared" si="23"/>
        <v>0</v>
      </c>
    </row>
    <row r="359" spans="2:7" x14ac:dyDescent="0.3">
      <c r="B359" s="561">
        <v>350</v>
      </c>
      <c r="C359" s="559">
        <f t="shared" si="20"/>
        <v>0</v>
      </c>
      <c r="D359" s="559">
        <f t="shared" si="21"/>
        <v>0</v>
      </c>
      <c r="E359" s="559">
        <f t="shared" si="22"/>
        <v>0</v>
      </c>
      <c r="G359" s="559">
        <f t="shared" si="23"/>
        <v>0</v>
      </c>
    </row>
    <row r="360" spans="2:7" x14ac:dyDescent="0.3">
      <c r="B360" s="561">
        <v>351</v>
      </c>
      <c r="C360" s="559">
        <f t="shared" si="20"/>
        <v>0</v>
      </c>
      <c r="D360" s="559">
        <f t="shared" si="21"/>
        <v>0</v>
      </c>
      <c r="E360" s="559">
        <f t="shared" si="22"/>
        <v>0</v>
      </c>
      <c r="G360" s="559">
        <f t="shared" si="23"/>
        <v>0</v>
      </c>
    </row>
    <row r="361" spans="2:7" x14ac:dyDescent="0.3">
      <c r="B361" s="561">
        <v>352</v>
      </c>
      <c r="C361" s="559">
        <f t="shared" si="20"/>
        <v>0</v>
      </c>
      <c r="D361" s="559">
        <f t="shared" si="21"/>
        <v>0</v>
      </c>
      <c r="E361" s="559">
        <f t="shared" si="22"/>
        <v>0</v>
      </c>
      <c r="G361" s="559">
        <f t="shared" si="23"/>
        <v>0</v>
      </c>
    </row>
    <row r="362" spans="2:7" x14ac:dyDescent="0.3">
      <c r="B362" s="561">
        <v>353</v>
      </c>
      <c r="C362" s="559">
        <f t="shared" si="20"/>
        <v>0</v>
      </c>
      <c r="D362" s="559">
        <f t="shared" si="21"/>
        <v>0</v>
      </c>
      <c r="E362" s="559">
        <f t="shared" si="22"/>
        <v>0</v>
      </c>
      <c r="G362" s="559">
        <f t="shared" si="23"/>
        <v>0</v>
      </c>
    </row>
    <row r="363" spans="2:7" x14ac:dyDescent="0.3">
      <c r="B363" s="561">
        <v>354</v>
      </c>
      <c r="C363" s="559">
        <f t="shared" si="20"/>
        <v>0</v>
      </c>
      <c r="D363" s="559">
        <f t="shared" si="21"/>
        <v>0</v>
      </c>
      <c r="E363" s="559">
        <f t="shared" si="22"/>
        <v>0</v>
      </c>
      <c r="G363" s="559">
        <f t="shared" si="23"/>
        <v>0</v>
      </c>
    </row>
    <row r="364" spans="2:7" x14ac:dyDescent="0.3">
      <c r="B364" s="561">
        <v>355</v>
      </c>
      <c r="C364" s="559">
        <f t="shared" si="20"/>
        <v>0</v>
      </c>
      <c r="D364" s="559">
        <f t="shared" si="21"/>
        <v>0</v>
      </c>
      <c r="E364" s="559">
        <f t="shared" si="22"/>
        <v>0</v>
      </c>
      <c r="G364" s="559">
        <f t="shared" si="23"/>
        <v>0</v>
      </c>
    </row>
    <row r="365" spans="2:7" x14ac:dyDescent="0.3">
      <c r="B365" s="561">
        <v>356</v>
      </c>
      <c r="C365" s="559">
        <f t="shared" si="20"/>
        <v>0</v>
      </c>
      <c r="D365" s="559">
        <f t="shared" si="21"/>
        <v>0</v>
      </c>
      <c r="E365" s="559">
        <f t="shared" si="22"/>
        <v>0</v>
      </c>
      <c r="G365" s="559">
        <f t="shared" si="23"/>
        <v>0</v>
      </c>
    </row>
    <row r="366" spans="2:7" x14ac:dyDescent="0.3">
      <c r="B366" s="561">
        <v>357</v>
      </c>
      <c r="C366" s="559">
        <f t="shared" si="20"/>
        <v>0</v>
      </c>
      <c r="D366" s="559">
        <f t="shared" si="21"/>
        <v>0</v>
      </c>
      <c r="E366" s="559">
        <f t="shared" si="22"/>
        <v>0</v>
      </c>
      <c r="G366" s="559">
        <f t="shared" si="23"/>
        <v>0</v>
      </c>
    </row>
    <row r="367" spans="2:7" x14ac:dyDescent="0.3">
      <c r="B367" s="561">
        <v>358</v>
      </c>
      <c r="C367" s="559">
        <f t="shared" si="20"/>
        <v>0</v>
      </c>
      <c r="D367" s="559">
        <f t="shared" si="21"/>
        <v>0</v>
      </c>
      <c r="E367" s="559">
        <f t="shared" si="22"/>
        <v>0</v>
      </c>
      <c r="G367" s="559">
        <f t="shared" si="23"/>
        <v>0</v>
      </c>
    </row>
    <row r="368" spans="2:7" x14ac:dyDescent="0.3">
      <c r="B368" s="561">
        <v>359</v>
      </c>
      <c r="C368" s="559">
        <f t="shared" si="20"/>
        <v>0</v>
      </c>
      <c r="D368" s="559">
        <f t="shared" si="21"/>
        <v>0</v>
      </c>
      <c r="E368" s="559">
        <f t="shared" si="22"/>
        <v>0</v>
      </c>
      <c r="G368" s="559">
        <f t="shared" si="23"/>
        <v>0</v>
      </c>
    </row>
    <row r="369" spans="2:7" x14ac:dyDescent="0.3">
      <c r="B369" s="561">
        <v>360</v>
      </c>
      <c r="C369" s="559">
        <f t="shared" si="20"/>
        <v>0</v>
      </c>
      <c r="D369" s="559">
        <f t="shared" si="21"/>
        <v>0</v>
      </c>
      <c r="E369" s="559">
        <f t="shared" si="22"/>
        <v>0</v>
      </c>
      <c r="G369" s="559">
        <f t="shared" si="23"/>
        <v>0</v>
      </c>
    </row>
    <row r="370" spans="2:7" x14ac:dyDescent="0.3">
      <c r="B370" s="561">
        <v>361</v>
      </c>
      <c r="C370" s="559">
        <f t="shared" si="20"/>
        <v>0</v>
      </c>
      <c r="D370" s="559">
        <f t="shared" si="21"/>
        <v>0</v>
      </c>
      <c r="E370" s="559">
        <f t="shared" si="22"/>
        <v>0</v>
      </c>
      <c r="G370" s="559">
        <f t="shared" si="23"/>
        <v>0</v>
      </c>
    </row>
    <row r="371" spans="2:7" x14ac:dyDescent="0.3">
      <c r="B371" s="561">
        <v>362</v>
      </c>
      <c r="C371" s="559">
        <f t="shared" si="20"/>
        <v>0</v>
      </c>
      <c r="D371" s="559">
        <f t="shared" si="21"/>
        <v>0</v>
      </c>
      <c r="E371" s="559">
        <f t="shared" si="22"/>
        <v>0</v>
      </c>
      <c r="G371" s="559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61"/>
    <col min="2" max="2" width="28.44140625" style="587" customWidth="1"/>
    <col min="3" max="3" width="17.88671875" style="588" customWidth="1"/>
    <col min="4" max="4" width="25.5546875" style="587" customWidth="1"/>
    <col min="5" max="5" width="16" style="588" customWidth="1"/>
    <col min="6" max="6" width="12.77734375" style="589" customWidth="1"/>
    <col min="7" max="7" width="13.5546875" style="589" customWidth="1"/>
    <col min="8" max="8" width="26.33203125" style="561" customWidth="1"/>
    <col min="9" max="9" width="17.21875" style="561" customWidth="1"/>
    <col min="10" max="16384" width="8.77734375" style="561"/>
  </cols>
  <sheetData>
    <row r="1" spans="1:8" x14ac:dyDescent="0.3">
      <c r="A1" s="688" t="s">
        <v>454</v>
      </c>
    </row>
    <row r="2" spans="1:8" ht="15" thickBot="1" x14ac:dyDescent="0.35"/>
    <row r="3" spans="1:8" s="594" customFormat="1" ht="29.4" thickBot="1" x14ac:dyDescent="0.35">
      <c r="B3" s="590" t="s">
        <v>385</v>
      </c>
      <c r="C3" s="591">
        <f>'Principle Recapture ARV'!C3</f>
        <v>0</v>
      </c>
      <c r="D3" s="590"/>
      <c r="E3" s="591"/>
      <c r="F3" s="592" t="s">
        <v>445</v>
      </c>
      <c r="G3" s="593" t="s">
        <v>446</v>
      </c>
      <c r="H3"/>
    </row>
    <row r="4" spans="1:8" x14ac:dyDescent="0.3">
      <c r="B4" s="595" t="s">
        <v>384</v>
      </c>
      <c r="C4" s="596">
        <f>SUM('Principle Recapture ARV'!E9:E20)</f>
        <v>0</v>
      </c>
      <c r="D4" s="597" t="s">
        <v>415</v>
      </c>
      <c r="E4" s="596">
        <f>SUM('Principle Recapture ARV'!D9:D20)</f>
        <v>0</v>
      </c>
      <c r="F4" s="598" t="e">
        <f>C4/(C4+E4)</f>
        <v>#DIV/0!</v>
      </c>
      <c r="G4" s="599">
        <f>C4/'ROI Detail ARV'!$I$3</f>
        <v>0</v>
      </c>
      <c r="H4"/>
    </row>
    <row r="5" spans="1:8" x14ac:dyDescent="0.3">
      <c r="B5" s="600" t="s">
        <v>386</v>
      </c>
      <c r="C5" s="601">
        <f>SUM('Principle Recapture ARV'!E21:E32)</f>
        <v>0</v>
      </c>
      <c r="D5" s="602" t="s">
        <v>416</v>
      </c>
      <c r="E5" s="601">
        <f>SUM('Principle Recapture ARV'!D21:D32)</f>
        <v>0</v>
      </c>
      <c r="F5" s="603" t="e">
        <f t="shared" ref="F5:F33" si="0">C5/(C5+E5)</f>
        <v>#DIV/0!</v>
      </c>
      <c r="G5" s="599">
        <f>C5/'ROI Detail ARV'!$I$3</f>
        <v>0</v>
      </c>
      <c r="H5"/>
    </row>
    <row r="6" spans="1:8" x14ac:dyDescent="0.3">
      <c r="B6" s="600" t="s">
        <v>387</v>
      </c>
      <c r="C6" s="601">
        <f>SUM('Principle Recapture ARV'!E33:E44)</f>
        <v>0</v>
      </c>
      <c r="D6" s="602" t="s">
        <v>417</v>
      </c>
      <c r="E6" s="601">
        <f>SUM('Principle Recapture ARV'!D33:D44)</f>
        <v>0</v>
      </c>
      <c r="F6" s="603" t="e">
        <f t="shared" si="0"/>
        <v>#DIV/0!</v>
      </c>
      <c r="G6" s="599">
        <f>C6/'ROI Detail ARV'!$I$3</f>
        <v>0</v>
      </c>
      <c r="H6"/>
    </row>
    <row r="7" spans="1:8" x14ac:dyDescent="0.3">
      <c r="B7" s="600" t="s">
        <v>388</v>
      </c>
      <c r="C7" s="601">
        <f>SUM('Principle Recapture ARV'!E45:E56)</f>
        <v>0</v>
      </c>
      <c r="D7" s="602" t="s">
        <v>418</v>
      </c>
      <c r="E7" s="601">
        <f>SUM('Principle Recapture ARV'!D45:D56)</f>
        <v>0</v>
      </c>
      <c r="F7" s="603" t="e">
        <f t="shared" si="0"/>
        <v>#DIV/0!</v>
      </c>
      <c r="G7" s="599">
        <f>C7/'ROI Detail ARV'!$I$3</f>
        <v>0</v>
      </c>
      <c r="H7"/>
    </row>
    <row r="8" spans="1:8" x14ac:dyDescent="0.3">
      <c r="B8" s="600" t="s">
        <v>389</v>
      </c>
      <c r="C8" s="601">
        <f>SUM('Principle Recapture ARV'!E57:E68)</f>
        <v>0</v>
      </c>
      <c r="D8" s="602" t="s">
        <v>419</v>
      </c>
      <c r="E8" s="601">
        <f>SUM('Principle Recapture ARV'!D57:D68)</f>
        <v>0</v>
      </c>
      <c r="F8" s="603" t="e">
        <f t="shared" si="0"/>
        <v>#DIV/0!</v>
      </c>
      <c r="G8" s="599">
        <f>C8/'ROI Detail ARV'!$I$3</f>
        <v>0</v>
      </c>
      <c r="H8"/>
    </row>
    <row r="9" spans="1:8" x14ac:dyDescent="0.3">
      <c r="B9" s="600" t="s">
        <v>390</v>
      </c>
      <c r="C9" s="601">
        <f>SUM('Principle Recapture ARV'!E69:E80)</f>
        <v>0</v>
      </c>
      <c r="D9" s="602" t="s">
        <v>420</v>
      </c>
      <c r="E9" s="601">
        <f>SUM('Principle Recapture ARV'!D69:D80)</f>
        <v>0</v>
      </c>
      <c r="F9" s="603" t="e">
        <f t="shared" si="0"/>
        <v>#DIV/0!</v>
      </c>
      <c r="G9" s="599">
        <f>C9/'ROI Detail ARV'!$I$3</f>
        <v>0</v>
      </c>
      <c r="H9"/>
    </row>
    <row r="10" spans="1:8" x14ac:dyDescent="0.3">
      <c r="B10" s="600" t="s">
        <v>391</v>
      </c>
      <c r="C10" s="601">
        <f>SUM('Principle Recapture ARV'!E81:E92)</f>
        <v>0</v>
      </c>
      <c r="D10" s="602" t="s">
        <v>421</v>
      </c>
      <c r="E10" s="601">
        <f>SUM('Principle Recapture ARV'!D81:D92)</f>
        <v>0</v>
      </c>
      <c r="F10" s="603" t="e">
        <f t="shared" si="0"/>
        <v>#DIV/0!</v>
      </c>
      <c r="G10" s="599">
        <f>C10/'ROI Detail ARV'!$I$3</f>
        <v>0</v>
      </c>
      <c r="H10"/>
    </row>
    <row r="11" spans="1:8" x14ac:dyDescent="0.3">
      <c r="B11" s="600" t="s">
        <v>392</v>
      </c>
      <c r="C11" s="601">
        <f>SUM('Principle Recapture ARV'!E93:E104)</f>
        <v>0</v>
      </c>
      <c r="D11" s="602" t="s">
        <v>422</v>
      </c>
      <c r="E11" s="601">
        <f>SUM('Principle Recapture ARV'!D93:D104)</f>
        <v>0</v>
      </c>
      <c r="F11" s="603" t="e">
        <f t="shared" si="0"/>
        <v>#DIV/0!</v>
      </c>
      <c r="G11" s="599">
        <f>C11/'ROI Detail ARV'!$I$3</f>
        <v>0</v>
      </c>
      <c r="H11"/>
    </row>
    <row r="12" spans="1:8" x14ac:dyDescent="0.3">
      <c r="B12" s="600" t="s">
        <v>393</v>
      </c>
      <c r="C12" s="601">
        <f>SUM('Principle Recapture ARV'!E105:E116)</f>
        <v>0</v>
      </c>
      <c r="D12" s="602" t="s">
        <v>423</v>
      </c>
      <c r="E12" s="601">
        <f>SUM('Principle Recapture ARV'!D105:D116)</f>
        <v>0</v>
      </c>
      <c r="F12" s="603" t="e">
        <f t="shared" si="0"/>
        <v>#DIV/0!</v>
      </c>
      <c r="G12" s="599">
        <f>C12/'ROI Detail ARV'!$I$3</f>
        <v>0</v>
      </c>
      <c r="H12"/>
    </row>
    <row r="13" spans="1:8" x14ac:dyDescent="0.3">
      <c r="B13" s="600" t="s">
        <v>394</v>
      </c>
      <c r="C13" s="601">
        <f>SUM('Principle Recapture ARV'!E117:E128)</f>
        <v>0</v>
      </c>
      <c r="D13" s="602" t="s">
        <v>424</v>
      </c>
      <c r="E13" s="601">
        <f>SUM('Principle Recapture ARV'!D117:D128)</f>
        <v>0</v>
      </c>
      <c r="F13" s="603" t="e">
        <f t="shared" si="0"/>
        <v>#DIV/0!</v>
      </c>
      <c r="G13" s="599">
        <f>C13/'ROI Detail ARV'!$I$3</f>
        <v>0</v>
      </c>
      <c r="H13"/>
    </row>
    <row r="14" spans="1:8" x14ac:dyDescent="0.3">
      <c r="B14" s="600" t="s">
        <v>395</v>
      </c>
      <c r="C14" s="601">
        <f>SUM('Principle Recapture ARV'!E129:E140)</f>
        <v>0</v>
      </c>
      <c r="D14" s="602" t="s">
        <v>425</v>
      </c>
      <c r="E14" s="601">
        <f>SUM('Principle Recapture ARV'!D129:D140)</f>
        <v>0</v>
      </c>
      <c r="F14" s="603" t="e">
        <f t="shared" si="0"/>
        <v>#DIV/0!</v>
      </c>
      <c r="G14" s="599">
        <f>C14/'ROI Detail ARV'!$I$3</f>
        <v>0</v>
      </c>
      <c r="H14"/>
    </row>
    <row r="15" spans="1:8" x14ac:dyDescent="0.3">
      <c r="B15" s="600" t="s">
        <v>396</v>
      </c>
      <c r="C15" s="601">
        <f>SUM('Principle Recapture ARV'!E141:E152)</f>
        <v>0</v>
      </c>
      <c r="D15" s="602" t="s">
        <v>426</v>
      </c>
      <c r="E15" s="601">
        <f>SUM('Principle Recapture ARV'!D141:D152)</f>
        <v>0</v>
      </c>
      <c r="F15" s="603" t="e">
        <f t="shared" si="0"/>
        <v>#DIV/0!</v>
      </c>
      <c r="G15" s="599">
        <f>C15/'ROI Detail ARV'!$I$3</f>
        <v>0</v>
      </c>
      <c r="H15"/>
    </row>
    <row r="16" spans="1:8" x14ac:dyDescent="0.3">
      <c r="B16" s="600" t="s">
        <v>397</v>
      </c>
      <c r="C16" s="601">
        <f>SUM('Principle Recapture ARV'!E153:E164)</f>
        <v>0</v>
      </c>
      <c r="D16" s="602" t="s">
        <v>427</v>
      </c>
      <c r="E16" s="601">
        <f>SUM('Principle Recapture ARV'!D153:D164)</f>
        <v>0</v>
      </c>
      <c r="F16" s="603" t="e">
        <f t="shared" si="0"/>
        <v>#DIV/0!</v>
      </c>
      <c r="G16" s="599">
        <f>C16/'ROI Detail ARV'!$I$3</f>
        <v>0</v>
      </c>
      <c r="H16"/>
    </row>
    <row r="17" spans="2:8" x14ac:dyDescent="0.3">
      <c r="B17" s="600" t="s">
        <v>398</v>
      </c>
      <c r="C17" s="601">
        <f>SUM('Principle Recapture ARV'!E165:E176)</f>
        <v>0</v>
      </c>
      <c r="D17" s="602" t="s">
        <v>428</v>
      </c>
      <c r="E17" s="601">
        <f>SUM('Principle Recapture ARV'!D165:D176)</f>
        <v>0</v>
      </c>
      <c r="F17" s="603" t="e">
        <f t="shared" si="0"/>
        <v>#DIV/0!</v>
      </c>
      <c r="G17" s="599">
        <f>C17/'ROI Detail ARV'!$I$3</f>
        <v>0</v>
      </c>
      <c r="H17"/>
    </row>
    <row r="18" spans="2:8" x14ac:dyDescent="0.3">
      <c r="B18" s="600" t="s">
        <v>399</v>
      </c>
      <c r="C18" s="601">
        <f>SUM('Principle Recapture ARV'!E177:E188)</f>
        <v>0</v>
      </c>
      <c r="D18" s="602" t="s">
        <v>429</v>
      </c>
      <c r="E18" s="601">
        <f>SUM('Principle Recapture ARV'!D177:D188)</f>
        <v>0</v>
      </c>
      <c r="F18" s="603" t="e">
        <f t="shared" si="0"/>
        <v>#DIV/0!</v>
      </c>
      <c r="G18" s="599">
        <f>C18/'ROI Detail ARV'!$I$3</f>
        <v>0</v>
      </c>
    </row>
    <row r="19" spans="2:8" x14ac:dyDescent="0.3">
      <c r="B19" s="600" t="s">
        <v>400</v>
      </c>
      <c r="C19" s="601">
        <f>SUM('Principle Recapture ARV'!E189:E200)</f>
        <v>0</v>
      </c>
      <c r="D19" s="602" t="s">
        <v>430</v>
      </c>
      <c r="E19" s="601">
        <f>SUM('Principle Recapture ARV'!D189:D200)</f>
        <v>0</v>
      </c>
      <c r="F19" s="603" t="e">
        <f t="shared" si="0"/>
        <v>#DIV/0!</v>
      </c>
      <c r="G19" s="599">
        <f>C19/'ROI Detail ARV'!$I$3</f>
        <v>0</v>
      </c>
    </row>
    <row r="20" spans="2:8" x14ac:dyDescent="0.3">
      <c r="B20" s="600" t="s">
        <v>401</v>
      </c>
      <c r="C20" s="601">
        <f>SUM('Principle Recapture ARV'!E201:E212)</f>
        <v>0</v>
      </c>
      <c r="D20" s="602" t="s">
        <v>431</v>
      </c>
      <c r="E20" s="601">
        <f>SUM('Principle Recapture ARV'!D201:D212)</f>
        <v>0</v>
      </c>
      <c r="F20" s="603" t="e">
        <f t="shared" si="0"/>
        <v>#DIV/0!</v>
      </c>
      <c r="G20" s="599">
        <f>C20/'ROI Detail ARV'!$I$3</f>
        <v>0</v>
      </c>
    </row>
    <row r="21" spans="2:8" x14ac:dyDescent="0.3">
      <c r="B21" s="600" t="s">
        <v>402</v>
      </c>
      <c r="C21" s="601">
        <f>SUM('Principle Recapture ARV'!E213:E224)</f>
        <v>0</v>
      </c>
      <c r="D21" s="602" t="s">
        <v>432</v>
      </c>
      <c r="E21" s="601">
        <f>SUM('Principle Recapture ARV'!D213:D224)</f>
        <v>0</v>
      </c>
      <c r="F21" s="603" t="e">
        <f t="shared" si="0"/>
        <v>#DIV/0!</v>
      </c>
      <c r="G21" s="599">
        <f>C21/'ROI Detail ARV'!$I$3</f>
        <v>0</v>
      </c>
    </row>
    <row r="22" spans="2:8" x14ac:dyDescent="0.3">
      <c r="B22" s="600" t="s">
        <v>403</v>
      </c>
      <c r="C22" s="601">
        <f>SUM('Principle Recapture ARV'!E225:E236)</f>
        <v>0</v>
      </c>
      <c r="D22" s="602" t="s">
        <v>433</v>
      </c>
      <c r="E22" s="601">
        <f>SUM('Principle Recapture ARV'!D225:D236)</f>
        <v>0</v>
      </c>
      <c r="F22" s="603" t="e">
        <f t="shared" si="0"/>
        <v>#DIV/0!</v>
      </c>
      <c r="G22" s="599">
        <f>C22/'ROI Detail ARV'!$I$3</f>
        <v>0</v>
      </c>
    </row>
    <row r="23" spans="2:8" x14ac:dyDescent="0.3">
      <c r="B23" s="600" t="s">
        <v>404</v>
      </c>
      <c r="C23" s="601">
        <f>SUM('Principle Recapture ARV'!E237:E248)</f>
        <v>0</v>
      </c>
      <c r="D23" s="602" t="s">
        <v>434</v>
      </c>
      <c r="E23" s="601">
        <f>SUM('Principle Recapture ARV'!D237:D248)</f>
        <v>0</v>
      </c>
      <c r="F23" s="603" t="e">
        <f t="shared" si="0"/>
        <v>#DIV/0!</v>
      </c>
      <c r="G23" s="599">
        <f>C23/'ROI Detail ARV'!$I$3</f>
        <v>0</v>
      </c>
    </row>
    <row r="24" spans="2:8" x14ac:dyDescent="0.3">
      <c r="B24" s="600" t="s">
        <v>405</v>
      </c>
      <c r="C24" s="601">
        <f>SUM('Principle Recapture ARV'!E249:E260)</f>
        <v>0</v>
      </c>
      <c r="D24" s="602" t="s">
        <v>435</v>
      </c>
      <c r="E24" s="601">
        <f>SUM('Principle Recapture ARV'!D249:D260)</f>
        <v>0</v>
      </c>
      <c r="F24" s="603" t="e">
        <f t="shared" si="0"/>
        <v>#DIV/0!</v>
      </c>
      <c r="G24" s="599">
        <f>C24/'ROI Detail ARV'!$I$3</f>
        <v>0</v>
      </c>
    </row>
    <row r="25" spans="2:8" x14ac:dyDescent="0.3">
      <c r="B25" s="600" t="s">
        <v>406</v>
      </c>
      <c r="C25" s="601">
        <f>SUM('Principle Recapture ARV'!E261:E272)</f>
        <v>0</v>
      </c>
      <c r="D25" s="602" t="s">
        <v>436</v>
      </c>
      <c r="E25" s="601">
        <f>SUM('Principle Recapture ARV'!D261:D272)</f>
        <v>0</v>
      </c>
      <c r="F25" s="603" t="e">
        <f t="shared" si="0"/>
        <v>#DIV/0!</v>
      </c>
      <c r="G25" s="599">
        <f>C25/'ROI Detail ARV'!$I$3</f>
        <v>0</v>
      </c>
    </row>
    <row r="26" spans="2:8" x14ac:dyDescent="0.3">
      <c r="B26" s="600" t="s">
        <v>407</v>
      </c>
      <c r="C26" s="601">
        <f>SUM('Principle Recapture ARV'!E273:E284)</f>
        <v>0</v>
      </c>
      <c r="D26" s="602" t="s">
        <v>437</v>
      </c>
      <c r="E26" s="601">
        <f>SUM('Principle Recapture ARV'!D273:D284)</f>
        <v>0</v>
      </c>
      <c r="F26" s="603" t="e">
        <f t="shared" si="0"/>
        <v>#DIV/0!</v>
      </c>
      <c r="G26" s="599">
        <f>C26/'ROI Detail ARV'!$I$3</f>
        <v>0</v>
      </c>
    </row>
    <row r="27" spans="2:8" x14ac:dyDescent="0.3">
      <c r="B27" s="600" t="s">
        <v>408</v>
      </c>
      <c r="C27" s="601">
        <f>SUM('Principle Recapture ARV'!E285:E296)</f>
        <v>0</v>
      </c>
      <c r="D27" s="602" t="s">
        <v>438</v>
      </c>
      <c r="E27" s="601">
        <f>SUM('Principle Recapture ARV'!D285:D296)</f>
        <v>0</v>
      </c>
      <c r="F27" s="603" t="e">
        <f t="shared" si="0"/>
        <v>#DIV/0!</v>
      </c>
      <c r="G27" s="599">
        <f>C27/'ROI Detail ARV'!$I$3</f>
        <v>0</v>
      </c>
    </row>
    <row r="28" spans="2:8" x14ac:dyDescent="0.3">
      <c r="B28" s="600" t="s">
        <v>409</v>
      </c>
      <c r="C28" s="601">
        <f>SUM('Principle Recapture ARV'!E297:E308)</f>
        <v>0</v>
      </c>
      <c r="D28" s="602" t="s">
        <v>439</v>
      </c>
      <c r="E28" s="601">
        <f>SUM('Principle Recapture ARV'!D297:D308)</f>
        <v>0</v>
      </c>
      <c r="F28" s="603" t="e">
        <f t="shared" si="0"/>
        <v>#DIV/0!</v>
      </c>
      <c r="G28" s="599">
        <f>C28/'ROI Detail ARV'!$I$3</f>
        <v>0</v>
      </c>
    </row>
    <row r="29" spans="2:8" x14ac:dyDescent="0.3">
      <c r="B29" s="600" t="s">
        <v>410</v>
      </c>
      <c r="C29" s="601">
        <f>SUM('Principle Recapture ARV'!E309:E320)</f>
        <v>0</v>
      </c>
      <c r="D29" s="602" t="s">
        <v>440</v>
      </c>
      <c r="E29" s="601">
        <f>SUM('Principle Recapture ARV'!D309:D320)</f>
        <v>0</v>
      </c>
      <c r="F29" s="603" t="e">
        <f t="shared" si="0"/>
        <v>#DIV/0!</v>
      </c>
      <c r="G29" s="599">
        <f>C29/'ROI Detail ARV'!$I$3</f>
        <v>0</v>
      </c>
    </row>
    <row r="30" spans="2:8" x14ac:dyDescent="0.3">
      <c r="B30" s="600" t="s">
        <v>411</v>
      </c>
      <c r="C30" s="601">
        <f>SUM('Principle Recapture ARV'!E321:E332)</f>
        <v>0</v>
      </c>
      <c r="D30" s="602" t="s">
        <v>441</v>
      </c>
      <c r="E30" s="601">
        <f>SUM('Principle Recapture ARV'!D321:D332)</f>
        <v>0</v>
      </c>
      <c r="F30" s="603" t="e">
        <f t="shared" si="0"/>
        <v>#DIV/0!</v>
      </c>
      <c r="G30" s="599">
        <f>C30/'ROI Detail ARV'!$I$3</f>
        <v>0</v>
      </c>
    </row>
    <row r="31" spans="2:8" x14ac:dyDescent="0.3">
      <c r="B31" s="600" t="s">
        <v>412</v>
      </c>
      <c r="C31" s="601">
        <f>SUM('Principle Recapture ARV'!E333:E344)</f>
        <v>0</v>
      </c>
      <c r="D31" s="602" t="s">
        <v>442</v>
      </c>
      <c r="E31" s="601">
        <f>SUM('Principle Recapture ARV'!D333:D344)</f>
        <v>0</v>
      </c>
      <c r="F31" s="603" t="e">
        <f t="shared" si="0"/>
        <v>#DIV/0!</v>
      </c>
      <c r="G31" s="599">
        <f>C31/'ROI Detail ARV'!$I$3</f>
        <v>0</v>
      </c>
    </row>
    <row r="32" spans="2:8" x14ac:dyDescent="0.3">
      <c r="B32" s="600" t="s">
        <v>413</v>
      </c>
      <c r="C32" s="601">
        <f>SUM('Principle Recapture ARV'!E345:E356)</f>
        <v>0</v>
      </c>
      <c r="D32" s="602" t="s">
        <v>443</v>
      </c>
      <c r="E32" s="601">
        <f>SUM('Principle Recapture ARV'!D345:D356)</f>
        <v>0</v>
      </c>
      <c r="F32" s="603" t="e">
        <f t="shared" si="0"/>
        <v>#DIV/0!</v>
      </c>
      <c r="G32" s="599">
        <f>C32/'ROI Detail ARV'!$I$3</f>
        <v>0</v>
      </c>
    </row>
    <row r="33" spans="2:7" ht="15" thickBot="1" x14ac:dyDescent="0.35">
      <c r="B33" s="604" t="s">
        <v>414</v>
      </c>
      <c r="C33" s="605">
        <f>SUM('Principle Recapture ARV'!E357:E368)</f>
        <v>0</v>
      </c>
      <c r="D33" s="606" t="s">
        <v>444</v>
      </c>
      <c r="E33" s="605">
        <f>SUM('Principle Recapture ARV'!D357:D368)</f>
        <v>0</v>
      </c>
      <c r="F33" s="607" t="e">
        <f t="shared" si="0"/>
        <v>#DIV/0!</v>
      </c>
      <c r="G33" s="599">
        <f>C33/'ROI Detail ARV'!$I$3</f>
        <v>0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19"/>
  <sheetViews>
    <sheetView workbookViewId="0"/>
  </sheetViews>
  <sheetFormatPr defaultColWidth="8.77734375" defaultRowHeight="14.4" x14ac:dyDescent="0.3"/>
  <cols>
    <col min="1" max="1" width="34.77734375" style="561" customWidth="1"/>
    <col min="2" max="2" width="23" style="561" customWidth="1"/>
    <col min="3" max="3" width="14.21875" style="561" customWidth="1"/>
    <col min="4" max="4" width="4.33203125" style="561" customWidth="1"/>
    <col min="5" max="5" width="23" style="561" customWidth="1"/>
    <col min="6" max="6" width="14.21875" style="561" customWidth="1"/>
    <col min="7" max="7" width="8.77734375" style="561"/>
    <col min="8" max="8" width="27.77734375" style="561" customWidth="1"/>
    <col min="9" max="16384" width="8.77734375" style="561"/>
  </cols>
  <sheetData>
    <row r="1" spans="1:8" ht="16.2" thickBot="1" x14ac:dyDescent="0.35">
      <c r="A1" s="688" t="s">
        <v>454</v>
      </c>
      <c r="B1" s="946" t="s">
        <v>318</v>
      </c>
      <c r="C1" s="946"/>
      <c r="E1" s="946" t="s">
        <v>319</v>
      </c>
      <c r="F1" s="946"/>
    </row>
    <row r="2" spans="1:8" ht="18" x14ac:dyDescent="0.3">
      <c r="B2" s="944" t="s">
        <v>155</v>
      </c>
      <c r="C2" s="945"/>
      <c r="E2" s="944" t="s">
        <v>155</v>
      </c>
      <c r="F2" s="945"/>
      <c r="H2"/>
    </row>
    <row r="3" spans="1:8" ht="15.6" x14ac:dyDescent="0.3">
      <c r="B3" s="608" t="s">
        <v>95</v>
      </c>
      <c r="C3" s="609">
        <f>'ROI Number insert'!F3</f>
        <v>1550000</v>
      </c>
      <c r="E3" s="608" t="s">
        <v>313</v>
      </c>
      <c r="F3" s="609">
        <f>'ROI Number insert ARV'!E3</f>
        <v>0</v>
      </c>
      <c r="H3"/>
    </row>
    <row r="4" spans="1:8" ht="15.6" x14ac:dyDescent="0.3">
      <c r="B4" s="608" t="s">
        <v>20</v>
      </c>
      <c r="C4" s="610">
        <f>'Calculating offering price'!C13</f>
        <v>0.2</v>
      </c>
      <c r="E4" s="608" t="s">
        <v>20</v>
      </c>
      <c r="F4" s="610">
        <f>'ROI Number insert ARV'!E9</f>
        <v>0.2</v>
      </c>
      <c r="H4"/>
    </row>
    <row r="5" spans="1:8" ht="15.6" x14ac:dyDescent="0.3">
      <c r="B5" s="608" t="s">
        <v>156</v>
      </c>
      <c r="C5" s="611">
        <f>'ROI Number insert'!F4</f>
        <v>25</v>
      </c>
      <c r="E5" s="608" t="s">
        <v>156</v>
      </c>
      <c r="F5" s="611">
        <f>'ROI Number insert ARV'!E4</f>
        <v>30</v>
      </c>
      <c r="H5"/>
    </row>
    <row r="6" spans="1:8" ht="15.6" x14ac:dyDescent="0.3">
      <c r="B6" s="608" t="s">
        <v>157</v>
      </c>
      <c r="C6" s="612">
        <v>12</v>
      </c>
      <c r="E6" s="608" t="s">
        <v>157</v>
      </c>
      <c r="F6" s="612">
        <v>12</v>
      </c>
      <c r="H6"/>
    </row>
    <row r="7" spans="1:8" ht="15.6" x14ac:dyDescent="0.3">
      <c r="B7" s="608" t="s">
        <v>158</v>
      </c>
      <c r="C7" s="610">
        <f>'ROI Number insert'!F5</f>
        <v>6.25E-2</v>
      </c>
      <c r="E7" s="608" t="s">
        <v>158</v>
      </c>
      <c r="F7" s="610">
        <f>'ROI Number insert ARV'!E5</f>
        <v>2.8899999999999999E-2</v>
      </c>
      <c r="H7"/>
    </row>
    <row r="8" spans="1:8" ht="15.6" x14ac:dyDescent="0.3">
      <c r="B8" s="608" t="s">
        <v>159</v>
      </c>
      <c r="C8" s="613">
        <f>C5*C6</f>
        <v>300</v>
      </c>
      <c r="E8" s="608" t="s">
        <v>159</v>
      </c>
      <c r="F8" s="613">
        <f>F5*F6</f>
        <v>360</v>
      </c>
      <c r="H8"/>
    </row>
    <row r="9" spans="1:8" ht="15.6" x14ac:dyDescent="0.3">
      <c r="B9" s="608" t="s">
        <v>160</v>
      </c>
      <c r="C9" s="609">
        <f>C3*C4</f>
        <v>310000</v>
      </c>
      <c r="E9" s="608" t="s">
        <v>160</v>
      </c>
      <c r="F9" s="609">
        <f>F3*F4</f>
        <v>0</v>
      </c>
      <c r="H9"/>
    </row>
    <row r="10" spans="1:8" ht="15.6" x14ac:dyDescent="0.3">
      <c r="B10" s="608" t="s">
        <v>109</v>
      </c>
      <c r="C10" s="609">
        <f>C3-C9</f>
        <v>1240000</v>
      </c>
      <c r="E10" s="608" t="s">
        <v>109</v>
      </c>
      <c r="F10" s="609">
        <f>F3-F9</f>
        <v>0</v>
      </c>
      <c r="H10"/>
    </row>
    <row r="11" spans="1:8" ht="16.2" thickBot="1" x14ac:dyDescent="0.35">
      <c r="B11" s="614" t="s">
        <v>161</v>
      </c>
      <c r="C11" s="615">
        <f>-PMT(C7/C6,C8,C10,0)</f>
        <v>8179.9002911065363</v>
      </c>
      <c r="E11" s="614" t="s">
        <v>161</v>
      </c>
      <c r="F11" s="615">
        <f>-PMT(F7/F6,F8,F10,0)</f>
        <v>0</v>
      </c>
      <c r="H11"/>
    </row>
    <row r="12" spans="1:8" ht="15" thickBot="1" x14ac:dyDescent="0.35">
      <c r="H12"/>
    </row>
    <row r="13" spans="1:8" ht="18" x14ac:dyDescent="0.3">
      <c r="B13" s="944" t="s">
        <v>244</v>
      </c>
      <c r="C13" s="945"/>
      <c r="E13" s="944" t="s">
        <v>244</v>
      </c>
      <c r="F13" s="945"/>
      <c r="H13"/>
    </row>
    <row r="14" spans="1:8" ht="15.6" x14ac:dyDescent="0.3">
      <c r="B14" s="616" t="s">
        <v>245</v>
      </c>
      <c r="C14" s="617">
        <v>0</v>
      </c>
      <c r="E14" s="616" t="s">
        <v>245</v>
      </c>
      <c r="F14" s="617">
        <v>0</v>
      </c>
      <c r="H14"/>
    </row>
    <row r="15" spans="1:8" ht="15.6" x14ac:dyDescent="0.3">
      <c r="B15" s="608" t="s">
        <v>156</v>
      </c>
      <c r="C15" s="618">
        <v>0</v>
      </c>
      <c r="E15" s="608" t="s">
        <v>156</v>
      </c>
      <c r="F15" s="618">
        <v>0</v>
      </c>
      <c r="H15"/>
    </row>
    <row r="16" spans="1:8" ht="15.6" x14ac:dyDescent="0.3">
      <c r="B16" s="608" t="s">
        <v>157</v>
      </c>
      <c r="C16" s="612">
        <v>12</v>
      </c>
      <c r="E16" s="608" t="s">
        <v>157</v>
      </c>
      <c r="F16" s="612">
        <v>12</v>
      </c>
      <c r="H16"/>
    </row>
    <row r="17" spans="2:6" ht="15.6" x14ac:dyDescent="0.3">
      <c r="B17" s="608" t="s">
        <v>158</v>
      </c>
      <c r="C17" s="619">
        <v>0</v>
      </c>
      <c r="E17" s="608" t="s">
        <v>158</v>
      </c>
      <c r="F17" s="619">
        <v>0</v>
      </c>
    </row>
    <row r="18" spans="2:6" ht="15.6" x14ac:dyDescent="0.3">
      <c r="B18" s="608" t="s">
        <v>159</v>
      </c>
      <c r="C18" s="613">
        <f>C15*C16</f>
        <v>0</v>
      </c>
      <c r="E18" s="608" t="s">
        <v>159</v>
      </c>
      <c r="F18" s="613">
        <f>F15*F16</f>
        <v>0</v>
      </c>
    </row>
    <row r="19" spans="2:6" ht="16.2" thickBot="1" x14ac:dyDescent="0.35">
      <c r="B19" s="614" t="s">
        <v>161</v>
      </c>
      <c r="C19" s="615" t="e">
        <f>-PMT(C17/C16,C18,C14,0)</f>
        <v>#NUM!</v>
      </c>
      <c r="E19" s="614" t="s">
        <v>161</v>
      </c>
      <c r="F19" s="615" t="e">
        <f>-PMT(F17/F16,F18,F14,0)</f>
        <v>#NUM!</v>
      </c>
    </row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20" sqref="C20"/>
    </sheetView>
  </sheetViews>
  <sheetFormatPr defaultColWidth="8.77734375" defaultRowHeight="14.4" x14ac:dyDescent="0.3"/>
  <cols>
    <col min="1" max="1" width="35.21875" style="561" customWidth="1"/>
    <col min="2" max="2" width="22.33203125" style="561" customWidth="1"/>
    <col min="3" max="3" width="12.77734375" style="561" customWidth="1"/>
    <col min="4" max="4" width="3.21875" style="561" customWidth="1"/>
    <col min="5" max="5" width="22.33203125" style="561" customWidth="1"/>
    <col min="6" max="6" width="12.77734375" style="561" customWidth="1"/>
    <col min="7" max="7" width="8.77734375" style="561"/>
    <col min="8" max="8" width="27.33203125" style="561" customWidth="1"/>
    <col min="9" max="16384" width="8.77734375" style="561"/>
  </cols>
  <sheetData>
    <row r="1" spans="1:8" ht="16.2" thickBot="1" x14ac:dyDescent="0.35">
      <c r="A1" s="688" t="s">
        <v>454</v>
      </c>
      <c r="B1" s="949" t="s">
        <v>318</v>
      </c>
      <c r="C1" s="949"/>
      <c r="E1" s="949" t="s">
        <v>319</v>
      </c>
      <c r="F1" s="949"/>
      <c r="H1"/>
    </row>
    <row r="2" spans="1:8" ht="16.2" thickBot="1" x14ac:dyDescent="0.35">
      <c r="B2" s="947" t="s">
        <v>162</v>
      </c>
      <c r="C2" s="948"/>
      <c r="E2" s="947" t="s">
        <v>162</v>
      </c>
      <c r="F2" s="948"/>
      <c r="H2"/>
    </row>
    <row r="3" spans="1:8" ht="16.8" thickTop="1" thickBot="1" x14ac:dyDescent="0.35">
      <c r="B3" s="620" t="s">
        <v>163</v>
      </c>
      <c r="C3" s="775">
        <v>0</v>
      </c>
      <c r="E3" s="620" t="s">
        <v>163</v>
      </c>
      <c r="F3" s="775">
        <v>0</v>
      </c>
      <c r="H3"/>
    </row>
    <row r="4" spans="1:8" ht="16.8" thickTop="1" thickBot="1" x14ac:dyDescent="0.35">
      <c r="B4" s="621" t="s">
        <v>164</v>
      </c>
      <c r="C4" s="736">
        <v>0</v>
      </c>
      <c r="E4" s="621" t="s">
        <v>164</v>
      </c>
      <c r="F4" s="736">
        <v>0</v>
      </c>
      <c r="H4"/>
    </row>
    <row r="5" spans="1:8" ht="16.8" thickTop="1" thickBot="1" x14ac:dyDescent="0.35">
      <c r="B5" s="621" t="s">
        <v>165</v>
      </c>
      <c r="C5" s="775">
        <v>0</v>
      </c>
      <c r="E5" s="621" t="s">
        <v>165</v>
      </c>
      <c r="F5" s="775">
        <v>0</v>
      </c>
      <c r="H5"/>
    </row>
    <row r="6" spans="1:8" ht="16.8" thickTop="1" thickBot="1" x14ac:dyDescent="0.35">
      <c r="B6" s="622" t="s">
        <v>166</v>
      </c>
      <c r="C6" s="623">
        <f>C3*C4/12+C5</f>
        <v>0</v>
      </c>
      <c r="E6" s="622" t="s">
        <v>166</v>
      </c>
      <c r="F6" s="623">
        <f>F3*F4/12+F5</f>
        <v>0</v>
      </c>
      <c r="H6"/>
    </row>
    <row r="7" spans="1:8" x14ac:dyDescent="0.3">
      <c r="H7"/>
    </row>
    <row r="8" spans="1:8" x14ac:dyDescent="0.3">
      <c r="H8"/>
    </row>
    <row r="9" spans="1:8" x14ac:dyDescent="0.3">
      <c r="H9"/>
    </row>
    <row r="10" spans="1:8" x14ac:dyDescent="0.3">
      <c r="H10"/>
    </row>
    <row r="11" spans="1:8" x14ac:dyDescent="0.3">
      <c r="H11"/>
    </row>
    <row r="12" spans="1:8" x14ac:dyDescent="0.3">
      <c r="H12"/>
    </row>
    <row r="13" spans="1:8" x14ac:dyDescent="0.3">
      <c r="H13"/>
    </row>
    <row r="14" spans="1:8" x14ac:dyDescent="0.3">
      <c r="H14"/>
    </row>
    <row r="15" spans="1:8" x14ac:dyDescent="0.3">
      <c r="H15"/>
    </row>
    <row r="16" spans="1:8" x14ac:dyDescent="0.3">
      <c r="H16"/>
    </row>
    <row r="17" spans="8:8" x14ac:dyDescent="0.3">
      <c r="H17"/>
    </row>
  </sheetData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/>
  <dimension ref="A1:I33"/>
  <sheetViews>
    <sheetView workbookViewId="0"/>
  </sheetViews>
  <sheetFormatPr defaultColWidth="8.77734375" defaultRowHeight="14.4" x14ac:dyDescent="0.3"/>
  <cols>
    <col min="1" max="1" width="5.21875" style="561" customWidth="1"/>
    <col min="2" max="2" width="24.21875" style="561" customWidth="1"/>
    <col min="3" max="3" width="19.109375" style="561" customWidth="1"/>
    <col min="4" max="4" width="3.88671875" style="561" customWidth="1"/>
    <col min="5" max="5" width="19.109375" style="561" customWidth="1"/>
    <col min="6" max="6" width="20" style="561" customWidth="1"/>
    <col min="7" max="7" width="3.44140625" style="561" customWidth="1"/>
    <col min="8" max="8" width="20.88671875" style="561" customWidth="1"/>
    <col min="9" max="9" width="15" style="561" customWidth="1"/>
    <col min="10" max="16384" width="8.77734375" style="561"/>
  </cols>
  <sheetData>
    <row r="1" spans="1:9" x14ac:dyDescent="0.3">
      <c r="A1" s="688" t="s">
        <v>454</v>
      </c>
    </row>
    <row r="2" spans="1:9" ht="16.2" thickBot="1" x14ac:dyDescent="0.35">
      <c r="A2" s="624" t="s">
        <v>293</v>
      </c>
      <c r="E2" s="624" t="s">
        <v>294</v>
      </c>
      <c r="H2" s="625" t="s">
        <v>305</v>
      </c>
    </row>
    <row r="3" spans="1:9" x14ac:dyDescent="0.3">
      <c r="B3" s="626" t="s">
        <v>281</v>
      </c>
      <c r="C3" s="627">
        <f>SUM(C4:C7)</f>
        <v>361400</v>
      </c>
      <c r="E3" s="626" t="s">
        <v>281</v>
      </c>
      <c r="F3" s="627">
        <f>SUM(F4:F7)</f>
        <v>361400</v>
      </c>
      <c r="H3" s="626" t="s">
        <v>281</v>
      </c>
      <c r="I3" s="627">
        <f>SUM(I4:I7)</f>
        <v>361400</v>
      </c>
    </row>
    <row r="4" spans="1:9" x14ac:dyDescent="0.3">
      <c r="B4" s="628" t="s">
        <v>160</v>
      </c>
      <c r="C4" s="629">
        <f>'Total Result'!C17</f>
        <v>310000</v>
      </c>
      <c r="E4" s="628" t="s">
        <v>160</v>
      </c>
      <c r="F4" s="629">
        <f>C4</f>
        <v>310000</v>
      </c>
      <c r="H4" s="628" t="s">
        <v>160</v>
      </c>
      <c r="I4" s="629">
        <f>C4</f>
        <v>310000</v>
      </c>
    </row>
    <row r="5" spans="1:9" x14ac:dyDescent="0.3">
      <c r="B5" s="628" t="s">
        <v>94</v>
      </c>
      <c r="C5" s="629">
        <f>'Total Result'!C18</f>
        <v>51400</v>
      </c>
      <c r="E5" s="628" t="s">
        <v>94</v>
      </c>
      <c r="F5" s="629">
        <f>C5</f>
        <v>51400</v>
      </c>
      <c r="H5" s="628" t="s">
        <v>94</v>
      </c>
      <c r="I5" s="629">
        <f>C5</f>
        <v>51400</v>
      </c>
    </row>
    <row r="6" spans="1:9" x14ac:dyDescent="0.3">
      <c r="B6" s="628" t="s">
        <v>15</v>
      </c>
      <c r="C6" s="629">
        <f>'ROI Number insert'!F13</f>
        <v>0</v>
      </c>
      <c r="E6" s="628" t="s">
        <v>15</v>
      </c>
      <c r="F6" s="629">
        <f>C6</f>
        <v>0</v>
      </c>
      <c r="H6" s="628" t="s">
        <v>15</v>
      </c>
      <c r="I6" s="629">
        <f>C6</f>
        <v>0</v>
      </c>
    </row>
    <row r="7" spans="1:9" x14ac:dyDescent="0.3">
      <c r="B7" s="628" t="s">
        <v>26</v>
      </c>
      <c r="C7" s="629">
        <f>'ROI Number insert'!F15</f>
        <v>0</v>
      </c>
      <c r="E7" s="628" t="s">
        <v>26</v>
      </c>
      <c r="F7" s="629">
        <f>C7</f>
        <v>0</v>
      </c>
      <c r="H7" s="628" t="s">
        <v>26</v>
      </c>
      <c r="I7" s="629">
        <f>C7</f>
        <v>0</v>
      </c>
    </row>
    <row r="8" spans="1:9" x14ac:dyDescent="0.3">
      <c r="B8" s="628" t="s">
        <v>282</v>
      </c>
      <c r="C8" s="630">
        <v>7.0000000000000007E-2</v>
      </c>
      <c r="E8" s="628" t="s">
        <v>282</v>
      </c>
      <c r="F8" s="630">
        <v>0.13</v>
      </c>
      <c r="H8" s="628" t="s">
        <v>282</v>
      </c>
      <c r="I8" s="630">
        <v>0.15</v>
      </c>
    </row>
    <row r="9" spans="1:9" ht="15" thickBot="1" x14ac:dyDescent="0.35">
      <c r="B9" s="628" t="s">
        <v>275</v>
      </c>
      <c r="C9" s="630">
        <v>2.1999999999999999E-2</v>
      </c>
      <c r="E9" s="628" t="s">
        <v>275</v>
      </c>
      <c r="F9" s="630">
        <v>2.1999999999999999E-2</v>
      </c>
      <c r="H9" s="631" t="s">
        <v>275</v>
      </c>
      <c r="I9" s="632">
        <v>2.1999999999999999E-2</v>
      </c>
    </row>
    <row r="10" spans="1:9" x14ac:dyDescent="0.3">
      <c r="B10" s="628" t="s">
        <v>283</v>
      </c>
      <c r="C10" s="633">
        <f>C3*-1</f>
        <v>-361400</v>
      </c>
      <c r="E10" s="628" t="s">
        <v>283</v>
      </c>
      <c r="F10" s="633">
        <f>F3*-1</f>
        <v>-361400</v>
      </c>
      <c r="H10" s="626" t="s">
        <v>283</v>
      </c>
      <c r="I10" s="634">
        <f>I3*-1</f>
        <v>-361400</v>
      </c>
    </row>
    <row r="11" spans="1:9" x14ac:dyDescent="0.3">
      <c r="B11" s="628" t="s">
        <v>284</v>
      </c>
      <c r="C11" s="633">
        <f>'ROI details'!C32</f>
        <v>-60714.892742690201</v>
      </c>
      <c r="E11" s="628" t="s">
        <v>284</v>
      </c>
      <c r="F11" s="633">
        <f>C11</f>
        <v>-60714.892742690201</v>
      </c>
      <c r="H11" s="628" t="s">
        <v>205</v>
      </c>
      <c r="I11" s="633">
        <f>'ROI details'!I19</f>
        <v>161325.24496000004</v>
      </c>
    </row>
    <row r="12" spans="1:9" x14ac:dyDescent="0.3">
      <c r="B12" s="628" t="s">
        <v>285</v>
      </c>
      <c r="C12" s="635">
        <f>'ROI details'!C33</f>
        <v>-60449.902178792552</v>
      </c>
      <c r="E12" s="628" t="s">
        <v>285</v>
      </c>
      <c r="F12" s="635">
        <f>C12</f>
        <v>-60449.902178792552</v>
      </c>
      <c r="H12" s="628" t="s">
        <v>289</v>
      </c>
      <c r="I12" s="635">
        <f>NPV(I9,I11)-I3</f>
        <v>-203547.50982387472</v>
      </c>
    </row>
    <row r="13" spans="1:9" x14ac:dyDescent="0.3">
      <c r="B13" s="628" t="s">
        <v>286</v>
      </c>
      <c r="C13" s="635">
        <f>'ROI details'!C34</f>
        <v>-60198.241478184849</v>
      </c>
      <c r="E13" s="628" t="s">
        <v>286</v>
      </c>
      <c r="F13" s="635">
        <f>C13</f>
        <v>-60198.241478184849</v>
      </c>
      <c r="H13" s="628" t="s">
        <v>20</v>
      </c>
      <c r="I13" s="636">
        <f>C27</f>
        <v>0.2</v>
      </c>
    </row>
    <row r="14" spans="1:9" x14ac:dyDescent="0.3">
      <c r="B14" s="628" t="s">
        <v>287</v>
      </c>
      <c r="C14" s="635">
        <f>'ROI details'!C35</f>
        <v>-59960.894480603754</v>
      </c>
      <c r="E14" s="628" t="s">
        <v>287</v>
      </c>
      <c r="F14" s="635">
        <f>C14</f>
        <v>-59960.894480603754</v>
      </c>
      <c r="H14" s="628" t="s">
        <v>95</v>
      </c>
      <c r="I14" s="635">
        <f>(I3-I6-I7-I5*80%)/I13</f>
        <v>1601400</v>
      </c>
    </row>
    <row r="15" spans="1:9" x14ac:dyDescent="0.3">
      <c r="B15" s="628" t="s">
        <v>288</v>
      </c>
      <c r="C15" s="635">
        <f>'ROI details'!C36</f>
        <v>-59738.892316415775</v>
      </c>
      <c r="E15" s="628" t="s">
        <v>288</v>
      </c>
      <c r="F15" s="635">
        <f>C15+'ROI details'!I4</f>
        <v>63500.978063431874</v>
      </c>
      <c r="H15" s="628" t="s">
        <v>290</v>
      </c>
      <c r="I15" s="637">
        <f>IRR(I10:I11)</f>
        <v>-0.55361027957941333</v>
      </c>
    </row>
    <row r="16" spans="1:9" x14ac:dyDescent="0.3">
      <c r="B16" s="628" t="s">
        <v>295</v>
      </c>
      <c r="C16" s="635">
        <f>'ROI details'!C37</f>
        <v>-59533.31541556256</v>
      </c>
      <c r="E16" s="628" t="s">
        <v>295</v>
      </c>
      <c r="F16" s="635">
        <f>C16</f>
        <v>-59533.31541556256</v>
      </c>
      <c r="H16" s="628" t="s">
        <v>291</v>
      </c>
      <c r="I16" s="638">
        <f>I12+I3</f>
        <v>157852.49017612528</v>
      </c>
    </row>
    <row r="17" spans="2:9" ht="15" thickBot="1" x14ac:dyDescent="0.35">
      <c r="B17" s="628" t="s">
        <v>296</v>
      </c>
      <c r="C17" s="635">
        <f>'ROI details'!C38</f>
        <v>-59345.295597615608</v>
      </c>
      <c r="E17" s="628" t="s">
        <v>296</v>
      </c>
      <c r="F17" s="635">
        <f>C17</f>
        <v>-59345.295597615608</v>
      </c>
      <c r="H17" s="639" t="s">
        <v>292</v>
      </c>
      <c r="I17" s="640">
        <f>I16/I3</f>
        <v>0.43678054835673846</v>
      </c>
    </row>
    <row r="18" spans="2:9" x14ac:dyDescent="0.3">
      <c r="B18" s="628" t="s">
        <v>297</v>
      </c>
      <c r="C18" s="635">
        <f>'ROI details'!C39</f>
        <v>-59176.018246138636</v>
      </c>
      <c r="E18" s="628" t="s">
        <v>297</v>
      </c>
      <c r="F18" s="635">
        <f>C18</f>
        <v>-59176.018246138636</v>
      </c>
      <c r="H18" s="626" t="s">
        <v>283</v>
      </c>
      <c r="I18" s="634">
        <f>I10</f>
        <v>-361400</v>
      </c>
    </row>
    <row r="19" spans="2:9" x14ac:dyDescent="0.3">
      <c r="B19" s="628" t="s">
        <v>298</v>
      </c>
      <c r="C19" s="635">
        <f>'ROI details'!C40</f>
        <v>-59026.724570679879</v>
      </c>
      <c r="E19" s="628" t="s">
        <v>298</v>
      </c>
      <c r="F19" s="635">
        <f>C19</f>
        <v>-59026.724570679879</v>
      </c>
      <c r="H19" s="641" t="s">
        <v>144</v>
      </c>
      <c r="I19" s="642">
        <f>'ROI details'!I20</f>
        <v>248838.27878898033</v>
      </c>
    </row>
    <row r="20" spans="2:9" x14ac:dyDescent="0.3">
      <c r="B20" s="628" t="s">
        <v>299</v>
      </c>
      <c r="C20" s="635">
        <f>'ROI details'!C41</f>
        <v>-58898.713959847104</v>
      </c>
      <c r="E20" s="628" t="s">
        <v>299</v>
      </c>
      <c r="F20" s="635">
        <f>C20+'ROI details'!I8-'ROI details'!I4</f>
        <v>107062.46669133753</v>
      </c>
      <c r="H20" s="628" t="s">
        <v>289</v>
      </c>
      <c r="I20" s="635">
        <f>NPV(I9,I19)-I3</f>
        <v>-117918.31821039107</v>
      </c>
    </row>
    <row r="21" spans="2:9" x14ac:dyDescent="0.3">
      <c r="B21" s="628" t="s">
        <v>300</v>
      </c>
      <c r="C21" s="635">
        <f>'ROI details'!C42</f>
        <v>-58793.346429051009</v>
      </c>
      <c r="E21" s="628" t="s">
        <v>300</v>
      </c>
      <c r="F21" s="635">
        <f>C21</f>
        <v>-58793.346429051009</v>
      </c>
      <c r="H21" s="628" t="s">
        <v>20</v>
      </c>
      <c r="I21" s="636">
        <f>C27</f>
        <v>0.2</v>
      </c>
    </row>
    <row r="22" spans="2:9" x14ac:dyDescent="0.3">
      <c r="B22" s="628" t="s">
        <v>301</v>
      </c>
      <c r="C22" s="635">
        <f>'ROI details'!C43</f>
        <v>-58712.045166644093</v>
      </c>
      <c r="E22" s="628" t="s">
        <v>301</v>
      </c>
      <c r="F22" s="635">
        <f>C22</f>
        <v>-58712.045166644093</v>
      </c>
      <c r="H22" s="628" t="s">
        <v>95</v>
      </c>
      <c r="I22" s="635">
        <f>(I20-I6-I7-I5*80%)/I13</f>
        <v>-795191.59105195524</v>
      </c>
    </row>
    <row r="23" spans="2:9" x14ac:dyDescent="0.3">
      <c r="B23" s="628" t="s">
        <v>302</v>
      </c>
      <c r="C23" s="635">
        <f>'ROI details'!C44</f>
        <v>-58656.299182325805</v>
      </c>
      <c r="E23" s="628" t="s">
        <v>302</v>
      </c>
      <c r="F23" s="635">
        <f>C23</f>
        <v>-58656.299182325805</v>
      </c>
      <c r="H23" s="628" t="s">
        <v>290</v>
      </c>
      <c r="I23" s="637">
        <f>IRR(I18:I19)</f>
        <v>-0.31146021364421583</v>
      </c>
    </row>
    <row r="24" spans="2:9" x14ac:dyDescent="0.3">
      <c r="B24" s="628" t="s">
        <v>303</v>
      </c>
      <c r="C24" s="635">
        <f>'ROI details'!C45</f>
        <v>-58627.66606183644</v>
      </c>
      <c r="E24" s="628" t="s">
        <v>303</v>
      </c>
      <c r="F24" s="635">
        <f>C24</f>
        <v>-58627.66606183644</v>
      </c>
      <c r="H24" s="628" t="s">
        <v>291</v>
      </c>
      <c r="I24" s="638">
        <f>I20+I3</f>
        <v>243481.68178960893</v>
      </c>
    </row>
    <row r="25" spans="2:9" ht="15" thickBot="1" x14ac:dyDescent="0.35">
      <c r="B25" s="628" t="s">
        <v>304</v>
      </c>
      <c r="C25" s="635">
        <f>'ROI details'!C46</f>
        <v>-58627.774832117851</v>
      </c>
      <c r="E25" s="628" t="s">
        <v>304</v>
      </c>
      <c r="F25" s="635">
        <f>C25</f>
        <v>-58627.774832117851</v>
      </c>
      <c r="H25" s="639" t="s">
        <v>292</v>
      </c>
      <c r="I25" s="640">
        <f>I24/I10</f>
        <v>-0.67371799056338944</v>
      </c>
    </row>
    <row r="26" spans="2:9" x14ac:dyDescent="0.3">
      <c r="B26" s="628" t="s">
        <v>289</v>
      </c>
      <c r="C26" s="635">
        <f>NPV(C9,C11:C25)-C3</f>
        <v>-1113683.8684101296</v>
      </c>
      <c r="E26" s="628" t="s">
        <v>289</v>
      </c>
      <c r="F26" s="635">
        <f>NPV(F9,F11:F25)-F3</f>
        <v>-869644.63946756069</v>
      </c>
      <c r="H26" s="626" t="s">
        <v>283</v>
      </c>
      <c r="I26" s="634">
        <f>I10</f>
        <v>-361400</v>
      </c>
    </row>
    <row r="27" spans="2:9" x14ac:dyDescent="0.3">
      <c r="B27" s="628" t="s">
        <v>20</v>
      </c>
      <c r="C27" s="636">
        <f>'ROI Number insert'!F9</f>
        <v>0.2</v>
      </c>
      <c r="E27" s="628" t="s">
        <v>20</v>
      </c>
      <c r="F27" s="636">
        <f>C27</f>
        <v>0.2</v>
      </c>
      <c r="H27" s="628" t="s">
        <v>148</v>
      </c>
      <c r="I27" s="633">
        <f>'ROI details'!I21</f>
        <v>536095.92440240039</v>
      </c>
    </row>
    <row r="28" spans="2:9" x14ac:dyDescent="0.3">
      <c r="B28" s="628" t="s">
        <v>95</v>
      </c>
      <c r="C28" s="635">
        <f>(C26-C6-C7-C5*80%)/C27</f>
        <v>-5774019.3420506474</v>
      </c>
      <c r="E28" s="628" t="s">
        <v>95</v>
      </c>
      <c r="F28" s="635">
        <f>(F26-F6-F7-F5*80%)/F27</f>
        <v>-4553823.1973378034</v>
      </c>
      <c r="H28" s="628" t="s">
        <v>289</v>
      </c>
      <c r="I28" s="635">
        <f>NPV(I9,I27)-I3</f>
        <v>163155.69902387518</v>
      </c>
    </row>
    <row r="29" spans="2:9" x14ac:dyDescent="0.3">
      <c r="B29" s="628" t="s">
        <v>290</v>
      </c>
      <c r="C29" s="637" t="e">
        <f>IRR(C10:C25)</f>
        <v>#NUM!</v>
      </c>
      <c r="E29" s="628" t="s">
        <v>290</v>
      </c>
      <c r="F29" s="637" t="e">
        <f>IRR(F10:F25)</f>
        <v>#NUM!</v>
      </c>
      <c r="H29" s="628" t="s">
        <v>20</v>
      </c>
      <c r="I29" s="636">
        <f>C27</f>
        <v>0.2</v>
      </c>
    </row>
    <row r="30" spans="2:9" x14ac:dyDescent="0.3">
      <c r="B30" s="628" t="s">
        <v>291</v>
      </c>
      <c r="C30" s="638">
        <f>C26+C3</f>
        <v>-752283.86841012957</v>
      </c>
      <c r="E30" s="628" t="s">
        <v>291</v>
      </c>
      <c r="F30" s="638">
        <f>F26+F3</f>
        <v>-508244.63946756069</v>
      </c>
      <c r="H30" s="628" t="s">
        <v>95</v>
      </c>
      <c r="I30" s="635">
        <f>(I28-I6-I7-I5*80%)/I13</f>
        <v>610178.49511937588</v>
      </c>
    </row>
    <row r="31" spans="2:9" ht="15" thickBot="1" x14ac:dyDescent="0.35">
      <c r="B31" s="639" t="s">
        <v>292</v>
      </c>
      <c r="C31" s="640">
        <f>C30/C3</f>
        <v>-2.0815823697015206</v>
      </c>
      <c r="E31" s="639" t="s">
        <v>292</v>
      </c>
      <c r="F31" s="640">
        <f>F30/F3</f>
        <v>-1.4063216366008873</v>
      </c>
      <c r="H31" s="628" t="s">
        <v>290</v>
      </c>
      <c r="I31" s="637">
        <f>IRR(I26:I27)</f>
        <v>0.48338661981848463</v>
      </c>
    </row>
    <row r="32" spans="2:9" x14ac:dyDescent="0.3">
      <c r="H32" s="628" t="s">
        <v>291</v>
      </c>
      <c r="I32" s="638">
        <f>I28+I19</f>
        <v>411993.9778128555</v>
      </c>
    </row>
    <row r="33" spans="8:9" ht="15" thickBot="1" x14ac:dyDescent="0.35">
      <c r="H33" s="639" t="s">
        <v>292</v>
      </c>
      <c r="I33" s="640">
        <f>I32/I19</f>
        <v>1.6556696173028682</v>
      </c>
    </row>
  </sheetData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88" t="s">
        <v>454</v>
      </c>
    </row>
    <row r="2" spans="1:6" x14ac:dyDescent="0.3">
      <c r="A2" s="557" t="s">
        <v>348</v>
      </c>
    </row>
    <row r="3" spans="1:6" ht="28.95" customHeight="1" x14ac:dyDescent="0.35">
      <c r="A3" s="120"/>
      <c r="B3" s="950" t="s">
        <v>361</v>
      </c>
      <c r="C3" s="950"/>
      <c r="D3" s="950"/>
      <c r="E3" s="950"/>
      <c r="F3" s="950"/>
    </row>
    <row r="4" spans="1:6" x14ac:dyDescent="0.3">
      <c r="C4" s="1" t="s">
        <v>358</v>
      </c>
      <c r="D4" s="127">
        <f>'Total Result'!C21</f>
        <v>361400</v>
      </c>
    </row>
    <row r="5" spans="1:6" x14ac:dyDescent="0.3">
      <c r="C5" s="1" t="s">
        <v>349</v>
      </c>
      <c r="D5" s="292">
        <v>25000</v>
      </c>
      <c r="F5" s="430"/>
    </row>
    <row r="6" spans="1:6" x14ac:dyDescent="0.3">
      <c r="C6" s="1" t="s">
        <v>350</v>
      </c>
      <c r="D6" s="1">
        <f>ROUNDUP(D4/D5,0)+2</f>
        <v>17</v>
      </c>
    </row>
    <row r="7" spans="1:6" x14ac:dyDescent="0.3">
      <c r="C7" s="1" t="s">
        <v>359</v>
      </c>
      <c r="D7" s="127">
        <f>D6*D5</f>
        <v>425000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63600</v>
      </c>
    </row>
    <row r="10" spans="1:6" ht="28.95" customHeight="1" x14ac:dyDescent="0.3">
      <c r="B10" s="951" t="s">
        <v>367</v>
      </c>
      <c r="C10" s="951"/>
      <c r="D10" s="951"/>
      <c r="E10" s="951"/>
      <c r="F10" s="951"/>
    </row>
    <row r="11" spans="1:6" ht="14.55" customHeight="1" x14ac:dyDescent="0.3">
      <c r="B11" s="424"/>
      <c r="C11" s="425" t="s">
        <v>368</v>
      </c>
      <c r="D11" s="426">
        <f>D9/D6</f>
        <v>3741.1764705882351</v>
      </c>
      <c r="E11" s="424"/>
      <c r="F11" s="424"/>
    </row>
    <row r="12" spans="1:6" x14ac:dyDescent="0.3">
      <c r="B12" s="558" t="s">
        <v>356</v>
      </c>
      <c r="D12" s="127"/>
    </row>
    <row r="13" spans="1:6" x14ac:dyDescent="0.3">
      <c r="C13" s="430" t="s">
        <v>351</v>
      </c>
      <c r="D13" s="127">
        <f>'Financial Statement'!C22/12</f>
        <v>-5059.5743952241837</v>
      </c>
    </row>
    <row r="14" spans="1:6" x14ac:dyDescent="0.3">
      <c r="C14" s="430" t="s">
        <v>355</v>
      </c>
      <c r="D14" s="127">
        <f>D13*85%</f>
        <v>-4300.6382359405561</v>
      </c>
    </row>
    <row r="15" spans="1:6" x14ac:dyDescent="0.3">
      <c r="C15" s="1" t="s">
        <v>353</v>
      </c>
      <c r="D15" s="127">
        <f>D14/D6</f>
        <v>-252.97871976120919</v>
      </c>
    </row>
    <row r="16" spans="1:6" x14ac:dyDescent="0.3">
      <c r="C16" s="1" t="s">
        <v>354</v>
      </c>
      <c r="D16" s="413">
        <f>D15*12/D5</f>
        <v>-0.12142978548538041</v>
      </c>
    </row>
    <row r="17" spans="1:6" x14ac:dyDescent="0.3">
      <c r="C17" s="1" t="s">
        <v>352</v>
      </c>
      <c r="D17" s="127">
        <f>D13-D14</f>
        <v>-758.9361592836276</v>
      </c>
    </row>
    <row r="18" spans="1:6" x14ac:dyDescent="0.3">
      <c r="C18" s="1" t="s">
        <v>357</v>
      </c>
      <c r="D18" s="427">
        <f>'Total Result'!C13</f>
        <v>-5.952411075345446</v>
      </c>
    </row>
    <row r="19" spans="1:6" ht="28.95" customHeight="1" x14ac:dyDescent="0.35">
      <c r="A19" s="120"/>
      <c r="B19" s="950" t="s">
        <v>362</v>
      </c>
      <c r="C19" s="950"/>
      <c r="D19" s="950"/>
      <c r="E19" s="950"/>
      <c r="F19" s="950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51" t="s">
        <v>369</v>
      </c>
      <c r="C23" s="951"/>
      <c r="D23" s="951"/>
      <c r="E23" s="951"/>
      <c r="F23" s="951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52" t="s">
        <v>372</v>
      </c>
      <c r="D26" s="952"/>
      <c r="E26" s="952"/>
      <c r="F26" s="952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1550000</v>
      </c>
    </row>
    <row r="33" spans="2:4" x14ac:dyDescent="0.3">
      <c r="C33" s="1" t="s">
        <v>377</v>
      </c>
      <c r="D33" s="127">
        <f>D31-D32</f>
        <v>38000</v>
      </c>
    </row>
    <row r="34" spans="2:4" x14ac:dyDescent="0.3">
      <c r="C34" s="1" t="s">
        <v>378</v>
      </c>
      <c r="D34" s="127">
        <f>D33*10%</f>
        <v>3800</v>
      </c>
    </row>
    <row r="35" spans="2:4" x14ac:dyDescent="0.3">
      <c r="C35" s="1" t="s">
        <v>379</v>
      </c>
      <c r="D35" s="127">
        <f>D32+D34</f>
        <v>1553800</v>
      </c>
    </row>
    <row r="36" spans="2:4" x14ac:dyDescent="0.3">
      <c r="C36" s="1" t="s">
        <v>380</v>
      </c>
      <c r="D36" s="127">
        <f>D31-D35</f>
        <v>34200</v>
      </c>
    </row>
    <row r="37" spans="2:4" x14ac:dyDescent="0.3">
      <c r="C37" s="1" t="s">
        <v>381</v>
      </c>
      <c r="D37" s="413">
        <f>D36/D31</f>
        <v>2.1536523929471033E-2</v>
      </c>
    </row>
    <row r="38" spans="2:4" x14ac:dyDescent="0.3">
      <c r="B38" s="290" t="s">
        <v>383</v>
      </c>
    </row>
  </sheetData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Outputs</vt:lpstr>
      <vt:lpstr>Total Result</vt:lpstr>
      <vt:lpstr>Total CF</vt:lpstr>
      <vt:lpstr>Graph</vt:lpstr>
      <vt:lpstr>ROI details</vt:lpstr>
      <vt:lpstr>Financial Statement</vt:lpstr>
      <vt:lpstr>Calculating offering price</vt:lpstr>
      <vt:lpstr>ROI Number insert</vt:lpstr>
      <vt:lpstr>Principal Recapture</vt:lpstr>
      <vt:lpstr>PR Result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  <vt:lpstr>Mortgage Caculator</vt:lpstr>
      <vt:lpstr>Debt payment Calculator</vt:lpstr>
      <vt:lpstr>Capital Budgeting</vt:lpstr>
      <vt:lpstr>Deal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2023-02-16T16:30:43Z</dcterms:modified>
</cp:coreProperties>
</file>