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webextensions/webextension1.xml" ContentType="application/vnd.ms-office.webextension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13.xml" ContentType="application/vnd.openxmlformats-officedocument.drawing+xml"/>
  <Override PartName="/xl/ctrlProps/ctrlProp17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REAnalyzingTool\"/>
    </mc:Choice>
  </mc:AlternateContent>
  <xr:revisionPtr revIDLastSave="0" documentId="13_ncr:1_{17C846B2-2EC1-48F0-8009-5838A3526C51}" xr6:coauthVersionLast="47" xr6:coauthVersionMax="47" xr10:uidLastSave="{00000000-0000-0000-0000-000000000000}"/>
  <workbookProtection workbookAlgorithmName="SHA-512" workbookHashValue="ZbJizFV4jmaDtG4rww4WsUCXnHghdvU3ShoisNUnNRE6M6+uqmBhivIUchkfAIoIQ15mKOglAN9Syv5Jr3fhDw==" workbookSaltValue="LzckrJnrcyqCF3DdJ6xe/g==" workbookSpinCount="100000" lockStructure="1"/>
  <bookViews>
    <workbookView xWindow="-108" yWindow="-108" windowWidth="23256" windowHeight="12456" firstSheet="1" activeTab="3" xr2:uid="{D473BC54-900F-4A3E-8C3D-C23A812F35C1}"/>
  </bookViews>
  <sheets>
    <sheet name="Table of contents" sheetId="22" r:id="rId1"/>
    <sheet name="Calculating offering price" sheetId="2" r:id="rId2"/>
    <sheet name="ROI Number insert" sheetId="3" r:id="rId3"/>
    <sheet name="Outputs" sheetId="21" r:id="rId4"/>
    <sheet name="Total Result" sheetId="7" r:id="rId5"/>
    <sheet name="Financial Statement" sheetId="9" r:id="rId6"/>
    <sheet name="ROI details" sheetId="8" r:id="rId7"/>
    <sheet name="Total CF" sheetId="20" r:id="rId8"/>
    <sheet name="PR Result" sheetId="18" r:id="rId9"/>
    <sheet name="RepairMentenance" sheetId="23" r:id="rId10"/>
    <sheet name="Mortgage payment schedule" sheetId="6" r:id="rId11"/>
    <sheet name="Graph" sheetId="16" r:id="rId12"/>
    <sheet name="Capital Budgeting" sheetId="10" r:id="rId13"/>
    <sheet name="Deal structure" sheetId="17" r:id="rId14"/>
    <sheet name="Mortgage Caculator" sheetId="4" r:id="rId15"/>
    <sheet name="Debt payment Calculator" sheetId="5" r:id="rId16"/>
    <sheet name="Financial Statement ARV" sheetId="11" r:id="rId17"/>
    <sheet name="Calculating offering price ARV" sheetId="13" r:id="rId18"/>
    <sheet name="ROI Detail ARV" sheetId="12" r:id="rId19"/>
    <sheet name="ROI Number insert ARV" sheetId="14" r:id="rId20"/>
    <sheet name="Principle Recapture ARV" sheetId="15" r:id="rId21"/>
    <sheet name="PR ARV result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" l="1"/>
  <c r="G48" i="21"/>
  <c r="G52" i="21" s="1"/>
  <c r="E5" i="20"/>
  <c r="E6" i="20" s="1"/>
  <c r="E7" i="20" s="1"/>
  <c r="E8" i="20" s="1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4" i="20"/>
  <c r="E3" i="20"/>
  <c r="G50" i="21"/>
  <c r="H32" i="8"/>
  <c r="C51" i="21" s="1"/>
  <c r="H28" i="8"/>
  <c r="H29" i="8"/>
  <c r="B27" i="21"/>
  <c r="B18" i="21"/>
  <c r="B11" i="21"/>
  <c r="B9" i="21"/>
  <c r="B8" i="21"/>
  <c r="B7" i="21"/>
  <c r="B6" i="21"/>
  <c r="F41" i="3"/>
  <c r="B36" i="21" s="1"/>
  <c r="I9" i="10"/>
  <c r="F9" i="10"/>
  <c r="C28" i="2"/>
  <c r="B3" i="23" l="1"/>
  <c r="G28" i="2"/>
  <c r="C3" i="23" l="1"/>
  <c r="B19" i="23"/>
  <c r="B21" i="23"/>
  <c r="B22" i="23"/>
  <c r="B4" i="23"/>
  <c r="C4" i="23" s="1"/>
  <c r="C5" i="23" s="1"/>
  <c r="C6" i="23" s="1"/>
  <c r="C7" i="23" s="1"/>
  <c r="C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B5" i="23"/>
  <c r="B6" i="23"/>
  <c r="B7" i="23"/>
  <c r="B8" i="23"/>
  <c r="B9" i="23"/>
  <c r="B10" i="23"/>
  <c r="B15" i="23"/>
  <c r="B11" i="23"/>
  <c r="B12" i="23"/>
  <c r="B13" i="23"/>
  <c r="B14" i="23"/>
  <c r="B16" i="23"/>
  <c r="B17" i="23"/>
  <c r="B20" i="23"/>
  <c r="B18" i="23"/>
  <c r="B38" i="21"/>
  <c r="C32" i="2"/>
  <c r="I3" i="3" l="1" a="1"/>
  <c r="I3" i="3" s="1"/>
  <c r="B25" i="21"/>
  <c r="B10" i="21"/>
  <c r="B5" i="21"/>
  <c r="B4" i="21"/>
  <c r="B3" i="21"/>
  <c r="B46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C18" i="11" l="1"/>
  <c r="D31" i="7" s="1"/>
  <c r="H20" i="14"/>
  <c r="H21" i="14" s="1"/>
  <c r="F3" i="4"/>
  <c r="C41" i="7"/>
  <c r="C91" i="13"/>
  <c r="C102" i="13" s="1"/>
  <c r="C113" i="13" s="1"/>
  <c r="C114" i="13" s="1"/>
  <c r="C115" i="13" s="1"/>
  <c r="C106" i="13"/>
  <c r="H20" i="12" s="1"/>
  <c r="C70" i="13"/>
  <c r="C76" i="13" s="1"/>
  <c r="C105" i="2"/>
  <c r="C40" i="13"/>
  <c r="D40" i="13"/>
  <c r="F9" i="4"/>
  <c r="F10" i="4" s="1"/>
  <c r="F11" i="4" s="1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D46" i="21" s="1"/>
  <c r="E46" i="21" s="1"/>
  <c r="D32" i="17" l="1"/>
  <c r="C9" i="15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E46" i="14" l="1"/>
  <c r="C20" i="11"/>
  <c r="G11" i="15"/>
  <c r="C1" i="7"/>
  <c r="C11" i="7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7" i="10" s="1"/>
  <c r="C25" i="7"/>
  <c r="C23" i="7"/>
  <c r="I20" i="3"/>
  <c r="I18" i="3"/>
  <c r="I14" i="3"/>
  <c r="D31" i="17" l="1"/>
  <c r="D33" i="17" s="1"/>
  <c r="D34" i="17" s="1"/>
  <c r="D35" i="17" s="1"/>
  <c r="D36" i="17" s="1"/>
  <c r="D37" i="17" s="1"/>
  <c r="D13" i="15"/>
  <c r="C13" i="15"/>
  <c r="C19" i="7"/>
  <c r="C6" i="10"/>
  <c r="I13" i="10"/>
  <c r="I21" i="10"/>
  <c r="I29" i="10"/>
  <c r="F27" i="10"/>
  <c r="H27" i="8"/>
  <c r="E13" i="15" l="1"/>
  <c r="G14" i="15" s="1"/>
  <c r="I6" i="10"/>
  <c r="F6" i="10"/>
  <c r="C6" i="5"/>
  <c r="C30" i="2" s="1"/>
  <c r="I16" i="3" s="1"/>
  <c r="C17" i="9" s="1"/>
  <c r="C8" i="4"/>
  <c r="F32" i="3"/>
  <c r="F38" i="3"/>
  <c r="C9" i="9" s="1"/>
  <c r="I15" i="3"/>
  <c r="C91" i="2"/>
  <c r="C102" i="2" s="1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B16" i="21" s="1"/>
  <c r="C57" i="2"/>
  <c r="B17" i="21" s="1"/>
  <c r="E14" i="15" l="1"/>
  <c r="G15" i="15" s="1"/>
  <c r="D15" i="15" s="1"/>
  <c r="H19" i="8"/>
  <c r="C58" i="2"/>
  <c r="C59" i="2" s="1"/>
  <c r="F23" i="3"/>
  <c r="C103" i="2"/>
  <c r="C104" i="2" s="1"/>
  <c r="C83" i="2"/>
  <c r="B14" i="21" l="1"/>
  <c r="B15" i="21" s="1"/>
  <c r="H17" i="12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4" i="10"/>
  <c r="I4" i="10" s="1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F4" i="10"/>
  <c r="C30" i="7"/>
  <c r="E30" i="7" s="1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I35" i="20"/>
  <c r="K35" i="20" s="1"/>
  <c r="I17" i="20"/>
  <c r="K17" i="20" s="1"/>
  <c r="I7" i="20"/>
  <c r="K7" i="20" s="1"/>
  <c r="I14" i="20"/>
  <c r="K14" i="20" s="1"/>
  <c r="I6" i="20"/>
  <c r="K6" i="20" s="1"/>
  <c r="I16" i="20"/>
  <c r="K16" i="20" s="1"/>
  <c r="I13" i="20"/>
  <c r="K13" i="20" s="1"/>
  <c r="I5" i="20"/>
  <c r="K5" i="20" s="1"/>
  <c r="C5" i="10"/>
  <c r="F5" i="10" s="1"/>
  <c r="D18" i="7"/>
  <c r="C16" i="11"/>
  <c r="C37" i="12"/>
  <c r="C6" i="12"/>
  <c r="C33" i="12"/>
  <c r="C9" i="12"/>
  <c r="C7" i="12"/>
  <c r="C22" i="12"/>
  <c r="C23" i="12"/>
  <c r="C42" i="12"/>
  <c r="C18" i="12"/>
  <c r="C24" i="12"/>
  <c r="C35" i="12"/>
  <c r="C38" i="12"/>
  <c r="C44" i="12"/>
  <c r="C17" i="15"/>
  <c r="D17" i="15"/>
  <c r="C15" i="9"/>
  <c r="C34" i="7"/>
  <c r="E34" i="7" s="1"/>
  <c r="C8" i="9"/>
  <c r="F44" i="3"/>
  <c r="F45" i="3" s="1"/>
  <c r="H34" i="8" s="1"/>
  <c r="C33" i="7"/>
  <c r="E33" i="7" s="1"/>
  <c r="D9" i="6"/>
  <c r="I36" i="20" l="1"/>
  <c r="K36" i="20" s="1"/>
  <c r="C19" i="12"/>
  <c r="E44" i="14"/>
  <c r="E45" i="14" s="1"/>
  <c r="I22" i="20"/>
  <c r="K22" i="20" s="1"/>
  <c r="I37" i="20"/>
  <c r="K37" i="20" s="1"/>
  <c r="I18" i="20"/>
  <c r="K18" i="20" s="1"/>
  <c r="C8" i="12"/>
  <c r="I26" i="20"/>
  <c r="K26" i="20" s="1"/>
  <c r="I34" i="20"/>
  <c r="K34" i="20" s="1"/>
  <c r="C21" i="12"/>
  <c r="C45" i="12"/>
  <c r="C40" i="12"/>
  <c r="I30" i="20"/>
  <c r="K30" i="20" s="1"/>
  <c r="I33" i="20"/>
  <c r="K33" i="20" s="1"/>
  <c r="I19" i="20"/>
  <c r="K19" i="20" s="1"/>
  <c r="C17" i="12"/>
  <c r="C34" i="12"/>
  <c r="I23" i="20"/>
  <c r="K23" i="20" s="1"/>
  <c r="C20" i="12"/>
  <c r="C36" i="12"/>
  <c r="C7" i="11"/>
  <c r="C19" i="11" s="1"/>
  <c r="I27" i="20"/>
  <c r="K27" i="20" s="1"/>
  <c r="D32" i="7"/>
  <c r="D35" i="7" s="1"/>
  <c r="D38" i="7" s="1"/>
  <c r="D39" i="7" s="1"/>
  <c r="C39" i="12"/>
  <c r="I31" i="20"/>
  <c r="K31" i="20" s="1"/>
  <c r="C43" i="12"/>
  <c r="C25" i="12"/>
  <c r="I4" i="20"/>
  <c r="K4" i="20" s="1"/>
  <c r="I9" i="20"/>
  <c r="K9" i="20" s="1"/>
  <c r="I8" i="20"/>
  <c r="K8" i="20" s="1"/>
  <c r="C41" i="12"/>
  <c r="C46" i="12"/>
  <c r="I11" i="20"/>
  <c r="K11" i="20" s="1"/>
  <c r="I15" i="20"/>
  <c r="K15" i="20" s="1"/>
  <c r="I12" i="20"/>
  <c r="K12" i="20" s="1"/>
  <c r="I20" i="20"/>
  <c r="K20" i="20" s="1"/>
  <c r="I24" i="20"/>
  <c r="K24" i="20" s="1"/>
  <c r="I28" i="20"/>
  <c r="K28" i="20" s="1"/>
  <c r="I32" i="20"/>
  <c r="K32" i="20" s="1"/>
  <c r="I29" i="20"/>
  <c r="K29" i="20" s="1"/>
  <c r="I10" i="20"/>
  <c r="K10" i="20" s="1"/>
  <c r="I21" i="20"/>
  <c r="K21" i="20" s="1"/>
  <c r="I25" i="20"/>
  <c r="K25" i="20" s="1"/>
  <c r="H37" i="8"/>
  <c r="B19" i="21" s="1"/>
  <c r="C8" i="7"/>
  <c r="I5" i="10"/>
  <c r="E47" i="14"/>
  <c r="H34" i="12"/>
  <c r="H35" i="12" s="1"/>
  <c r="E17" i="15"/>
  <c r="G18" i="15" s="1"/>
  <c r="H35" i="8"/>
  <c r="C7" i="7" s="1"/>
  <c r="B31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I3" i="20" s="1"/>
  <c r="D18" i="15"/>
  <c r="C18" i="15"/>
  <c r="C35" i="7"/>
  <c r="E35" i="7" s="1"/>
  <c r="E32" i="7"/>
  <c r="I12" i="3"/>
  <c r="C27" i="2"/>
  <c r="C3" i="6"/>
  <c r="C4" i="18" s="1"/>
  <c r="C43" i="21" s="1"/>
  <c r="I13" i="3" l="1"/>
  <c r="F29" i="3"/>
  <c r="K3" i="20"/>
  <c r="I38" i="20"/>
  <c r="I41" i="20"/>
  <c r="E18" i="15"/>
  <c r="G19" i="15" s="1"/>
  <c r="C19" i="15" s="1"/>
  <c r="D12" i="7"/>
  <c r="C22" i="11"/>
  <c r="F30" i="3"/>
  <c r="C9" i="6"/>
  <c r="E9" i="6" s="1"/>
  <c r="C36" i="2"/>
  <c r="C37" i="2" s="1"/>
  <c r="C10" i="2" s="1"/>
  <c r="C12" i="2" s="1"/>
  <c r="C14" i="2" s="1"/>
  <c r="C36" i="7"/>
  <c r="C20" i="9"/>
  <c r="I22" i="3"/>
  <c r="I23" i="3" s="1"/>
  <c r="F16" i="3" s="1"/>
  <c r="F15" i="3" s="1"/>
  <c r="B22" i="21" l="1"/>
  <c r="C25" i="8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15" i="10" s="1"/>
  <c r="C45" i="8"/>
  <c r="E45" i="8" s="1"/>
  <c r="C35" i="8"/>
  <c r="C14" i="10" s="1"/>
  <c r="F14" i="10" s="1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10" s="1"/>
  <c r="F21" i="10" s="1"/>
  <c r="C21" i="8"/>
  <c r="E21" i="8" s="1"/>
  <c r="C43" i="8"/>
  <c r="E43" i="8" s="1"/>
  <c r="C19" i="8"/>
  <c r="E19" i="8" s="1"/>
  <c r="C41" i="8"/>
  <c r="C20" i="10" s="1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C22" i="9"/>
  <c r="D13" i="17" s="1"/>
  <c r="D14" i="17" s="1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B26" i="21" s="1"/>
  <c r="C7" i="10"/>
  <c r="H26" i="8"/>
  <c r="B28" i="21" s="1"/>
  <c r="C16" i="2" l="1"/>
  <c r="E57" i="7"/>
  <c r="C6" i="7"/>
  <c r="F46" i="21"/>
  <c r="C24" i="10"/>
  <c r="F24" i="10" s="1"/>
  <c r="C18" i="10"/>
  <c r="F18" i="10" s="1"/>
  <c r="E12" i="7"/>
  <c r="B29" i="21"/>
  <c r="H30" i="8"/>
  <c r="E35" i="8"/>
  <c r="F15" i="20"/>
  <c r="F32" i="20"/>
  <c r="F27" i="20"/>
  <c r="F19" i="20"/>
  <c r="F26" i="20"/>
  <c r="F13" i="20"/>
  <c r="F20" i="20"/>
  <c r="F31" i="20"/>
  <c r="F8" i="20"/>
  <c r="F37" i="20"/>
  <c r="F17" i="20"/>
  <c r="F6" i="20"/>
  <c r="F21" i="20"/>
  <c r="F10" i="20"/>
  <c r="F35" i="20"/>
  <c r="F16" i="20"/>
  <c r="F18" i="20"/>
  <c r="F33" i="20"/>
  <c r="F25" i="20"/>
  <c r="F11" i="20"/>
  <c r="F29" i="20"/>
  <c r="F12" i="20"/>
  <c r="F24" i="20"/>
  <c r="C3" i="20"/>
  <c r="F22" i="20"/>
  <c r="F9" i="20"/>
  <c r="F14" i="20"/>
  <c r="C16" i="10"/>
  <c r="F16" i="10" s="1"/>
  <c r="E41" i="8"/>
  <c r="F5" i="20"/>
  <c r="F28" i="20"/>
  <c r="F23" i="20"/>
  <c r="F4" i="20"/>
  <c r="F36" i="20"/>
  <c r="F34" i="20"/>
  <c r="F7" i="20"/>
  <c r="F30" i="20"/>
  <c r="C23" i="10"/>
  <c r="F23" i="10" s="1"/>
  <c r="E42" i="8"/>
  <c r="F48" i="3"/>
  <c r="C10" i="6"/>
  <c r="E10" i="6" s="1"/>
  <c r="C13" i="10"/>
  <c r="F13" i="10" s="1"/>
  <c r="C25" i="10"/>
  <c r="E36" i="8"/>
  <c r="C22" i="10"/>
  <c r="F22" i="10" s="1"/>
  <c r="C17" i="10"/>
  <c r="F17" i="10" s="1"/>
  <c r="D17" i="17"/>
  <c r="C23" i="9"/>
  <c r="C33" i="9" s="1"/>
  <c r="C40" i="9" s="1"/>
  <c r="C41" i="9" s="1"/>
  <c r="C49" i="7" s="1"/>
  <c r="C50" i="21" s="1"/>
  <c r="D4" i="17"/>
  <c r="D6" i="17" s="1"/>
  <c r="D7" i="17" s="1"/>
  <c r="D9" i="17" s="1"/>
  <c r="D11" i="17" s="1"/>
  <c r="C12" i="10"/>
  <c r="F12" i="10" s="1"/>
  <c r="C19" i="10"/>
  <c r="F19" i="10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I7" i="10"/>
  <c r="I3" i="10" s="1"/>
  <c r="F7" i="10"/>
  <c r="F3" i="10" s="1"/>
  <c r="F10" i="10" s="1"/>
  <c r="C3" i="10"/>
  <c r="C10" i="10" s="1"/>
  <c r="C10" i="8"/>
  <c r="C54" i="7" s="1"/>
  <c r="G54" i="7" s="1"/>
  <c r="C16" i="8"/>
  <c r="E5" i="8"/>
  <c r="C50" i="7" l="1"/>
  <c r="C38" i="20"/>
  <c r="C40" i="21" a="1"/>
  <c r="C40" i="21" s="1"/>
  <c r="D18" i="17"/>
  <c r="B30" i="21"/>
  <c r="C24" i="9"/>
  <c r="C47" i="7" s="1"/>
  <c r="C48" i="21" s="1"/>
  <c r="C41" i="20"/>
  <c r="D5" i="8"/>
  <c r="C39" i="20"/>
  <c r="D3" i="20" s="1"/>
  <c r="G11" i="6"/>
  <c r="F3" i="20"/>
  <c r="E40" i="21" s="1" a="1"/>
  <c r="E40" i="21" s="1"/>
  <c r="D15" i="17"/>
  <c r="D16" i="17" s="1"/>
  <c r="E20" i="15"/>
  <c r="E56" i="7"/>
  <c r="E63" i="7"/>
  <c r="E69" i="7"/>
  <c r="H32" i="12"/>
  <c r="E32" i="12"/>
  <c r="C47" i="12"/>
  <c r="E67" i="7" s="1"/>
  <c r="I27" i="10"/>
  <c r="I28" i="10" s="1"/>
  <c r="I30" i="10" s="1"/>
  <c r="C69" i="7"/>
  <c r="C63" i="7"/>
  <c r="I19" i="10"/>
  <c r="I20" i="10" s="1"/>
  <c r="I22" i="10" s="1"/>
  <c r="J20" i="8"/>
  <c r="D63" i="7" s="1"/>
  <c r="I11" i="10"/>
  <c r="I12" i="10" s="1"/>
  <c r="C56" i="7"/>
  <c r="C12" i="8"/>
  <c r="D54" i="7" s="1"/>
  <c r="I10" i="10"/>
  <c r="D8" i="8"/>
  <c r="C48" i="8"/>
  <c r="C27" i="8"/>
  <c r="D9" i="8"/>
  <c r="C13" i="8" s="1"/>
  <c r="D7" i="8"/>
  <c r="D6" i="8"/>
  <c r="E16" i="8"/>
  <c r="C32" i="8"/>
  <c r="C26" i="8"/>
  <c r="I7" i="8"/>
  <c r="I11" i="8"/>
  <c r="I16" i="10" l="1"/>
  <c r="I17" i="10" s="1"/>
  <c r="I14" i="10"/>
  <c r="C11" i="6"/>
  <c r="D11" i="6"/>
  <c r="D15" i="20"/>
  <c r="D26" i="20"/>
  <c r="D8" i="20"/>
  <c r="D17" i="20"/>
  <c r="D40" i="21" s="1" a="1"/>
  <c r="D40" i="21" s="1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I32" i="10"/>
  <c r="I33" i="10" s="1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I26" i="10"/>
  <c r="I31" i="10" s="1"/>
  <c r="I15" i="10"/>
  <c r="I18" i="10"/>
  <c r="I23" i="10" s="1"/>
  <c r="C61" i="7"/>
  <c r="G61" i="7" s="1"/>
  <c r="C28" i="8"/>
  <c r="D61" i="7" s="1"/>
  <c r="D32" i="8"/>
  <c r="C11" i="10"/>
  <c r="C29" i="10" s="1"/>
  <c r="B33" i="21" s="1"/>
  <c r="E32" i="8"/>
  <c r="C47" i="8"/>
  <c r="I24" i="10"/>
  <c r="I25" i="10" s="1"/>
  <c r="D21" i="15" l="1"/>
  <c r="E21" i="15" s="1"/>
  <c r="E11" i="6"/>
  <c r="C29" i="8"/>
  <c r="C50" i="8"/>
  <c r="C26" i="10"/>
  <c r="F11" i="10"/>
  <c r="C67" i="7"/>
  <c r="G67" i="7" s="1"/>
  <c r="C49" i="8"/>
  <c r="D67" i="7" s="1"/>
  <c r="C28" i="10" l="1"/>
  <c r="B32" i="21"/>
  <c r="G12" i="6"/>
  <c r="G22" i="15"/>
  <c r="C30" i="10"/>
  <c r="C31" i="10" s="1"/>
  <c r="B34" i="21" s="1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43" i="21" s="1" a="1"/>
  <c r="E43" i="21" s="1"/>
  <c r="D27" i="15"/>
  <c r="C27" i="15"/>
  <c r="C20" i="6" l="1"/>
  <c r="E20" i="6" s="1"/>
  <c r="C5" i="18" s="1"/>
  <c r="E27" i="15"/>
  <c r="G28" i="15" s="1"/>
  <c r="D28" i="15" s="1"/>
  <c r="F5" i="18" l="1"/>
  <c r="F43" i="21" s="1" a="1"/>
  <c r="F43" i="21" s="1"/>
  <c r="D43" i="21" a="1"/>
  <c r="D43" i="21" s="1"/>
  <c r="C28" i="15"/>
  <c r="E28" i="15" s="1"/>
  <c r="G29" i="15" s="1"/>
  <c r="D29" i="15" s="1"/>
  <c r="G5" i="18"/>
  <c r="G43" i="21" s="1" a="1"/>
  <c r="G43" i="21" s="1"/>
  <c r="G49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52" i="21" s="1"/>
  <c r="C49" i="21"/>
  <c r="D31" i="15"/>
  <c r="E31" i="15" s="1"/>
  <c r="G32" i="15" s="1"/>
  <c r="C22" i="6"/>
  <c r="E22" i="6" s="1"/>
  <c r="D32" i="15" l="1"/>
  <c r="E5" i="19" s="1"/>
  <c r="C32" i="15"/>
  <c r="G23" i="6"/>
  <c r="E32" i="15" l="1"/>
  <c r="G33" i="15" s="1"/>
  <c r="D33" i="15" s="1"/>
  <c r="C5" i="19"/>
  <c r="F5" i="19" s="1"/>
  <c r="D23" i="6"/>
  <c r="C23" i="6"/>
  <c r="C33" i="15" l="1"/>
  <c r="E33" i="15" s="1"/>
  <c r="E23" i="6"/>
  <c r="G24" i="6" s="1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l="1"/>
  <c r="D66" i="15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0" i="6"/>
  <c r="C60" i="6"/>
  <c r="D69" i="15" l="1"/>
  <c r="E69" i="15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G62" i="6"/>
  <c r="E72" i="15" l="1"/>
  <c r="G73" i="15" s="1"/>
  <c r="D62" i="6"/>
  <c r="C62" i="6"/>
  <c r="C73" i="15" l="1"/>
  <c r="D73" i="15"/>
  <c r="E62" i="6"/>
  <c r="G63" i="6" s="1"/>
  <c r="E73" i="15" l="1"/>
  <c r="G74" i="15" s="1"/>
  <c r="D63" i="6"/>
  <c r="C63" i="6"/>
  <c r="E63" i="6" l="1"/>
  <c r="G64" i="6" s="1"/>
  <c r="C64" i="6" s="1"/>
  <c r="C74" i="15"/>
  <c r="D74" i="15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C69" i="6"/>
  <c r="D69" i="6"/>
  <c r="F9" i="18" l="1"/>
  <c r="D79" i="15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F15" i="10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C78" i="6"/>
  <c r="E78" i="6" s="1"/>
  <c r="G79" i="6" s="1"/>
  <c r="D79" i="6" s="1"/>
  <c r="D90" i="15"/>
  <c r="C90" i="15"/>
  <c r="E90" i="15" s="1"/>
  <c r="G91" i="15" s="1"/>
  <c r="C79" i="6" l="1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D81" i="6"/>
  <c r="C81" i="6"/>
  <c r="F10" i="18" l="1"/>
  <c r="E81" i="6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 s="1"/>
  <c r="C92" i="6"/>
  <c r="D92" i="6"/>
  <c r="E11" i="18" s="1"/>
  <c r="D104" i="15" l="1"/>
  <c r="E92" i="6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l="1"/>
  <c r="G107" i="15" s="1"/>
  <c r="E94" i="6"/>
  <c r="G95" i="6" s="1"/>
  <c r="D95" i="6" l="1"/>
  <c r="C95" i="6"/>
  <c r="D107" i="15"/>
  <c r="C107" i="15"/>
  <c r="E107" i="15" l="1"/>
  <c r="E95" i="6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l="1"/>
  <c r="G99" i="6" s="1"/>
  <c r="D99" i="6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G118" i="15"/>
  <c r="C12" i="18" l="1"/>
  <c r="G12" i="18" s="1"/>
  <c r="C118" i="15"/>
  <c r="D118" i="15"/>
  <c r="D105" i="6"/>
  <c r="C105" i="6"/>
  <c r="E105" i="6" s="1"/>
  <c r="F12" i="18" l="1"/>
  <c r="E118" i="15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l="1"/>
  <c r="G130" i="15" s="1"/>
  <c r="C116" i="6"/>
  <c r="E116" i="6" s="1"/>
  <c r="G117" i="6" s="1"/>
  <c r="D117" i="6" s="1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G132" i="15" s="1"/>
  <c r="E118" i="6"/>
  <c r="G119" i="6" s="1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l="1"/>
  <c r="G121" i="6" s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F20" i="10"/>
  <c r="I9" i="8"/>
  <c r="D130" i="6"/>
  <c r="C130" i="6"/>
  <c r="E144" i="15"/>
  <c r="G145" i="15" s="1"/>
  <c r="D62" i="7" l="1"/>
  <c r="D64" i="7" s="1"/>
  <c r="I10" i="8"/>
  <c r="E130" i="6"/>
  <c r="G131" i="6" s="1"/>
  <c r="C131" i="6" s="1"/>
  <c r="G62" i="7"/>
  <c r="G64" i="7" s="1"/>
  <c r="C64" i="7"/>
  <c r="D65" i="7" s="1"/>
  <c r="D145" i="15"/>
  <c r="C145" i="15"/>
  <c r="D131" i="6" l="1"/>
  <c r="E145" i="15"/>
  <c r="G146" i="15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 s="1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 s="1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 s="1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 s="1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C180" i="6"/>
  <c r="D180" i="6"/>
  <c r="E198" i="15" l="1"/>
  <c r="G199" i="15" s="1"/>
  <c r="D199" i="15" s="1"/>
  <c r="C199" i="15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F25" i="10" s="1"/>
  <c r="C207" i="15"/>
  <c r="D207" i="15"/>
  <c r="F26" i="10" l="1"/>
  <c r="F29" i="10"/>
  <c r="C68" i="7"/>
  <c r="I13" i="8"/>
  <c r="C190" i="6"/>
  <c r="D190" i="6"/>
  <c r="E207" i="15"/>
  <c r="G208" i="15" s="1"/>
  <c r="D208" i="15" s="1"/>
  <c r="F28" i="10" l="1"/>
  <c r="F30" i="10"/>
  <c r="F31" i="10" s="1"/>
  <c r="C208" i="15"/>
  <c r="E208" i="15" s="1"/>
  <c r="G209" i="15" s="1"/>
  <c r="E190" i="6"/>
  <c r="G191" i="6" s="1"/>
  <c r="C191" i="6" s="1"/>
  <c r="I14" i="8"/>
  <c r="D68" i="7"/>
  <c r="D70" i="7" s="1"/>
  <c r="C70" i="7"/>
  <c r="D71" i="7" s="1"/>
  <c r="G68" i="7"/>
  <c r="G70" i="7" s="1"/>
  <c r="D191" i="6" l="1"/>
  <c r="C209" i="15"/>
  <c r="D209" i="15"/>
  <c r="E209" i="15"/>
  <c r="G210" i="15" s="1"/>
  <c r="D210" i="15" s="1"/>
  <c r="E191" i="6"/>
  <c r="G192" i="6" s="1"/>
  <c r="D192" i="6" s="1"/>
  <c r="C210" i="15"/>
  <c r="E210" i="15" l="1"/>
  <c r="G211" i="15" s="1"/>
  <c r="C192" i="6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D200" i="6"/>
  <c r="E20" i="18" s="1"/>
  <c r="C200" i="6"/>
  <c r="E200" i="6" s="1"/>
  <c r="E216" i="15" l="1"/>
  <c r="G201" i="6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l="1"/>
  <c r="G207" i="6" s="1"/>
  <c r="G226" i="15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 s="1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 s="1"/>
  <c r="C230" i="6"/>
  <c r="D230" i="6"/>
  <c r="D248" i="15" l="1"/>
  <c r="E23" i="19" s="1"/>
  <c r="E248" i="15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l="1"/>
  <c r="C236" i="6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l="1"/>
  <c r="G266" i="15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l="1"/>
  <c r="G251" i="6" s="1"/>
  <c r="E269" i="15"/>
  <c r="G270" i="15" s="1"/>
  <c r="D270" i="15" s="1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l="1"/>
  <c r="E273" i="15"/>
  <c r="G274" i="15" s="1"/>
  <c r="G254" i="6"/>
  <c r="D274" i="15" l="1"/>
  <c r="C274" i="15"/>
  <c r="D254" i="6"/>
  <c r="C254" i="6"/>
  <c r="E254" i="6" l="1"/>
  <c r="G255" i="6" s="1"/>
  <c r="E274" i="15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64" i="6" s="1"/>
  <c r="G285" i="15"/>
  <c r="C26" i="19"/>
  <c r="F26" i="19" s="1"/>
  <c r="D264" i="6" l="1"/>
  <c r="C264" i="6"/>
  <c r="D285" i="15"/>
  <c r="C285" i="15"/>
  <c r="E285" i="15" l="1"/>
  <c r="E264" i="6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l="1"/>
  <c r="G293" i="15" s="1"/>
  <c r="C272" i="6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G274" i="6" s="1"/>
  <c r="C294" i="15"/>
  <c r="E294" i="15" s="1"/>
  <c r="G295" i="15" s="1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G276" i="6"/>
  <c r="E297" i="15" l="1"/>
  <c r="D276" i="6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I39" i="20"/>
  <c r="I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J14" i="20"/>
  <c r="J24" i="20"/>
  <c r="J26" i="20"/>
  <c r="J12" i="20"/>
  <c r="J17" i="20"/>
  <c r="J23" i="20"/>
  <c r="J29" i="20"/>
  <c r="J35" i="20"/>
  <c r="J5" i="20"/>
  <c r="J9" i="20"/>
  <c r="J6" i="20"/>
  <c r="J18" i="20"/>
  <c r="J25" i="20"/>
  <c r="J37" i="20"/>
  <c r="J8" i="20"/>
  <c r="J10" i="20"/>
  <c r="J15" i="20"/>
  <c r="J36" i="20"/>
  <c r="J7" i="20"/>
  <c r="J13" i="20"/>
  <c r="J19" i="20"/>
  <c r="J3" i="20"/>
  <c r="J11" i="20"/>
  <c r="J33" i="20"/>
  <c r="J16" i="20"/>
  <c r="J28" i="20"/>
  <c r="J21" i="20"/>
  <c r="J27" i="20"/>
  <c r="J30" i="20"/>
  <c r="J20" i="20"/>
  <c r="J22" i="20"/>
  <c r="J32" i="20"/>
  <c r="J34" i="20"/>
  <c r="J31" i="20"/>
  <c r="J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G285" i="6"/>
  <c r="C27" i="18"/>
  <c r="G27" i="18" s="1"/>
  <c r="D306" i="15" l="1"/>
  <c r="E306" i="15"/>
  <c r="G307" i="15" s="1"/>
  <c r="D307" i="15" s="1"/>
  <c r="C285" i="6"/>
  <c r="D285" i="6"/>
  <c r="F27" i="18"/>
  <c r="C307" i="15" l="1"/>
  <c r="E307" i="15" s="1"/>
  <c r="G308" i="15" s="1"/>
  <c r="D308" i="15" s="1"/>
  <c r="E28" i="19"/>
  <c r="E285" i="6"/>
  <c r="C308" i="15" l="1"/>
  <c r="E308" i="15" s="1"/>
  <c r="G286" i="6"/>
  <c r="G309" i="15"/>
  <c r="C28" i="19"/>
  <c r="D309" i="15" l="1"/>
  <c r="C309" i="15"/>
  <c r="F28" i="19"/>
  <c r="G28" i="19"/>
  <c r="C286" i="6"/>
  <c r="D286" i="6"/>
  <c r="E309" i="15" l="1"/>
  <c r="E286" i="6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 s="1"/>
  <c r="G318" i="15" s="1"/>
  <c r="E295" i="6"/>
  <c r="D318" i="15" l="1"/>
  <c r="C318" i="15"/>
  <c r="E318" i="15" s="1"/>
  <c r="G319" i="15" s="1"/>
  <c r="C319" i="15" s="1"/>
  <c r="G296" i="6"/>
  <c r="D319" i="15" l="1"/>
  <c r="C296" i="6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G323" i="15"/>
  <c r="E299" i="6" l="1"/>
  <c r="G300" i="6" s="1"/>
  <c r="C300" i="6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 l="1"/>
  <c r="E29" i="18" s="1"/>
  <c r="C327" i="15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33" i="15" s="1"/>
  <c r="D311" i="6"/>
  <c r="C311" i="6"/>
  <c r="E311" i="6" s="1"/>
  <c r="D333" i="15" l="1"/>
  <c r="C30" i="19"/>
  <c r="G30" i="19" s="1"/>
  <c r="E333" i="15"/>
  <c r="G334" i="15" s="1"/>
  <c r="D334" i="15" s="1"/>
  <c r="G312" i="6"/>
  <c r="F30" i="19" l="1"/>
  <c r="C334" i="15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 s="1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47" i="6"/>
  <c r="C347" i="6"/>
  <c r="D368" i="15" l="1"/>
  <c r="E33" i="19" s="1"/>
  <c r="E368" i="15"/>
  <c r="E347" i="6"/>
  <c r="G348" i="6" s="1"/>
  <c r="G369" i="15" l="1"/>
  <c r="C33" i="19"/>
  <c r="C348" i="6"/>
  <c r="D348" i="6"/>
  <c r="F33" i="19" l="1"/>
  <c r="G33" i="19"/>
  <c r="D369" i="15"/>
  <c r="C369" i="15"/>
  <c r="E369" i="15" s="1"/>
  <c r="G370" i="15" s="1"/>
  <c r="D370" i="15" s="1"/>
  <c r="E348" i="6"/>
  <c r="G349" i="6" s="1"/>
  <c r="C370" i="15" l="1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l="1"/>
  <c r="G351" i="6" s="1"/>
  <c r="D351" i="6" s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l="1"/>
  <c r="G362" i="6" s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 l="1"/>
  <c r="G34" i="18" s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<sst xmlns="http://schemas.openxmlformats.org/spreadsheetml/2006/main" count="1274" uniqueCount="557">
  <si>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</si>
  <si>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</si>
  <si>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</si>
  <si>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</si>
  <si>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</si>
  <si>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</si>
  <si>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</si>
  <si>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</si>
  <si>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</si>
  <si>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</si>
  <si>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</si>
  <si>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</si>
  <si>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</si>
  <si>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</si>
  <si>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</si>
  <si>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</si>
  <si>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</si>
  <si>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</si>
  <si>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</si>
  <si>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</si>
  <si>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</si>
  <si>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</si>
  <si>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</si>
  <si>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</si>
  <si>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</si>
  <si>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</si>
  <si>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</si>
  <si>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</si>
  <si>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</si>
  <si>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</si>
  <si>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</si>
  <si>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</si>
  <si>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</si>
  <si>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</si>
  <si>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</si>
  <si>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</si>
  <si>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</si>
  <si>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</si>
  <si>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</si>
  <si>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</si>
  <si>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</si>
  <si>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</si>
  <si>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</si>
  <si>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</si>
  <si>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</si>
  <si>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</si>
  <si>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</si>
  <si>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</si>
  <si>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</si>
  <si>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</si>
  <si>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</si>
  <si>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</si>
  <si>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</si>
  <si>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</si>
  <si>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</si>
  <si>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</si>
  <si>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</si>
  <si>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</si>
  <si>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</si>
  <si>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</si>
  <si>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</si>
  <si>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</si>
  <si>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</si>
  <si>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</si>
  <si>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</si>
  <si>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</si>
  <si>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</si>
  <si>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</si>
  <si>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</si>
  <si>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</si>
  <si>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</si>
  <si>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</si>
  <si>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</si>
  <si>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</si>
  <si>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</si>
  <si>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</si>
  <si>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</si>
  <si>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</si>
  <si>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</si>
  <si>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</si>
  <si>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</si>
  <si>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</si>
  <si>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</si>
  <si>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</si>
  <si>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</si>
  <si>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</si>
  <si>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</si>
  <si>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</si>
  <si>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</si>
  <si>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</si>
  <si>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</si>
  <si>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</si>
  <si>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</si>
  <si>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</si>
  <si>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</si>
  <si>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</si>
  <si>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</si>
  <si>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</si>
  <si>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</si>
  <si>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</si>
  <si>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</si>
  <si>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</si>
  <si>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</si>
  <si>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</si>
  <si>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</si>
  <si>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</si>
  <si>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</si>
  <si>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</si>
  <si>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</si>
  <si>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</si>
  <si>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</si>
  <si>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</si>
  <si>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</si>
  <si>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</si>
  <si>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</si>
  <si>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</si>
  <si>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</si>
  <si>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</si>
  <si>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</si>
  <si>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</si>
  <si>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</si>
  <si>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</si>
  <si>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</si>
  <si>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</si>
  <si>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</si>
  <si>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</si>
  <si>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</si>
  <si>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</si>
  <si>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</si>
  <si>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</si>
  <si>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</si>
  <si>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</si>
  <si>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</si>
  <si>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</si>
  <si>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</si>
  <si>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</si>
  <si>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</si>
  <si>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</si>
  <si>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</si>
  <si>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</si>
  <si>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</si>
  <si>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</si>
  <si>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</si>
  <si>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</si>
  <si>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</si>
  <si>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</si>
  <si>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</si>
  <si>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</si>
  <si>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</si>
  <si>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</si>
  <si>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</si>
  <si>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</si>
  <si>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</si>
  <si>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</si>
  <si>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</si>
  <si>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</si>
  <si>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</si>
  <si>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</si>
  <si>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</si>
  <si>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</si>
  <si>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</si>
  <si>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</si>
  <si>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</si>
  <si>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</si>
  <si>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</si>
  <si>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</si>
  <si>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</si>
  <si>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</si>
  <si>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</si>
  <si>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</si>
  <si>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</si>
  <si>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</si>
  <si>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</si>
  <si>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</si>
  <si>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</si>
  <si>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</si>
  <si>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</si>
  <si>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</si>
  <si>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</si>
  <si>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</si>
  <si>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</si>
  <si>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</si>
  <si>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</si>
  <si>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</si>
  <si>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</si>
  <si>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</si>
  <si>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</si>
  <si>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</si>
  <si>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</si>
  <si>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</si>
  <si>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</si>
  <si>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</si>
  <si>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</si>
  <si>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</si>
  <si>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</si>
  <si>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</si>
  <si>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</si>
  <si>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</si>
  <si>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</si>
  <si>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</si>
  <si>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</si>
  <si>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</si>
  <si>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</si>
  <si>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</si>
  <si>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</si>
  <si>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</si>
  <si>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</si>
  <si>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</si>
  <si>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</si>
  <si>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</si>
  <si>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</si>
  <si>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</si>
  <si>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</si>
  <si>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</si>
  <si>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</si>
  <si>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</si>
  <si>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</si>
  <si>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</si>
  <si>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</si>
  <si>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</si>
  <si>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</si>
  <si>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</si>
  <si>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</si>
  <si>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</si>
  <si>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</si>
  <si>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</si>
  <si>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</si>
  <si>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</si>
  <si>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</si>
  <si>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</si>
  <si>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</si>
  <si>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</si>
  <si>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</si>
  <si>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</si>
  <si>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</si>
  <si>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</si>
  <si>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</si>
  <si>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</si>
  <si>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</si>
  <si>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</si>
  <si>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</si>
  <si>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</si>
  <si>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</si>
  <si>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</si>
  <si>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</si>
  <si>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</si>
  <si>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</si>
  <si>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</si>
  <si>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</si>
  <si>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</si>
  <si>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</si>
  <si>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</si>
  <si>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</si>
  <si>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</si>
  <si>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</si>
  <si>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</si>
  <si>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</si>
  <si>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</si>
  <si>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</si>
  <si>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</si>
  <si>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</si>
  <si>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</si>
  <si>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</si>
  <si>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</si>
  <si>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</si>
  <si>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</si>
  <si>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</si>
  <si>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</si>
  <si>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</si>
  <si>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</si>
  <si>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</si>
  <si>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</si>
  <si>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</si>
  <si>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</si>
  <si>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</si>
  <si>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</si>
  <si>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</si>
  <si>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</si>
  <si>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</si>
  <si>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</si>
  <si>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</si>
  <si>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Investment</t>
  </si>
  <si>
    <t>Requred rate of return</t>
  </si>
  <si>
    <t>CF Year 0</t>
  </si>
  <si>
    <t>Year 1</t>
  </si>
  <si>
    <t>Year2</t>
  </si>
  <si>
    <t>Year3</t>
  </si>
  <si>
    <t>Year 4</t>
  </si>
  <si>
    <t>Year5</t>
  </si>
  <si>
    <t>NPV</t>
  </si>
  <si>
    <t>IRR</t>
  </si>
  <si>
    <t>PV of future CF</t>
  </si>
  <si>
    <t>PI</t>
  </si>
  <si>
    <t>NPV from Cash flow and Principle recapture</t>
  </si>
  <si>
    <t>NPV from CF, PR, and Passive Appreciation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</si>
  <si>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</si>
  <si>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</si>
  <si>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</si>
  <si>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</si>
  <si>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</si>
  <si>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</si>
  <si>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</si>
  <si>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</si>
  <si>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</si>
  <si>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</si>
  <si>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NPV from PP and AA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</si>
  <si>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</si>
  <si>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</si>
  <si>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</si>
  <si>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</si>
  <si>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</si>
  <si>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</si>
  <si>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</si>
  <si>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</si>
  <si>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</si>
  <si>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</si>
  <si>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</si>
  <si>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</si>
  <si>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</si>
  <si>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</si>
  <si>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</si>
  <si>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</si>
  <si>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</si>
  <si>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</si>
  <si>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</si>
  <si>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</si>
  <si>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</si>
  <si>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</si>
  <si>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</si>
  <si>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</si>
  <si>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</si>
  <si>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</si>
  <si>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</si>
  <si>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</si>
  <si>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</si>
  <si>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</si>
  <si>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</si>
  <si>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</si>
  <si>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</si>
  <si>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</si>
  <si>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</si>
  <si>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</si>
  <si>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</si>
  <si>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</si>
  <si>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</si>
  <si>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</si>
  <si>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Monthly income/0.6%</t>
  </si>
  <si>
    <t>ARV or(intrinsic value)X80%-renocost-carrying cost-closing cost</t>
  </si>
  <si>
    <t>JV Deal Structure</t>
  </si>
  <si>
    <t>Minimum investment</t>
  </si>
  <si>
    <t>Numbers of share</t>
  </si>
  <si>
    <t>Target Cash flow per share</t>
  </si>
  <si>
    <t>Working partner Cash flow per month (20%)</t>
  </si>
  <si>
    <t>Investor received cash flow per share (every $25,000)</t>
  </si>
  <si>
    <t>Cash Flow ROI</t>
  </si>
  <si>
    <t>Investor received cash flow per month (90%)</t>
  </si>
  <si>
    <t>15%/85% until investor get 100% of investment capital with cash flow.</t>
  </si>
  <si>
    <t>Payback period</t>
  </si>
  <si>
    <t>Investment capital required to close</t>
  </si>
  <si>
    <t>Raised invested Capital</t>
  </si>
  <si>
    <t xml:space="preserve">Capital after purchase </t>
  </si>
  <si>
    <t>5.58% ROI with CF with 85% of Equity until investors get money back. When investor get money back, 40(working partner)/60(Investor) equity share and 50/50 CF.</t>
  </si>
  <si>
    <t>Working partner has 50% of voting power and each shareholder has 50% of numbers of shere holding.</t>
  </si>
  <si>
    <t xml:space="preserve">This capital is emargency fund for vacancy loss and special levy. </t>
  </si>
  <si>
    <t xml:space="preserve">When sell property. </t>
  </si>
  <si>
    <t>Use of capital such as renovation, special levy, and use to invest in other investment securities.</t>
  </si>
  <si>
    <t xml:space="preserve">Working partner will disclose financial result annualy. </t>
  </si>
  <si>
    <t xml:space="preserve">5 yars minimum investment. After 5 years, restructure deal based on the market condition. Capital leftover wll be cash out in 5 years unless investor chose not to cash out. </t>
  </si>
  <si>
    <t>Capital cash out per share from original capital leftover.</t>
  </si>
  <si>
    <t xml:space="preserve">Investor can decide to not receive monthly CF, if investor do so,this will go toward priciple payment for future investment choice. When the investor make this choice they will be a part of working partner. </t>
  </si>
  <si>
    <t xml:space="preserve">Extra principle paydown will build up equity quicker. This will reduce risk from market fluctuation. </t>
  </si>
  <si>
    <t xml:space="preserve">More access to equity loan when we find next investment opportunity. </t>
  </si>
  <si>
    <t>When investor join working partner, investor will receive 15% of numbers of working partner and 50% voting right.</t>
  </si>
  <si>
    <t>Wholesale deal</t>
  </si>
  <si>
    <t>Example:</t>
  </si>
  <si>
    <t>Asking price</t>
  </si>
  <si>
    <t>Purchase price</t>
  </si>
  <si>
    <t>Discounted amount</t>
  </si>
  <si>
    <t>10% of discounted amount</t>
  </si>
  <si>
    <t>Investors purchase price equal to</t>
  </si>
  <si>
    <t>Discounted amount from asking price $</t>
  </si>
  <si>
    <t>Discounted amount from asking price %</t>
  </si>
  <si>
    <t xml:space="preserve">Investor will pay 10% of the discounted amount as founder's fee. </t>
  </si>
  <si>
    <t xml:space="preserve">Investor will take all the rights and obligations from founder. 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</si>
  <si>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</si>
  <si>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</si>
  <si>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</si>
  <si>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</si>
  <si>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</si>
  <si>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</si>
  <si>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</si>
  <si>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</si>
  <si>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</si>
  <si>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</si>
  <si>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</si>
  <si>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</si>
  <si>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</si>
  <si>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</si>
  <si>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</si>
  <si>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</si>
  <si>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</si>
  <si>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</si>
  <si>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</si>
  <si>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</si>
  <si>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</si>
  <si>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</si>
  <si>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</si>
  <si>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</si>
  <si>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</si>
  <si>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</si>
  <si>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</si>
  <si>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</si>
  <si>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</si>
  <si>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</si>
  <si>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</si>
  <si>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</si>
  <si>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</si>
  <si>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</si>
  <si>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</si>
  <si>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</si>
  <si>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</si>
  <si>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</si>
  <si>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</si>
  <si>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</si>
  <si>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</si>
  <si>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</si>
  <si>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</si>
  <si>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</si>
  <si>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</si>
  <si>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</si>
  <si>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</si>
  <si>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</si>
  <si>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</si>
  <si>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</si>
  <si>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</si>
  <si>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</si>
  <si>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</si>
  <si>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</si>
  <si>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</si>
  <si>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</si>
  <si>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</si>
  <si>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</si>
  <si>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</si>
  <si>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</si>
  <si>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</si>
  <si>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</si>
  <si>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</si>
  <si>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</si>
  <si>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</si>
  <si>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</si>
  <si>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</si>
  <si>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</si>
  <si>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</si>
  <si>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</si>
  <si>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</si>
  <si>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</si>
  <si>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Deal Stracture</t>
  </si>
  <si>
    <t>Sample deal structure if you will make Joint Venture with other people.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</si>
  <si>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</si>
  <si>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</si>
  <si>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</si>
  <si>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</si>
  <si>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</si>
  <si>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</si>
  <si>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</si>
  <si>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</si>
  <si>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</si>
  <si>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</si>
  <si>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</si>
  <si>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</si>
  <si>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</si>
  <si>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</si>
  <si>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</si>
  <si>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</si>
  <si>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</si>
  <si>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</si>
  <si>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</si>
  <si>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</si>
  <si>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</si>
  <si>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</si>
  <si>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</si>
  <si>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</si>
  <si>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Document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</si>
  <si>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</si>
  <si>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</si>
  <si>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</si>
  <si>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</si>
  <si>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</si>
  <si>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</si>
  <si>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</si>
  <si>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</si>
  <si>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</si>
  <si>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</si>
  <si>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</si>
  <si>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</si>
  <si>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</si>
  <si>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</si>
  <si>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</si>
  <si>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</si>
  <si>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</si>
  <si>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</si>
  <si>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0.85% instead of 0.6%</t>
  </si>
  <si>
    <t>If the student rental or share house, (main suite will be room rental $) then put the number of the room, otherwise put 1.</t>
  </si>
  <si>
    <t>Value based on Rental Revenue</t>
  </si>
  <si>
    <t>Value/Listing Price</t>
  </si>
  <si>
    <t>Rental Needed from Listing Price</t>
  </si>
  <si>
    <t>Realistic Chargeable Rent</t>
  </si>
  <si>
    <t>property tax rate</t>
  </si>
  <si>
    <t>Purchase city</t>
  </si>
  <si>
    <t>surrey</t>
  </si>
  <si>
    <t>3601 13308 Central Avenue, Surrey</t>
  </si>
  <si>
    <t>From the 0.85% rule</t>
  </si>
  <si>
    <t>60%-80% prefer, Over 100% means your cost exceeds your revenue</t>
  </si>
  <si>
    <t xml:space="preserve">This is the rental revenue sufficient to cover your costs, and you will get cashflow. </t>
  </si>
  <si>
    <t>Market rental in area or actual rental charging now.</t>
  </si>
  <si>
    <t>Purchase Price fromDesired Cap Rate</t>
  </si>
  <si>
    <t>Purchase Price from Desired Cap Rate</t>
  </si>
  <si>
    <t xml:space="preserve">Input Desired Cap Rate. Click here to jump to inset cell. </t>
  </si>
  <si>
    <t>ROI Details (4 ways to win)</t>
  </si>
  <si>
    <t>Capital Budgeting</t>
  </si>
  <si>
    <t>Discount percentage</t>
  </si>
  <si>
    <t>IRR (Internal Rate of Return)</t>
  </si>
  <si>
    <t>PI (Profitability Index)</t>
  </si>
  <si>
    <t>At least larger than discount rate</t>
  </si>
  <si>
    <t>Must be larger than 1</t>
  </si>
  <si>
    <t>How many years to get your investment capital back with CF</t>
  </si>
  <si>
    <t>Back to Outputs</t>
  </si>
  <si>
    <t xml:space="preserve">NPV from 15 years of Cash Flow </t>
  </si>
  <si>
    <t>1st Year Financial Statement</t>
  </si>
  <si>
    <t>Type purchase city in lower case then click down below:</t>
  </si>
  <si>
    <t>Back to insert</t>
  </si>
  <si>
    <t>% you want to keep for Repair and Maintenance</t>
  </si>
  <si>
    <t>1st Year Repair&amp;Maintenance saving</t>
  </si>
  <si>
    <t>Accumulate Repair&amp;Maintenance saving Year</t>
  </si>
  <si>
    <t>Accumulate Repair&amp;Maintenance saving $</t>
  </si>
  <si>
    <t xml:space="preserve">Repair &amp; Maintenance Accumulation </t>
  </si>
  <si>
    <t>Amout</t>
  </si>
  <si>
    <t>Cumsum</t>
  </si>
  <si>
    <t>NPV (Net Present Value)</t>
  </si>
  <si>
    <t>Back to output</t>
  </si>
  <si>
    <t>Property Details</t>
  </si>
  <si>
    <t>Number of Bedrooms</t>
  </si>
  <si>
    <t>Number of Bathrooms</t>
  </si>
  <si>
    <t>Property Size (SQFT)</t>
  </si>
  <si>
    <t>Assessment Price</t>
  </si>
  <si>
    <t>Calculated Property Values</t>
  </si>
  <si>
    <t>Calculated Purchase Price</t>
  </si>
  <si>
    <t>Results from Purchase Price</t>
  </si>
  <si>
    <t>Desired Cap Rate</t>
  </si>
  <si>
    <t>Desired Cash Flow</t>
  </si>
  <si>
    <t>Purchase Price from desired Cash Flow</t>
  </si>
  <si>
    <t>Change the percentage to keep R&amp;M</t>
  </si>
  <si>
    <t xml:space="preserve">80% of property value - Closing cost - Renovation cost </t>
  </si>
  <si>
    <t>Purchase Price Input</t>
  </si>
  <si>
    <t>Back to Output</t>
  </si>
  <si>
    <t>Cumsum Cashflow</t>
  </si>
  <si>
    <t>Result in X years - Total ROI from original investment.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</si>
</sst>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00"/>
    <numFmt numFmtId="171" formatCode="0.0"/>
    <numFmt numFmtId="172" formatCode="0.000000%"/>
    <numFmt numFmtId="173" formatCode="#,##0.000_ ;[Red]\-#,##0.000\ "/>
    <numFmt numFmtId="174" formatCode="#,##0_ ;\-#,##0\ "/>
  </numFmts>
  <fonts count="139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color theme="1"/>
      <name val="Baskerville Old Face"/>
      <family val="1"/>
      <scheme val="minor"/>
    </font>
    <font>
      <sz val="11"/>
      <color theme="9" tint="-0.499984740745262"/>
      <name val="Baskerville Old Face"/>
      <family val="1"/>
      <scheme val="minor"/>
    </font>
    <font>
      <sz val="11"/>
      <color theme="1" tint="0.34998626667073579"/>
      <name val="Baskerville Old Face"/>
      <family val="1"/>
      <scheme val="minor"/>
    </font>
    <font>
      <u/>
      <sz val="11"/>
      <name val="Baskerville Old Face"/>
      <family val="2"/>
      <scheme val="minor"/>
    </font>
    <font>
      <b/>
      <u/>
      <sz val="12"/>
      <name val="Baskerville Old Face"/>
      <family val="1"/>
      <scheme val="minor"/>
    </font>
    <font>
      <b/>
      <u/>
      <sz val="16"/>
      <color theme="1"/>
      <name val="Baskerville Old Face"/>
      <family val="1"/>
      <scheme val="minor"/>
    </font>
    <font>
      <b/>
      <u/>
      <sz val="14"/>
      <color rgb="FF0070C0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6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505050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8" fillId="0" borderId="106" applyNumberFormat="0" applyFill="0" applyAlignment="0" applyProtection="0"/>
    <xf numFmtId="0" fontId="109" fillId="0" borderId="107" applyNumberFormat="0" applyFill="0" applyAlignment="0" applyProtection="0"/>
    <xf numFmtId="0" fontId="110" fillId="0" borderId="108" applyNumberFormat="0" applyFill="0" applyAlignment="0" applyProtection="0"/>
    <xf numFmtId="0" fontId="111" fillId="43" borderId="109" applyNumberFormat="0" applyAlignment="0" applyProtection="0"/>
  </cellStyleXfs>
  <cellXfs count="1032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46" fillId="2" borderId="0" xfId="0" applyFont="1" applyFill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44" fontId="58" fillId="8" borderId="33" xfId="0" applyNumberFormat="1" applyFont="1" applyFill="1" applyBorder="1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44" fontId="0" fillId="2" borderId="0" xfId="0" applyNumberFormat="1" applyFill="1" applyAlignment="1">
      <alignment horizontal="left" wrapText="1"/>
    </xf>
    <xf numFmtId="2" fontId="0" fillId="2" borderId="0" xfId="0" applyNumberFormat="1" applyFill="1"/>
    <xf numFmtId="0" fontId="75" fillId="2" borderId="0" xfId="3" applyFont="1" applyFill="1"/>
    <xf numFmtId="0" fontId="46" fillId="2" borderId="0" xfId="3" applyFont="1" applyFill="1"/>
    <xf numFmtId="0" fontId="76" fillId="2" borderId="0" xfId="0" applyFont="1" applyFill="1"/>
    <xf numFmtId="0" fontId="76" fillId="2" borderId="0" xfId="0" applyFont="1" applyFill="1" applyAlignment="1">
      <alignment horizontal="center"/>
    </xf>
    <xf numFmtId="169" fontId="76" fillId="2" borderId="0" xfId="0" applyNumberFormat="1" applyFont="1" applyFill="1"/>
    <xf numFmtId="0" fontId="77" fillId="24" borderId="50" xfId="0" applyFont="1" applyFill="1" applyBorder="1" applyAlignment="1">
      <alignment horizontal="center"/>
    </xf>
    <xf numFmtId="0" fontId="78" fillId="24" borderId="51" xfId="0" applyFont="1" applyFill="1" applyBorder="1" applyAlignment="1">
      <alignment horizontal="right"/>
    </xf>
    <xf numFmtId="0" fontId="77" fillId="24" borderId="32" xfId="0" applyFont="1" applyFill="1" applyBorder="1" applyAlignment="1">
      <alignment horizontal="center"/>
    </xf>
    <xf numFmtId="44" fontId="78" fillId="24" borderId="33" xfId="0" applyNumberFormat="1" applyFont="1" applyFill="1" applyBorder="1" applyAlignment="1">
      <alignment horizontal="right"/>
    </xf>
    <xf numFmtId="169" fontId="80" fillId="2" borderId="0" xfId="0" applyNumberFormat="1" applyFont="1" applyFill="1" applyAlignment="1">
      <alignment horizontal="center" vertical="center"/>
    </xf>
    <xf numFmtId="0" fontId="80" fillId="2" borderId="0" xfId="0" applyFont="1" applyFill="1" applyAlignment="1">
      <alignment horizontal="center" vertical="center"/>
    </xf>
    <xf numFmtId="0" fontId="81" fillId="35" borderId="50" xfId="0" applyFont="1" applyFill="1" applyBorder="1" applyAlignment="1">
      <alignment horizontal="center"/>
    </xf>
    <xf numFmtId="44" fontId="82" fillId="35" borderId="51" xfId="1" applyFont="1" applyFill="1" applyBorder="1"/>
    <xf numFmtId="0" fontId="81" fillId="35" borderId="19" xfId="0" applyFont="1" applyFill="1" applyBorder="1" applyAlignment="1">
      <alignment horizontal="center"/>
    </xf>
    <xf numFmtId="10" fontId="82" fillId="35" borderId="20" xfId="1" applyNumberFormat="1" applyFont="1" applyFill="1" applyBorder="1"/>
    <xf numFmtId="10" fontId="82" fillId="35" borderId="51" xfId="2" applyNumberFormat="1" applyFont="1" applyFill="1" applyBorder="1"/>
    <xf numFmtId="0" fontId="76" fillId="2" borderId="72" xfId="0" applyFont="1" applyFill="1" applyBorder="1"/>
    <xf numFmtId="0" fontId="76" fillId="2" borderId="0" xfId="0" applyFont="1" applyFill="1" applyAlignment="1">
      <alignment horizontal="right"/>
    </xf>
    <xf numFmtId="44" fontId="82" fillId="35" borderId="20" xfId="1" applyFont="1" applyFill="1" applyBorder="1"/>
    <xf numFmtId="10" fontId="82" fillId="35" borderId="20" xfId="2" applyNumberFormat="1" applyFont="1" applyFill="1" applyBorder="1"/>
    <xf numFmtId="0" fontId="82" fillId="35" borderId="20" xfId="1" applyNumberFormat="1" applyFont="1" applyFill="1" applyBorder="1"/>
    <xf numFmtId="0" fontId="81" fillId="35" borderId="52" xfId="0" applyFont="1" applyFill="1" applyBorder="1" applyAlignment="1">
      <alignment horizontal="center"/>
    </xf>
    <xf numFmtId="10" fontId="82" fillId="35" borderId="53" xfId="2" applyNumberFormat="1" applyFont="1" applyFill="1" applyBorder="1"/>
    <xf numFmtId="2" fontId="82" fillId="35" borderId="53" xfId="1" applyNumberFormat="1" applyFont="1" applyFill="1" applyBorder="1"/>
    <xf numFmtId="2" fontId="82" fillId="35" borderId="98" xfId="1" applyNumberFormat="1" applyFont="1" applyFill="1" applyBorder="1"/>
    <xf numFmtId="0" fontId="81" fillId="35" borderId="32" xfId="0" applyFont="1" applyFill="1" applyBorder="1" applyAlignment="1">
      <alignment horizontal="center"/>
    </xf>
    <xf numFmtId="10" fontId="82" fillId="35" borderId="33" xfId="2" applyNumberFormat="1" applyFont="1" applyFill="1" applyBorder="1"/>
    <xf numFmtId="0" fontId="76" fillId="2" borderId="97" xfId="0" applyFont="1" applyFill="1" applyBorder="1"/>
    <xf numFmtId="0" fontId="76" fillId="2" borderId="44" xfId="0" applyFont="1" applyFill="1" applyBorder="1"/>
    <xf numFmtId="0" fontId="84" fillId="36" borderId="36" xfId="0" applyFont="1" applyFill="1" applyBorder="1" applyAlignment="1">
      <alignment horizontal="center"/>
    </xf>
    <xf numFmtId="44" fontId="85" fillId="36" borderId="61" xfId="1" applyFont="1" applyFill="1" applyBorder="1"/>
    <xf numFmtId="44" fontId="85" fillId="36" borderId="37" xfId="1" applyFont="1" applyFill="1" applyBorder="1"/>
    <xf numFmtId="0" fontId="84" fillId="36" borderId="19" xfId="0" applyFont="1" applyFill="1" applyBorder="1" applyAlignment="1">
      <alignment horizontal="center"/>
    </xf>
    <xf numFmtId="44" fontId="85" fillId="36" borderId="59" xfId="1" applyFont="1" applyFill="1" applyBorder="1"/>
    <xf numFmtId="44" fontId="85" fillId="36" borderId="20" xfId="1" applyFont="1" applyFill="1" applyBorder="1"/>
    <xf numFmtId="0" fontId="84" fillId="36" borderId="32" xfId="0" applyFont="1" applyFill="1" applyBorder="1" applyAlignment="1">
      <alignment horizontal="center"/>
    </xf>
    <xf numFmtId="44" fontId="85" fillId="36" borderId="60" xfId="0" applyNumberFormat="1" applyFont="1" applyFill="1" applyBorder="1"/>
    <xf numFmtId="44" fontId="85" fillId="36" borderId="33" xfId="0" applyNumberFormat="1" applyFont="1" applyFill="1" applyBorder="1"/>
    <xf numFmtId="0" fontId="86" fillId="32" borderId="50" xfId="0" applyFont="1" applyFill="1" applyBorder="1" applyAlignment="1">
      <alignment horizontal="center"/>
    </xf>
    <xf numFmtId="16" fontId="87" fillId="32" borderId="51" xfId="0" applyNumberFormat="1" applyFont="1" applyFill="1" applyBorder="1" applyAlignment="1">
      <alignment horizontal="right"/>
    </xf>
    <xf numFmtId="0" fontId="86" fillId="32" borderId="19" xfId="0" applyFont="1" applyFill="1" applyBorder="1" applyAlignment="1">
      <alignment horizontal="center"/>
    </xf>
    <xf numFmtId="44" fontId="87" fillId="32" borderId="20" xfId="1" applyFont="1" applyFill="1" applyBorder="1" applyAlignment="1">
      <alignment horizontal="right"/>
    </xf>
    <xf numFmtId="44" fontId="87" fillId="32" borderId="20" xfId="1" applyFont="1" applyFill="1" applyBorder="1"/>
    <xf numFmtId="0" fontId="86" fillId="32" borderId="52" xfId="0" applyFont="1" applyFill="1" applyBorder="1" applyAlignment="1">
      <alignment horizontal="center"/>
    </xf>
    <xf numFmtId="44" fontId="87" fillId="32" borderId="53" xfId="1" applyFont="1" applyFill="1" applyBorder="1"/>
    <xf numFmtId="0" fontId="86" fillId="32" borderId="32" xfId="0" applyFont="1" applyFill="1" applyBorder="1" applyAlignment="1">
      <alignment horizontal="center"/>
    </xf>
    <xf numFmtId="44" fontId="87" fillId="32" borderId="33" xfId="1" applyFont="1" applyFill="1" applyBorder="1"/>
    <xf numFmtId="0" fontId="88" fillId="4" borderId="38" xfId="0" applyFont="1" applyFill="1" applyBorder="1" applyAlignment="1">
      <alignment horizontal="center"/>
    </xf>
    <xf numFmtId="44" fontId="79" fillId="4" borderId="64" xfId="1" applyFont="1" applyFill="1" applyBorder="1"/>
    <xf numFmtId="44" fontId="79" fillId="4" borderId="62" xfId="1" applyFont="1" applyFill="1" applyBorder="1"/>
    <xf numFmtId="0" fontId="84" fillId="8" borderId="50" xfId="0" applyFont="1" applyFill="1" applyBorder="1" applyAlignment="1">
      <alignment horizontal="center"/>
    </xf>
    <xf numFmtId="44" fontId="85" fillId="8" borderId="57" xfId="1" applyFont="1" applyFill="1" applyBorder="1"/>
    <xf numFmtId="44" fontId="79" fillId="8" borderId="51" xfId="1" applyFont="1" applyFill="1" applyBorder="1"/>
    <xf numFmtId="0" fontId="84" fillId="8" borderId="19" xfId="0" applyFont="1" applyFill="1" applyBorder="1" applyAlignment="1">
      <alignment horizontal="center"/>
    </xf>
    <xf numFmtId="44" fontId="85" fillId="8" borderId="59" xfId="1" applyFont="1" applyFill="1" applyBorder="1"/>
    <xf numFmtId="44" fontId="79" fillId="8" borderId="20" xfId="1" applyFont="1" applyFill="1" applyBorder="1"/>
    <xf numFmtId="0" fontId="84" fillId="8" borderId="32" xfId="0" applyFont="1" applyFill="1" applyBorder="1" applyAlignment="1">
      <alignment horizontal="center"/>
    </xf>
    <xf numFmtId="44" fontId="85" fillId="8" borderId="60" xfId="1" applyFont="1" applyFill="1" applyBorder="1"/>
    <xf numFmtId="44" fontId="79" fillId="8" borderId="33" xfId="1" applyFont="1" applyFill="1" applyBorder="1"/>
    <xf numFmtId="0" fontId="89" fillId="9" borderId="50" xfId="0" applyFont="1" applyFill="1" applyBorder="1" applyAlignment="1">
      <alignment horizontal="center"/>
    </xf>
    <xf numFmtId="44" fontId="90" fillId="9" borderId="57" xfId="1" applyFont="1" applyFill="1" applyBorder="1"/>
    <xf numFmtId="44" fontId="79" fillId="9" borderId="51" xfId="1" applyFont="1" applyFill="1" applyBorder="1"/>
    <xf numFmtId="0" fontId="89" fillId="9" borderId="32" xfId="0" applyFont="1" applyFill="1" applyBorder="1" applyAlignment="1">
      <alignment horizontal="center"/>
    </xf>
    <xf numFmtId="44" fontId="90" fillId="9" borderId="60" xfId="1" applyFont="1" applyFill="1" applyBorder="1"/>
    <xf numFmtId="44" fontId="79" fillId="9" borderId="33" xfId="1" applyFont="1" applyFill="1" applyBorder="1"/>
    <xf numFmtId="0" fontId="84" fillId="5" borderId="36" xfId="0" applyFont="1" applyFill="1" applyBorder="1" applyAlignment="1">
      <alignment horizontal="center"/>
    </xf>
    <xf numFmtId="44" fontId="85" fillId="5" borderId="61" xfId="1" applyFont="1" applyFill="1" applyBorder="1"/>
    <xf numFmtId="44" fontId="79" fillId="5" borderId="37" xfId="1" applyFont="1" applyFill="1" applyBorder="1"/>
    <xf numFmtId="0" fontId="84" fillId="5" borderId="32" xfId="0" applyFont="1" applyFill="1" applyBorder="1" applyAlignment="1">
      <alignment horizontal="center"/>
    </xf>
    <xf numFmtId="44" fontId="85" fillId="5" borderId="60" xfId="1" applyFont="1" applyFill="1" applyBorder="1"/>
    <xf numFmtId="44" fontId="79" fillId="5" borderId="33" xfId="1" applyFont="1" applyFill="1" applyBorder="1"/>
    <xf numFmtId="0" fontId="91" fillId="2" borderId="0" xfId="3" applyFont="1" applyFill="1" applyAlignment="1">
      <alignment horizontal="center" vertical="center"/>
    </xf>
    <xf numFmtId="0" fontId="84" fillId="31" borderId="50" xfId="0" applyFont="1" applyFill="1" applyBorder="1" applyAlignment="1">
      <alignment horizontal="center"/>
    </xf>
    <xf numFmtId="44" fontId="85" fillId="31" borderId="51" xfId="1" applyFont="1" applyFill="1" applyBorder="1"/>
    <xf numFmtId="0" fontId="84" fillId="31" borderId="19" xfId="0" applyFont="1" applyFill="1" applyBorder="1" applyAlignment="1">
      <alignment horizontal="center"/>
    </xf>
    <xf numFmtId="44" fontId="85" fillId="31" borderId="20" xfId="1" applyFont="1" applyFill="1" applyBorder="1"/>
    <xf numFmtId="164" fontId="85" fillId="31" borderId="20" xfId="1" applyNumberFormat="1" applyFont="1" applyFill="1" applyBorder="1"/>
    <xf numFmtId="0" fontId="84" fillId="31" borderId="32" xfId="0" applyFont="1" applyFill="1" applyBorder="1" applyAlignment="1">
      <alignment horizontal="center"/>
    </xf>
    <xf numFmtId="10" fontId="85" fillId="31" borderId="33" xfId="2" applyNumberFormat="1" applyFont="1" applyFill="1" applyBorder="1"/>
    <xf numFmtId="0" fontId="84" fillId="2" borderId="0" xfId="0" applyFont="1" applyFill="1" applyAlignment="1">
      <alignment horizontal="center"/>
    </xf>
    <xf numFmtId="10" fontId="85" fillId="2" borderId="0" xfId="2" applyNumberFormat="1" applyFont="1" applyFill="1" applyBorder="1"/>
    <xf numFmtId="10" fontId="85" fillId="36" borderId="37" xfId="2" applyNumberFormat="1" applyFont="1" applyFill="1" applyBorder="1"/>
    <xf numFmtId="10" fontId="85" fillId="36" borderId="20" xfId="2" applyNumberFormat="1" applyFont="1" applyFill="1" applyBorder="1"/>
    <xf numFmtId="0" fontId="84" fillId="36" borderId="52" xfId="0" applyFont="1" applyFill="1" applyBorder="1" applyAlignment="1">
      <alignment horizontal="center"/>
    </xf>
    <xf numFmtId="10" fontId="85" fillId="36" borderId="53" xfId="2" applyNumberFormat="1" applyFont="1" applyFill="1" applyBorder="1"/>
    <xf numFmtId="0" fontId="84" fillId="36" borderId="38" xfId="0" applyFont="1" applyFill="1" applyBorder="1" applyAlignment="1">
      <alignment horizontal="center"/>
    </xf>
    <xf numFmtId="10" fontId="85" fillId="36" borderId="62" xfId="2" applyNumberFormat="1" applyFont="1" applyFill="1" applyBorder="1"/>
    <xf numFmtId="0" fontId="88" fillId="39" borderId="19" xfId="0" applyFont="1" applyFill="1" applyBorder="1" applyAlignment="1">
      <alignment horizontal="center"/>
    </xf>
    <xf numFmtId="44" fontId="79" fillId="39" borderId="59" xfId="1" applyFont="1" applyFill="1" applyBorder="1"/>
    <xf numFmtId="10" fontId="79" fillId="39" borderId="59" xfId="2" applyNumberFormat="1" applyFont="1" applyFill="1" applyBorder="1"/>
    <xf numFmtId="10" fontId="79" fillId="39" borderId="20" xfId="2" applyNumberFormat="1" applyFont="1" applyFill="1" applyBorder="1"/>
    <xf numFmtId="44" fontId="79" fillId="39" borderId="59" xfId="0" applyNumberFormat="1" applyFont="1" applyFill="1" applyBorder="1"/>
    <xf numFmtId="0" fontId="92" fillId="40" borderId="93" xfId="0" applyFont="1" applyFill="1" applyBorder="1" applyAlignment="1">
      <alignment horizontal="center"/>
    </xf>
    <xf numFmtId="44" fontId="93" fillId="40" borderId="94" xfId="1" applyFont="1" applyFill="1" applyBorder="1"/>
    <xf numFmtId="10" fontId="93" fillId="40" borderId="95" xfId="2" applyNumberFormat="1" applyFont="1" applyFill="1" applyBorder="1"/>
    <xf numFmtId="10" fontId="93" fillId="40" borderId="96" xfId="2" applyNumberFormat="1" applyFont="1" applyFill="1" applyBorder="1"/>
    <xf numFmtId="10" fontId="93" fillId="40" borderId="62" xfId="2" applyNumberFormat="1" applyFont="1" applyFill="1" applyBorder="1"/>
    <xf numFmtId="0" fontId="92" fillId="40" borderId="85" xfId="0" applyFont="1" applyFill="1" applyBorder="1"/>
    <xf numFmtId="10" fontId="93" fillId="40" borderId="89" xfId="2" applyNumberFormat="1" applyFont="1" applyFill="1" applyBorder="1"/>
    <xf numFmtId="0" fontId="94" fillId="24" borderId="19" xfId="0" applyFont="1" applyFill="1" applyBorder="1" applyAlignment="1">
      <alignment horizontal="center"/>
    </xf>
    <xf numFmtId="44" fontId="78" fillId="24" borderId="59" xfId="1" applyFont="1" applyFill="1" applyBorder="1"/>
    <xf numFmtId="10" fontId="78" fillId="24" borderId="59" xfId="2" applyNumberFormat="1" applyFont="1" applyFill="1" applyBorder="1"/>
    <xf numFmtId="10" fontId="78" fillId="24" borderId="20" xfId="2" applyNumberFormat="1" applyFont="1" applyFill="1" applyBorder="1"/>
    <xf numFmtId="44" fontId="78" fillId="24" borderId="59" xfId="0" applyNumberFormat="1" applyFont="1" applyFill="1" applyBorder="1"/>
    <xf numFmtId="0" fontId="95" fillId="37" borderId="93" xfId="0" applyFont="1" applyFill="1" applyBorder="1" applyAlignment="1">
      <alignment horizontal="center"/>
    </xf>
    <xf numFmtId="44" fontId="96" fillId="37" borderId="94" xfId="1" applyFont="1" applyFill="1" applyBorder="1"/>
    <xf numFmtId="10" fontId="96" fillId="37" borderId="95" xfId="2" applyNumberFormat="1" applyFont="1" applyFill="1" applyBorder="1"/>
    <xf numFmtId="10" fontId="96" fillId="37" borderId="96" xfId="2" applyNumberFormat="1" applyFont="1" applyFill="1" applyBorder="1"/>
    <xf numFmtId="10" fontId="96" fillId="37" borderId="62" xfId="2" applyNumberFormat="1" applyFont="1" applyFill="1" applyBorder="1"/>
    <xf numFmtId="0" fontId="95" fillId="37" borderId="85" xfId="0" applyFont="1" applyFill="1" applyBorder="1"/>
    <xf numFmtId="10" fontId="96" fillId="37" borderId="89" xfId="2" applyNumberFormat="1" applyFont="1" applyFill="1" applyBorder="1"/>
    <xf numFmtId="0" fontId="97" fillId="31" borderId="19" xfId="0" applyFont="1" applyFill="1" applyBorder="1" applyAlignment="1">
      <alignment horizontal="center"/>
    </xf>
    <xf numFmtId="44" fontId="98" fillId="31" borderId="59" xfId="1" applyFont="1" applyFill="1" applyBorder="1"/>
    <xf numFmtId="10" fontId="98" fillId="31" borderId="88" xfId="2" applyNumberFormat="1" applyFont="1" applyFill="1" applyBorder="1"/>
    <xf numFmtId="10" fontId="98" fillId="31" borderId="20" xfId="2" applyNumberFormat="1" applyFont="1" applyFill="1" applyBorder="1"/>
    <xf numFmtId="44" fontId="98" fillId="31" borderId="59" xfId="0" applyNumberFormat="1" applyFont="1" applyFill="1" applyBorder="1"/>
    <xf numFmtId="0" fontId="99" fillId="38" borderId="32" xfId="0" applyFont="1" applyFill="1" applyBorder="1" applyAlignment="1">
      <alignment horizontal="center"/>
    </xf>
    <xf numFmtId="44" fontId="100" fillId="38" borderId="60" xfId="1" applyFont="1" applyFill="1" applyBorder="1"/>
    <xf numFmtId="10" fontId="100" fillId="38" borderId="90" xfId="2" applyNumberFormat="1" applyFont="1" applyFill="1" applyBorder="1"/>
    <xf numFmtId="10" fontId="100" fillId="38" borderId="33" xfId="2" applyNumberFormat="1" applyFont="1" applyFill="1" applyBorder="1"/>
    <xf numFmtId="10" fontId="100" fillId="38" borderId="71" xfId="2" applyNumberFormat="1" applyFont="1" applyFill="1" applyBorder="1"/>
    <xf numFmtId="0" fontId="99" fillId="38" borderId="85" xfId="0" applyFont="1" applyFill="1" applyBorder="1"/>
    <xf numFmtId="10" fontId="100" fillId="38" borderId="92" xfId="2" applyNumberFormat="1" applyFont="1" applyFill="1" applyBorder="1"/>
    <xf numFmtId="44" fontId="76" fillId="2" borderId="0" xfId="0" applyNumberFormat="1" applyFont="1" applyFill="1"/>
    <xf numFmtId="8" fontId="76" fillId="2" borderId="0" xfId="0" applyNumberFormat="1" applyFont="1" applyFill="1"/>
    <xf numFmtId="0" fontId="76" fillId="32" borderId="0" xfId="0" applyFont="1" applyFill="1"/>
    <xf numFmtId="0" fontId="101" fillId="32" borderId="0" xfId="3" quotePrefix="1" applyFont="1" applyFill="1"/>
    <xf numFmtId="0" fontId="102" fillId="2" borderId="0" xfId="0" applyFont="1" applyFill="1"/>
    <xf numFmtId="0" fontId="103" fillId="2" borderId="0" xfId="0" applyFont="1" applyFill="1"/>
    <xf numFmtId="165" fontId="104" fillId="0" borderId="0" xfId="0" applyNumberFormat="1" applyFont="1"/>
    <xf numFmtId="10" fontId="104" fillId="0" borderId="0" xfId="0" applyNumberFormat="1" applyFont="1"/>
    <xf numFmtId="0" fontId="104" fillId="0" borderId="0" xfId="0" applyFont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/>
    </xf>
    <xf numFmtId="44" fontId="104" fillId="0" borderId="0" xfId="1" applyFont="1" applyFill="1"/>
    <xf numFmtId="10" fontId="104" fillId="0" borderId="0" xfId="2" applyNumberFormat="1" applyFont="1" applyFill="1"/>
    <xf numFmtId="0" fontId="104" fillId="0" borderId="38" xfId="0" applyFont="1" applyBorder="1" applyAlignment="1">
      <alignment horizontal="center" vertical="center"/>
    </xf>
    <xf numFmtId="44" fontId="104" fillId="0" borderId="62" xfId="1" applyFont="1" applyFill="1" applyBorder="1" applyAlignment="1">
      <alignment horizontal="center" vertical="center"/>
    </xf>
    <xf numFmtId="10" fontId="104" fillId="0" borderId="38" xfId="2" applyNumberFormat="1" applyFont="1" applyFill="1" applyBorder="1" applyAlignment="1">
      <alignment horizontal="center" vertical="center" wrapText="1"/>
    </xf>
    <xf numFmtId="10" fontId="104" fillId="0" borderId="62" xfId="2" applyNumberFormat="1" applyFont="1" applyFill="1" applyBorder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104" fillId="0" borderId="36" xfId="0" applyFont="1" applyBorder="1" applyAlignment="1">
      <alignment horizontal="center"/>
    </xf>
    <xf numFmtId="44" fontId="104" fillId="0" borderId="61" xfId="1" applyFont="1" applyFill="1" applyBorder="1"/>
    <xf numFmtId="0" fontId="104" fillId="0" borderId="61" xfId="0" applyFont="1" applyBorder="1" applyAlignment="1">
      <alignment horizontal="center"/>
    </xf>
    <xf numFmtId="10" fontId="104" fillId="0" borderId="61" xfId="2" applyNumberFormat="1" applyFont="1" applyFill="1" applyBorder="1"/>
    <xf numFmtId="10" fontId="104" fillId="0" borderId="37" xfId="2" applyNumberFormat="1" applyFont="1" applyFill="1" applyBorder="1"/>
    <xf numFmtId="0" fontId="104" fillId="0" borderId="19" xfId="0" applyFont="1" applyBorder="1" applyAlignment="1">
      <alignment horizontal="center"/>
    </xf>
    <xf numFmtId="44" fontId="104" fillId="0" borderId="59" xfId="1" applyFont="1" applyFill="1" applyBorder="1"/>
    <xf numFmtId="0" fontId="104" fillId="0" borderId="59" xfId="0" applyFont="1" applyBorder="1" applyAlignment="1">
      <alignment horizontal="center"/>
    </xf>
    <xf numFmtId="10" fontId="104" fillId="0" borderId="59" xfId="2" applyNumberFormat="1" applyFont="1" applyFill="1" applyBorder="1"/>
    <xf numFmtId="0" fontId="104" fillId="0" borderId="32" xfId="0" applyFont="1" applyBorder="1" applyAlignment="1">
      <alignment horizontal="center"/>
    </xf>
    <xf numFmtId="44" fontId="104" fillId="0" borderId="60" xfId="1" applyFont="1" applyFill="1" applyBorder="1"/>
    <xf numFmtId="0" fontId="104" fillId="0" borderId="60" xfId="0" applyFont="1" applyBorder="1" applyAlignment="1">
      <alignment horizontal="center"/>
    </xf>
    <xf numFmtId="10" fontId="104" fillId="0" borderId="60" xfId="2" applyNumberFormat="1" applyFont="1" applyFill="1" applyBorder="1"/>
    <xf numFmtId="0" fontId="104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4" fillId="2" borderId="50" xfId="0" applyFont="1" applyFill="1" applyBorder="1"/>
    <xf numFmtId="167" fontId="104" fillId="2" borderId="57" xfId="0" applyNumberFormat="1" applyFont="1" applyFill="1" applyBorder="1"/>
    <xf numFmtId="10" fontId="67" fillId="2" borderId="57" xfId="2" applyNumberFormat="1" applyFont="1" applyFill="1" applyBorder="1"/>
    <xf numFmtId="167" fontId="104" fillId="2" borderId="51" xfId="0" applyNumberFormat="1" applyFont="1" applyFill="1" applyBorder="1"/>
    <xf numFmtId="0" fontId="104" fillId="2" borderId="59" xfId="0" applyFont="1" applyFill="1" applyBorder="1"/>
    <xf numFmtId="167" fontId="104" fillId="2" borderId="59" xfId="0" applyNumberFormat="1" applyFont="1" applyFill="1" applyBorder="1"/>
    <xf numFmtId="10" fontId="67" fillId="2" borderId="59" xfId="2" applyNumberFormat="1" applyFont="1" applyFill="1" applyBorder="1"/>
    <xf numFmtId="0" fontId="104" fillId="2" borderId="19" xfId="0" applyFont="1" applyFill="1" applyBorder="1"/>
    <xf numFmtId="8" fontId="104" fillId="2" borderId="59" xfId="0" applyNumberFormat="1" applyFont="1" applyFill="1" applyBorder="1"/>
    <xf numFmtId="167" fontId="104" fillId="2" borderId="20" xfId="0" applyNumberFormat="1" applyFont="1" applyFill="1" applyBorder="1"/>
    <xf numFmtId="0" fontId="104" fillId="2" borderId="19" xfId="0" applyFont="1" applyFill="1" applyBorder="1" applyAlignment="1">
      <alignment vertical="center"/>
    </xf>
    <xf numFmtId="8" fontId="104" fillId="2" borderId="59" xfId="0" applyNumberFormat="1" applyFont="1" applyFill="1" applyBorder="1" applyAlignment="1">
      <alignment vertical="center"/>
    </xf>
    <xf numFmtId="167" fontId="104" fillId="2" borderId="20" xfId="0" applyNumberFormat="1" applyFont="1" applyFill="1" applyBorder="1" applyAlignment="1">
      <alignment vertical="center"/>
    </xf>
    <xf numFmtId="0" fontId="104" fillId="2" borderId="59" xfId="0" applyFont="1" applyFill="1" applyBorder="1" applyAlignment="1">
      <alignment vertical="center"/>
    </xf>
    <xf numFmtId="167" fontId="104" fillId="2" borderId="59" xfId="0" applyNumberFormat="1" applyFont="1" applyFill="1" applyBorder="1" applyAlignment="1">
      <alignment vertical="center"/>
    </xf>
    <xf numFmtId="0" fontId="104" fillId="2" borderId="19" xfId="0" applyFont="1" applyFill="1" applyBorder="1" applyAlignment="1">
      <alignment wrapText="1"/>
    </xf>
    <xf numFmtId="8" fontId="104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4" fillId="2" borderId="20" xfId="0" applyNumberFormat="1" applyFont="1" applyFill="1" applyBorder="1" applyAlignment="1">
      <alignment wrapText="1"/>
    </xf>
    <xf numFmtId="0" fontId="104" fillId="2" borderId="0" xfId="0" applyFont="1" applyFill="1" applyAlignment="1">
      <alignment wrapText="1"/>
    </xf>
    <xf numFmtId="0" fontId="104" fillId="2" borderId="32" xfId="0" applyFont="1" applyFill="1" applyBorder="1"/>
    <xf numFmtId="8" fontId="104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4" fillId="2" borderId="37" xfId="1" applyNumberFormat="1" applyFont="1" applyFill="1" applyBorder="1"/>
    <xf numFmtId="0" fontId="66" fillId="2" borderId="61" xfId="0" applyFont="1" applyFill="1" applyBorder="1"/>
    <xf numFmtId="167" fontId="104" fillId="2" borderId="61" xfId="1" applyNumberFormat="1" applyFont="1" applyFill="1" applyBorder="1"/>
    <xf numFmtId="0" fontId="66" fillId="2" borderId="19" xfId="0" applyFont="1" applyFill="1" applyBorder="1"/>
    <xf numFmtId="167" fontId="104" fillId="2" borderId="20" xfId="1" applyNumberFormat="1" applyFont="1" applyFill="1" applyBorder="1"/>
    <xf numFmtId="0" fontId="66" fillId="2" borderId="59" xfId="0" applyFont="1" applyFill="1" applyBorder="1"/>
    <xf numFmtId="167" fontId="104" fillId="2" borderId="59" xfId="1" applyNumberFormat="1" applyFont="1" applyFill="1" applyBorder="1"/>
    <xf numFmtId="10" fontId="104" fillId="2" borderId="20" xfId="2" applyNumberFormat="1" applyFont="1" applyFill="1" applyBorder="1"/>
    <xf numFmtId="10" fontId="104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4" fillId="2" borderId="33" xfId="2" applyNumberFormat="1" applyFont="1" applyFill="1" applyBorder="1" applyAlignment="1">
      <alignment horizontal="right" vertical="center" wrapText="1"/>
    </xf>
    <xf numFmtId="0" fontId="104" fillId="2" borderId="0" xfId="0" applyFont="1" applyFill="1" applyAlignment="1">
      <alignment horizontal="center"/>
    </xf>
    <xf numFmtId="0" fontId="104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4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3" fillId="13" borderId="42" xfId="0" applyFont="1" applyFill="1" applyBorder="1" applyAlignment="1">
      <alignment horizontal="center"/>
    </xf>
    <xf numFmtId="0" fontId="114" fillId="13" borderId="56" xfId="0" applyFont="1" applyFill="1" applyBorder="1" applyAlignment="1">
      <alignment horizontal="center" vertical="center" wrapText="1"/>
    </xf>
    <xf numFmtId="0" fontId="114" fillId="13" borderId="14" xfId="0" applyFont="1" applyFill="1" applyBorder="1" applyAlignment="1">
      <alignment horizontal="center"/>
    </xf>
    <xf numFmtId="0" fontId="114" fillId="14" borderId="16" xfId="0" applyFont="1" applyFill="1" applyBorder="1" applyAlignment="1">
      <alignment horizontal="center"/>
    </xf>
    <xf numFmtId="164" fontId="115" fillId="14" borderId="17" xfId="0" applyNumberFormat="1" applyFont="1" applyFill="1" applyBorder="1" applyAlignment="1">
      <alignment wrapText="1"/>
    </xf>
    <xf numFmtId="0" fontId="114" fillId="14" borderId="14" xfId="0" applyFont="1" applyFill="1" applyBorder="1" applyAlignment="1">
      <alignment horizontal="center"/>
    </xf>
    <xf numFmtId="164" fontId="115" fillId="14" borderId="15" xfId="0" applyNumberFormat="1" applyFont="1" applyFill="1" applyBorder="1" applyAlignment="1">
      <alignment wrapText="1"/>
    </xf>
    <xf numFmtId="0" fontId="114" fillId="14" borderId="12" xfId="0" applyFont="1" applyFill="1" applyBorder="1" applyAlignment="1">
      <alignment horizontal="center"/>
    </xf>
    <xf numFmtId="164" fontId="115" fillId="14" borderId="13" xfId="0" applyNumberFormat="1" applyFont="1" applyFill="1" applyBorder="1" applyAlignment="1">
      <alignment wrapText="1"/>
    </xf>
    <xf numFmtId="0" fontId="114" fillId="14" borderId="76" xfId="0" applyFont="1" applyFill="1" applyBorder="1" applyAlignment="1">
      <alignment horizontal="center" vertical="center"/>
    </xf>
    <xf numFmtId="164" fontId="115" fillId="14" borderId="13" xfId="0" applyNumberFormat="1" applyFont="1" applyFill="1" applyBorder="1" applyAlignment="1">
      <alignment vertical="center" wrapText="1"/>
    </xf>
    <xf numFmtId="0" fontId="114" fillId="14" borderId="76" xfId="0" applyFont="1" applyFill="1" applyBorder="1" applyAlignment="1">
      <alignment horizontal="center" vertical="center" wrapText="1"/>
    </xf>
    <xf numFmtId="10" fontId="115" fillId="14" borderId="15" xfId="0" applyNumberFormat="1" applyFont="1" applyFill="1" applyBorder="1" applyAlignment="1">
      <alignment vertical="center" wrapText="1"/>
    </xf>
    <xf numFmtId="0" fontId="114" fillId="14" borderId="12" xfId="0" applyFont="1" applyFill="1" applyBorder="1" applyAlignment="1">
      <alignment horizontal="center" vertical="center" wrapText="1"/>
    </xf>
    <xf numFmtId="164" fontId="115" fillId="14" borderId="22" xfId="0" applyNumberFormat="1" applyFont="1" applyFill="1" applyBorder="1" applyAlignment="1">
      <alignment vertical="center" wrapText="1"/>
    </xf>
    <xf numFmtId="0" fontId="114" fillId="14" borderId="23" xfId="0" applyFont="1" applyFill="1" applyBorder="1" applyAlignment="1">
      <alignment horizontal="center"/>
    </xf>
    <xf numFmtId="10" fontId="115" fillId="14" borderId="24" xfId="0" applyNumberFormat="1" applyFont="1" applyFill="1" applyBorder="1" applyAlignment="1">
      <alignment wrapText="1"/>
    </xf>
    <xf numFmtId="0" fontId="114" fillId="13" borderId="77" xfId="0" applyFont="1" applyFill="1" applyBorder="1" applyAlignment="1">
      <alignment horizontal="center" vertical="center" wrapText="1"/>
    </xf>
    <xf numFmtId="0" fontId="114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1" fillId="43" borderId="109" xfId="7" applyAlignment="1" applyProtection="1">
      <alignment horizontal="left" vertical="center" wrapText="1"/>
      <protection locked="0"/>
    </xf>
    <xf numFmtId="164" fontId="111" fillId="43" borderId="109" xfId="7" applyNumberFormat="1" applyAlignment="1" applyProtection="1">
      <alignment vertical="center" wrapText="1"/>
      <protection locked="0"/>
    </xf>
    <xf numFmtId="0" fontId="111" fillId="43" borderId="109" xfId="7" applyAlignment="1" applyProtection="1">
      <alignment vertical="center" wrapText="1"/>
      <protection locked="0"/>
    </xf>
    <xf numFmtId="10" fontId="111" fillId="43" borderId="109" xfId="7" applyNumberFormat="1" applyAlignment="1" applyProtection="1">
      <alignment vertical="center" wrapText="1"/>
      <protection locked="0"/>
    </xf>
    <xf numFmtId="164" fontId="111" fillId="43" borderId="109" xfId="7" applyNumberFormat="1" applyAlignment="1" applyProtection="1">
      <alignment wrapText="1"/>
      <protection locked="0"/>
    </xf>
    <xf numFmtId="0" fontId="111" fillId="43" borderId="109" xfId="7" applyAlignment="1" applyProtection="1">
      <alignment wrapText="1"/>
      <protection locked="0"/>
    </xf>
    <xf numFmtId="0" fontId="116" fillId="13" borderId="42" xfId="0" applyFont="1" applyFill="1" applyBorder="1" applyAlignment="1">
      <alignment horizontal="center"/>
    </xf>
    <xf numFmtId="0" fontId="117" fillId="13" borderId="56" xfId="0" applyFont="1" applyFill="1" applyBorder="1" applyAlignment="1">
      <alignment horizontal="center" vertical="center" wrapText="1"/>
    </xf>
    <xf numFmtId="0" fontId="117" fillId="13" borderId="14" xfId="0" applyFont="1" applyFill="1" applyBorder="1" applyAlignment="1">
      <alignment horizontal="center"/>
    </xf>
    <xf numFmtId="0" fontId="117" fillId="14" borderId="16" xfId="0" applyFont="1" applyFill="1" applyBorder="1" applyAlignment="1">
      <alignment horizontal="center"/>
    </xf>
    <xf numFmtId="164" fontId="118" fillId="14" borderId="17" xfId="0" applyNumberFormat="1" applyFont="1" applyFill="1" applyBorder="1" applyAlignment="1">
      <alignment wrapText="1"/>
    </xf>
    <xf numFmtId="0" fontId="117" fillId="14" borderId="14" xfId="0" applyFont="1" applyFill="1" applyBorder="1" applyAlignment="1">
      <alignment horizontal="center"/>
    </xf>
    <xf numFmtId="164" fontId="118" fillId="14" borderId="15" xfId="0" applyNumberFormat="1" applyFont="1" applyFill="1" applyBorder="1" applyAlignment="1">
      <alignment wrapText="1"/>
    </xf>
    <xf numFmtId="0" fontId="117" fillId="14" borderId="12" xfId="0" applyFont="1" applyFill="1" applyBorder="1" applyAlignment="1">
      <alignment horizontal="center"/>
    </xf>
    <xf numFmtId="164" fontId="118" fillId="14" borderId="13" xfId="0" applyNumberFormat="1" applyFont="1" applyFill="1" applyBorder="1" applyAlignment="1">
      <alignment wrapText="1"/>
    </xf>
    <xf numFmtId="0" fontId="117" fillId="14" borderId="76" xfId="0" applyFont="1" applyFill="1" applyBorder="1" applyAlignment="1">
      <alignment horizontal="center" vertical="center"/>
    </xf>
    <xf numFmtId="164" fontId="118" fillId="14" borderId="13" xfId="0" applyNumberFormat="1" applyFont="1" applyFill="1" applyBorder="1" applyAlignment="1">
      <alignment vertical="center" wrapText="1"/>
    </xf>
    <xf numFmtId="0" fontId="117" fillId="14" borderId="76" xfId="0" applyFont="1" applyFill="1" applyBorder="1" applyAlignment="1">
      <alignment horizontal="center" vertical="center" wrapText="1"/>
    </xf>
    <xf numFmtId="10" fontId="118" fillId="14" borderId="15" xfId="0" applyNumberFormat="1" applyFont="1" applyFill="1" applyBorder="1" applyAlignment="1">
      <alignment vertical="center" wrapText="1"/>
    </xf>
    <xf numFmtId="0" fontId="117" fillId="14" borderId="12" xfId="0" applyFont="1" applyFill="1" applyBorder="1" applyAlignment="1">
      <alignment horizontal="center" vertical="center" wrapText="1"/>
    </xf>
    <xf numFmtId="164" fontId="118" fillId="14" borderId="22" xfId="0" applyNumberFormat="1" applyFont="1" applyFill="1" applyBorder="1" applyAlignment="1">
      <alignment vertical="center" wrapText="1"/>
    </xf>
    <xf numFmtId="0" fontId="117" fillId="14" borderId="23" xfId="0" applyFont="1" applyFill="1" applyBorder="1" applyAlignment="1">
      <alignment horizontal="center"/>
    </xf>
    <xf numFmtId="10" fontId="118" fillId="14" borderId="24" xfId="0" applyNumberFormat="1" applyFont="1" applyFill="1" applyBorder="1" applyAlignment="1">
      <alignment wrapText="1"/>
    </xf>
    <xf numFmtId="0" fontId="117" fillId="13" borderId="77" xfId="0" applyFont="1" applyFill="1" applyBorder="1" applyAlignment="1">
      <alignment horizontal="center" vertical="center" wrapText="1"/>
    </xf>
    <xf numFmtId="0" fontId="117" fillId="13" borderId="43" xfId="0" applyFont="1" applyFill="1" applyBorder="1" applyAlignment="1">
      <alignment horizontal="center" vertical="center" wrapText="1"/>
    </xf>
    <xf numFmtId="165" fontId="111" fillId="43" borderId="109" xfId="7" applyNumberFormat="1" applyAlignment="1" applyProtection="1">
      <alignment wrapText="1"/>
      <protection locked="0"/>
    </xf>
    <xf numFmtId="0" fontId="111" fillId="43" borderId="109" xfId="7" applyProtection="1">
      <protection locked="0"/>
    </xf>
    <xf numFmtId="10" fontId="111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1" fillId="43" borderId="109" xfId="7" applyNumberFormat="1" applyAlignment="1">
      <alignment horizontal="right"/>
    </xf>
    <xf numFmtId="0" fontId="111" fillId="43" borderId="109" xfId="7" applyAlignment="1">
      <alignment horizontal="right"/>
    </xf>
    <xf numFmtId="44" fontId="111" fillId="43" borderId="109" xfId="7" applyNumberFormat="1" applyAlignment="1">
      <alignment horizontal="right"/>
    </xf>
    <xf numFmtId="10" fontId="111" fillId="43" borderId="109" xfId="7" applyNumberFormat="1" applyAlignment="1" applyProtection="1">
      <alignment wrapText="1"/>
      <protection locked="0"/>
    </xf>
    <xf numFmtId="10" fontId="111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5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1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8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0" fillId="11" borderId="69" xfId="0" applyFill="1" applyBorder="1"/>
    <xf numFmtId="0" fontId="124" fillId="11" borderId="0" xfId="5" applyFont="1" applyFill="1" applyBorder="1"/>
    <xf numFmtId="0" fontId="109" fillId="11" borderId="0" xfId="5" applyFill="1" applyBorder="1"/>
    <xf numFmtId="0" fontId="3" fillId="11" borderId="0" xfId="3" applyFill="1" applyBorder="1" applyAlignment="1">
      <alignment horizontal="left"/>
    </xf>
    <xf numFmtId="0" fontId="112" fillId="11" borderId="0" xfId="6" applyFont="1" applyFill="1" applyBorder="1"/>
    <xf numFmtId="0" fontId="120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8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29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29" fillId="54" borderId="59" xfId="7" applyNumberFormat="1" applyFont="1" applyFill="1" applyBorder="1" applyAlignment="1" applyProtection="1">
      <alignment wrapText="1"/>
    </xf>
    <xf numFmtId="165" fontId="111" fillId="43" borderId="109" xfId="7" applyNumberFormat="1" applyProtection="1">
      <protection locked="0"/>
    </xf>
    <xf numFmtId="165" fontId="111" fillId="43" borderId="109" xfId="7" applyNumberFormat="1" applyAlignment="1" applyProtection="1">
      <alignment vertical="center"/>
      <protection locked="0"/>
    </xf>
    <xf numFmtId="0" fontId="110" fillId="33" borderId="112" xfId="6" applyFill="1" applyBorder="1" applyAlignment="1">
      <alignment horizontal="center"/>
    </xf>
    <xf numFmtId="0" fontId="110" fillId="33" borderId="113" xfId="6" applyFill="1" applyBorder="1" applyAlignment="1">
      <alignment horizontal="center"/>
    </xf>
    <xf numFmtId="0" fontId="110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2" fillId="2" borderId="0" xfId="0" applyFont="1" applyFill="1"/>
    <xf numFmtId="0" fontId="122" fillId="33" borderId="65" xfId="0" applyFont="1" applyFill="1" applyBorder="1" applyAlignment="1">
      <alignment horizontal="center"/>
    </xf>
    <xf numFmtId="0" fontId="122" fillId="2" borderId="0" xfId="0" applyFont="1" applyFill="1" applyAlignment="1">
      <alignment horizontal="center"/>
    </xf>
    <xf numFmtId="0" fontId="110" fillId="19" borderId="112" xfId="6" applyFill="1" applyBorder="1" applyAlignment="1">
      <alignment horizontal="center" vertical="center" wrapText="1"/>
    </xf>
    <xf numFmtId="0" fontId="110" fillId="19" borderId="113" xfId="6" applyFill="1" applyBorder="1" applyAlignment="1">
      <alignment horizontal="center" vertical="center" wrapText="1"/>
    </xf>
    <xf numFmtId="0" fontId="110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2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4" fillId="36" borderId="50" xfId="0" applyFont="1" applyFill="1" applyBorder="1" applyAlignment="1">
      <alignment horizontal="center"/>
    </xf>
    <xf numFmtId="10" fontId="85" fillId="36" borderId="51" xfId="2" applyNumberFormat="1" applyFont="1" applyFill="1" applyBorder="1"/>
    <xf numFmtId="0" fontId="130" fillId="2" borderId="0" xfId="3" applyFont="1" applyFill="1"/>
    <xf numFmtId="0" fontId="130" fillId="2" borderId="80" xfId="3" applyFont="1" applyFill="1" applyBorder="1"/>
    <xf numFmtId="44" fontId="0" fillId="2" borderId="80" xfId="0" applyNumberFormat="1" applyFill="1" applyBorder="1"/>
    <xf numFmtId="0" fontId="122" fillId="2" borderId="0" xfId="0" applyFont="1" applyFill="1" applyAlignment="1">
      <alignment horizontal="left"/>
    </xf>
    <xf numFmtId="0" fontId="121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2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10" fillId="55" borderId="112" xfId="6" applyFill="1" applyBorder="1" applyAlignment="1">
      <alignment horizontal="center" vertical="center"/>
    </xf>
    <xf numFmtId="0" fontId="110" fillId="55" borderId="113" xfId="6" applyFill="1" applyBorder="1" applyAlignment="1">
      <alignment horizontal="center" vertical="center"/>
    </xf>
    <xf numFmtId="44" fontId="110" fillId="55" borderId="113" xfId="6" applyNumberFormat="1" applyFill="1" applyBorder="1" applyAlignment="1">
      <alignment horizontal="center" vertical="center" wrapText="1"/>
    </xf>
    <xf numFmtId="44" fontId="110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1" fillId="16" borderId="59" xfId="1" applyNumberFormat="1" applyFont="1" applyFill="1" applyBorder="1"/>
    <xf numFmtId="0" fontId="111" fillId="43" borderId="109" xfId="7" applyAlignment="1">
      <alignment horizontal="right" wrapText="1"/>
    </xf>
    <xf numFmtId="0" fontId="111" fillId="43" borderId="109" xfId="7" applyAlignment="1" applyProtection="1">
      <alignment horizontal="left"/>
      <protection locked="0"/>
    </xf>
    <xf numFmtId="165" fontId="6" fillId="16" borderId="115" xfId="0" applyNumberFormat="1" applyFont="1" applyFill="1" applyBorder="1" applyAlignment="1">
      <alignment wrapText="1"/>
    </xf>
    <xf numFmtId="0" fontId="41" fillId="16" borderId="117" xfId="0" applyFont="1" applyFill="1" applyBorder="1" applyAlignment="1">
      <alignment vertical="center"/>
    </xf>
    <xf numFmtId="10" fontId="129" fillId="16" borderId="118" xfId="7" applyNumberFormat="1" applyFont="1" applyFill="1" applyBorder="1" applyAlignment="1" applyProtection="1">
      <alignment wrapText="1"/>
      <protection locked="0"/>
    </xf>
    <xf numFmtId="0" fontId="0" fillId="2" borderId="72" xfId="0" applyFill="1" applyBorder="1"/>
    <xf numFmtId="0" fontId="122" fillId="2" borderId="80" xfId="0" applyFont="1" applyFill="1" applyBorder="1"/>
    <xf numFmtId="10" fontId="0" fillId="2" borderId="80" xfId="0" applyNumberFormat="1" applyFill="1" applyBorder="1"/>
    <xf numFmtId="0" fontId="132" fillId="49" borderId="0" xfId="0" applyFont="1" applyFill="1"/>
    <xf numFmtId="0" fontId="104" fillId="3" borderId="97" xfId="3" applyFont="1" applyFill="1" applyBorder="1" applyAlignment="1"/>
    <xf numFmtId="0" fontId="0" fillId="3" borderId="54" xfId="0" applyFill="1" applyBorder="1"/>
    <xf numFmtId="172" fontId="111" fillId="43" borderId="109" xfId="7" applyNumberFormat="1" applyAlignment="1">
      <alignment wrapText="1"/>
    </xf>
    <xf numFmtId="0" fontId="20" fillId="10" borderId="76" xfId="0" applyFont="1" applyFill="1" applyBorder="1" applyAlignment="1">
      <alignment horizontal="center"/>
    </xf>
    <xf numFmtId="164" fontId="21" fillId="10" borderId="120" xfId="0" applyNumberFormat="1" applyFont="1" applyFill="1" applyBorder="1" applyAlignment="1">
      <alignment wrapText="1"/>
    </xf>
    <xf numFmtId="0" fontId="0" fillId="3" borderId="72" xfId="0" applyFill="1" applyBorder="1"/>
    <xf numFmtId="164" fontId="133" fillId="11" borderId="121" xfId="7" applyNumberFormat="1" applyFont="1" applyFill="1" applyBorder="1" applyAlignment="1" applyProtection="1">
      <alignment wrapText="1"/>
      <protection locked="0"/>
    </xf>
    <xf numFmtId="164" fontId="111" fillId="43" borderId="116" xfId="7" applyNumberFormat="1" applyBorder="1" applyAlignment="1" applyProtection="1">
      <alignment vertical="center" wrapText="1"/>
      <protection locked="0"/>
    </xf>
    <xf numFmtId="0" fontId="8" fillId="28" borderId="122" xfId="0" applyFont="1" applyFill="1" applyBorder="1" applyAlignment="1">
      <alignment horizontal="center" vertical="center"/>
    </xf>
    <xf numFmtId="0" fontId="111" fillId="43" borderId="119" xfId="7" applyBorder="1" applyAlignment="1" applyProtection="1">
      <alignment vertical="center" wrapText="1"/>
      <protection locked="0"/>
    </xf>
    <xf numFmtId="0" fontId="11" fillId="3" borderId="72" xfId="0" applyFont="1" applyFill="1" applyBorder="1"/>
    <xf numFmtId="0" fontId="4" fillId="2" borderId="0" xfId="0" applyFont="1" applyFill="1"/>
    <xf numFmtId="0" fontId="106" fillId="2" borderId="0" xfId="0" applyFont="1" applyFill="1"/>
    <xf numFmtId="0" fontId="66" fillId="2" borderId="0" xfId="0" applyFont="1" applyFill="1"/>
    <xf numFmtId="0" fontId="104" fillId="3" borderId="50" xfId="0" applyFont="1" applyFill="1" applyBorder="1" applyAlignment="1">
      <alignment horizontal="center" vertical="center"/>
    </xf>
    <xf numFmtId="44" fontId="104" fillId="3" borderId="51" xfId="1" applyFont="1" applyFill="1" applyBorder="1" applyAlignment="1">
      <alignment horizontal="right"/>
    </xf>
    <xf numFmtId="0" fontId="104" fillId="3" borderId="19" xfId="0" applyFont="1" applyFill="1" applyBorder="1" applyAlignment="1">
      <alignment horizontal="center" vertical="center"/>
    </xf>
    <xf numFmtId="44" fontId="104" fillId="3" borderId="20" xfId="1" applyFont="1" applyFill="1" applyBorder="1" applyAlignment="1">
      <alignment horizontal="right"/>
    </xf>
    <xf numFmtId="44" fontId="104" fillId="3" borderId="20" xfId="1" applyFont="1" applyFill="1" applyBorder="1"/>
    <xf numFmtId="8" fontId="104" fillId="3" borderId="20" xfId="1" applyNumberFormat="1" applyFont="1" applyFill="1" applyBorder="1"/>
    <xf numFmtId="10" fontId="104" fillId="3" borderId="20" xfId="1" applyNumberFormat="1" applyFont="1" applyFill="1" applyBorder="1"/>
    <xf numFmtId="10" fontId="104" fillId="3" borderId="20" xfId="2" applyNumberFormat="1" applyFont="1" applyFill="1" applyBorder="1"/>
    <xf numFmtId="8" fontId="104" fillId="3" borderId="20" xfId="0" applyNumberFormat="1" applyFont="1" applyFill="1" applyBorder="1"/>
    <xf numFmtId="0" fontId="104" fillId="3" borderId="32" xfId="0" applyFont="1" applyFill="1" applyBorder="1" applyAlignment="1">
      <alignment horizontal="center" vertical="center"/>
    </xf>
    <xf numFmtId="170" fontId="104" fillId="3" borderId="33" xfId="0" applyNumberFormat="1" applyFont="1" applyFill="1" applyBorder="1"/>
    <xf numFmtId="0" fontId="104" fillId="55" borderId="50" xfId="0" applyFont="1" applyFill="1" applyBorder="1" applyAlignment="1">
      <alignment horizontal="center" vertical="center"/>
    </xf>
    <xf numFmtId="44" fontId="104" fillId="55" borderId="51" xfId="1" applyFont="1" applyFill="1" applyBorder="1" applyAlignment="1">
      <alignment horizontal="right"/>
    </xf>
    <xf numFmtId="0" fontId="104" fillId="55" borderId="19" xfId="0" applyFont="1" applyFill="1" applyBorder="1" applyAlignment="1">
      <alignment horizontal="center" vertical="center"/>
    </xf>
    <xf numFmtId="44" fontId="104" fillId="55" borderId="20" xfId="1" applyFont="1" applyFill="1" applyBorder="1" applyAlignment="1">
      <alignment horizontal="right"/>
    </xf>
    <xf numFmtId="44" fontId="104" fillId="55" borderId="20" xfId="1" applyFont="1" applyFill="1" applyBorder="1"/>
    <xf numFmtId="8" fontId="104" fillId="55" borderId="20" xfId="1" applyNumberFormat="1" applyFont="1" applyFill="1" applyBorder="1"/>
    <xf numFmtId="10" fontId="104" fillId="55" borderId="20" xfId="1" applyNumberFormat="1" applyFont="1" applyFill="1" applyBorder="1"/>
    <xf numFmtId="10" fontId="104" fillId="55" borderId="20" xfId="2" applyNumberFormat="1" applyFont="1" applyFill="1" applyBorder="1"/>
    <xf numFmtId="8" fontId="104" fillId="55" borderId="20" xfId="0" applyNumberFormat="1" applyFont="1" applyFill="1" applyBorder="1"/>
    <xf numFmtId="0" fontId="104" fillId="55" borderId="32" xfId="0" applyFont="1" applyFill="1" applyBorder="1" applyAlignment="1">
      <alignment horizontal="center" vertical="center"/>
    </xf>
    <xf numFmtId="170" fontId="104" fillId="55" borderId="33" xfId="0" applyNumberFormat="1" applyFont="1" applyFill="1" applyBorder="1"/>
    <xf numFmtId="0" fontId="104" fillId="11" borderId="50" xfId="0" applyFont="1" applyFill="1" applyBorder="1" applyAlignment="1">
      <alignment horizontal="center" vertical="center"/>
    </xf>
    <xf numFmtId="44" fontId="104" fillId="11" borderId="51" xfId="1" applyFont="1" applyFill="1" applyBorder="1" applyAlignment="1">
      <alignment horizontal="right"/>
    </xf>
    <xf numFmtId="0" fontId="104" fillId="11" borderId="19" xfId="0" applyFont="1" applyFill="1" applyBorder="1" applyAlignment="1">
      <alignment horizontal="center" vertical="center"/>
    </xf>
    <xf numFmtId="44" fontId="104" fillId="11" borderId="20" xfId="1" applyFont="1" applyFill="1" applyBorder="1" applyAlignment="1">
      <alignment horizontal="right"/>
    </xf>
    <xf numFmtId="0" fontId="104" fillId="11" borderId="52" xfId="0" applyFont="1" applyFill="1" applyBorder="1" applyAlignment="1">
      <alignment horizontal="center" vertical="center"/>
    </xf>
    <xf numFmtId="44" fontId="104" fillId="11" borderId="51" xfId="1" applyFont="1" applyFill="1" applyBorder="1"/>
    <xf numFmtId="44" fontId="104" fillId="11" borderId="20" xfId="1" applyFont="1" applyFill="1" applyBorder="1"/>
    <xf numFmtId="8" fontId="104" fillId="11" borderId="20" xfId="1" applyNumberFormat="1" applyFont="1" applyFill="1" applyBorder="1"/>
    <xf numFmtId="10" fontId="104" fillId="11" borderId="20" xfId="1" applyNumberFormat="1" applyFont="1" applyFill="1" applyBorder="1"/>
    <xf numFmtId="10" fontId="104" fillId="11" borderId="20" xfId="2" applyNumberFormat="1" applyFont="1" applyFill="1" applyBorder="1"/>
    <xf numFmtId="8" fontId="104" fillId="11" borderId="20" xfId="0" applyNumberFormat="1" applyFont="1" applyFill="1" applyBorder="1"/>
    <xf numFmtId="0" fontId="104" fillId="11" borderId="32" xfId="0" applyFont="1" applyFill="1" applyBorder="1" applyAlignment="1">
      <alignment horizontal="center" vertical="center"/>
    </xf>
    <xf numFmtId="170" fontId="104" fillId="11" borderId="33" xfId="0" applyNumberFormat="1" applyFont="1" applyFill="1" applyBorder="1"/>
    <xf numFmtId="0" fontId="104" fillId="11" borderId="36" xfId="0" applyFont="1" applyFill="1" applyBorder="1" applyAlignment="1">
      <alignment horizontal="center" vertical="center"/>
    </xf>
    <xf numFmtId="44" fontId="104" fillId="11" borderId="37" xfId="1" applyFont="1" applyFill="1" applyBorder="1"/>
    <xf numFmtId="10" fontId="129" fillId="55" borderId="20" xfId="2" applyNumberFormat="1" applyFont="1" applyFill="1" applyBorder="1"/>
    <xf numFmtId="10" fontId="129" fillId="11" borderId="53" xfId="2" applyNumberFormat="1" applyFont="1" applyFill="1" applyBorder="1"/>
    <xf numFmtId="0" fontId="78" fillId="24" borderId="20" xfId="0" applyFont="1" applyFill="1" applyBorder="1" applyAlignment="1">
      <alignment horizontal="left" wrapText="1"/>
    </xf>
    <xf numFmtId="0" fontId="77" fillId="24" borderId="19" xfId="0" applyFont="1" applyFill="1" applyBorder="1" applyAlignment="1">
      <alignment horizontal="center" vertical="center"/>
    </xf>
    <xf numFmtId="0" fontId="62" fillId="8" borderId="32" xfId="0" applyFont="1" applyFill="1" applyBorder="1" applyAlignment="1">
      <alignment wrapText="1"/>
    </xf>
    <xf numFmtId="0" fontId="3" fillId="11" borderId="0" xfId="3" applyFill="1"/>
    <xf numFmtId="0" fontId="0" fillId="11" borderId="0" xfId="0" applyFill="1" applyAlignment="1">
      <alignment horizontal="center"/>
    </xf>
    <xf numFmtId="44" fontId="0" fillId="11" borderId="0" xfId="1" applyFont="1" applyFill="1"/>
    <xf numFmtId="10" fontId="0" fillId="11" borderId="0" xfId="2" applyNumberFormat="1" applyFont="1" applyFill="1"/>
    <xf numFmtId="0" fontId="0" fillId="11" borderId="0" xfId="0" applyFill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44" fontId="0" fillId="24" borderId="62" xfId="1" applyFont="1" applyFill="1" applyBorder="1" applyAlignment="1">
      <alignment horizontal="center" vertical="center"/>
    </xf>
    <xf numFmtId="10" fontId="0" fillId="24" borderId="38" xfId="2" applyNumberFormat="1" applyFont="1" applyFill="1" applyBorder="1" applyAlignment="1">
      <alignment horizontal="center" vertical="center" wrapText="1"/>
    </xf>
    <xf numFmtId="10" fontId="0" fillId="24" borderId="62" xfId="2" applyNumberFormat="1" applyFont="1" applyFill="1" applyBorder="1" applyAlignment="1">
      <alignment horizontal="center" vertical="center"/>
    </xf>
    <xf numFmtId="0" fontId="0" fillId="24" borderId="36" xfId="0" applyFill="1" applyBorder="1" applyAlignment="1">
      <alignment horizontal="center"/>
    </xf>
    <xf numFmtId="44" fontId="0" fillId="24" borderId="61" xfId="1" applyFont="1" applyFill="1" applyBorder="1"/>
    <xf numFmtId="0" fontId="0" fillId="24" borderId="61" xfId="0" applyFill="1" applyBorder="1" applyAlignment="1">
      <alignment horizontal="center"/>
    </xf>
    <xf numFmtId="10" fontId="0" fillId="24" borderId="61" xfId="2" applyNumberFormat="1" applyFont="1" applyFill="1" applyBorder="1"/>
    <xf numFmtId="10" fontId="0" fillId="24" borderId="37" xfId="2" applyNumberFormat="1" applyFont="1" applyFill="1" applyBorder="1"/>
    <xf numFmtId="0" fontId="0" fillId="24" borderId="19" xfId="0" applyFill="1" applyBorder="1" applyAlignment="1">
      <alignment horizontal="center"/>
    </xf>
    <xf numFmtId="44" fontId="0" fillId="24" borderId="59" xfId="1" applyFont="1" applyFill="1" applyBorder="1"/>
    <xf numFmtId="0" fontId="0" fillId="24" borderId="59" xfId="0" applyFill="1" applyBorder="1" applyAlignment="1">
      <alignment horizontal="center"/>
    </xf>
    <xf numFmtId="10" fontId="0" fillId="24" borderId="59" xfId="2" applyNumberFormat="1" applyFont="1" applyFill="1" applyBorder="1"/>
    <xf numFmtId="10" fontId="0" fillId="24" borderId="20" xfId="2" applyNumberFormat="1" applyFont="1" applyFill="1" applyBorder="1"/>
    <xf numFmtId="0" fontId="0" fillId="24" borderId="32" xfId="0" applyFill="1" applyBorder="1" applyAlignment="1">
      <alignment horizontal="center"/>
    </xf>
    <xf numFmtId="44" fontId="0" fillId="24" borderId="60" xfId="1" applyFont="1" applyFill="1" applyBorder="1"/>
    <xf numFmtId="0" fontId="0" fillId="24" borderId="60" xfId="0" applyFill="1" applyBorder="1" applyAlignment="1">
      <alignment horizontal="center"/>
    </xf>
    <xf numFmtId="10" fontId="0" fillId="24" borderId="60" xfId="2" applyNumberFormat="1" applyFont="1" applyFill="1" applyBorder="1"/>
    <xf numFmtId="10" fontId="0" fillId="24" borderId="33" xfId="2" applyNumberFormat="1" applyFont="1" applyFill="1" applyBorder="1"/>
    <xf numFmtId="165" fontId="104" fillId="2" borderId="0" xfId="0" applyNumberFormat="1" applyFont="1" applyFill="1"/>
    <xf numFmtId="10" fontId="104" fillId="2" borderId="0" xfId="0" applyNumberFormat="1" applyFont="1" applyFill="1"/>
    <xf numFmtId="0" fontId="66" fillId="2" borderId="0" xfId="0" applyFont="1" applyFill="1" applyAlignment="1">
      <alignment horizontal="center" vertical="center" wrapText="1"/>
    </xf>
    <xf numFmtId="165" fontId="66" fillId="2" borderId="0" xfId="0" applyNumberFormat="1" applyFont="1" applyFill="1" applyAlignment="1">
      <alignment horizontal="center" vertical="center" wrapText="1"/>
    </xf>
    <xf numFmtId="0" fontId="104" fillId="2" borderId="0" xfId="0" applyFont="1" applyFill="1" applyAlignment="1">
      <alignment horizontal="center" vertical="center" wrapText="1"/>
    </xf>
    <xf numFmtId="0" fontId="66" fillId="11" borderId="36" xfId="0" applyFont="1" applyFill="1" applyBorder="1"/>
    <xf numFmtId="0" fontId="66" fillId="11" borderId="19" xfId="0" applyFont="1" applyFill="1" applyBorder="1"/>
    <xf numFmtId="0" fontId="66" fillId="11" borderId="32" xfId="0" applyFont="1" applyFill="1" applyBorder="1"/>
    <xf numFmtId="167" fontId="104" fillId="11" borderId="33" xfId="0" applyNumberFormat="1" applyFont="1" applyFill="1" applyBorder="1"/>
    <xf numFmtId="0" fontId="66" fillId="48" borderId="36" xfId="0" applyFont="1" applyFill="1" applyBorder="1"/>
    <xf numFmtId="0" fontId="66" fillId="48" borderId="19" xfId="0" applyFont="1" applyFill="1" applyBorder="1"/>
    <xf numFmtId="0" fontId="66" fillId="48" borderId="32" xfId="0" applyFont="1" applyFill="1" applyBorder="1"/>
    <xf numFmtId="167" fontId="104" fillId="48" borderId="33" xfId="0" applyNumberFormat="1" applyFont="1" applyFill="1" applyBorder="1"/>
    <xf numFmtId="0" fontId="109" fillId="11" borderId="107" xfId="5" applyFill="1"/>
    <xf numFmtId="0" fontId="123" fillId="11" borderId="0" xfId="0" applyFont="1" applyFill="1"/>
    <xf numFmtId="0" fontId="127" fillId="11" borderId="0" xfId="0" applyFont="1" applyFill="1"/>
    <xf numFmtId="0" fontId="126" fillId="11" borderId="0" xfId="0" applyFont="1" applyFill="1"/>
    <xf numFmtId="0" fontId="124" fillId="11" borderId="0" xfId="0" applyFont="1" applyFill="1"/>
    <xf numFmtId="0" fontId="3" fillId="42" borderId="0" xfId="3" applyFill="1"/>
    <xf numFmtId="0" fontId="104" fillId="42" borderId="0" xfId="0" applyFont="1" applyFill="1"/>
    <xf numFmtId="0" fontId="0" fillId="42" borderId="0" xfId="0" applyFill="1"/>
    <xf numFmtId="0" fontId="66" fillId="24" borderId="3" xfId="0" applyFont="1" applyFill="1" applyBorder="1" applyAlignment="1">
      <alignment wrapText="1"/>
    </xf>
    <xf numFmtId="164" fontId="104" fillId="24" borderId="4" xfId="0" applyNumberFormat="1" applyFont="1" applyFill="1" applyBorder="1" applyAlignment="1">
      <alignment wrapText="1"/>
    </xf>
    <xf numFmtId="10" fontId="104" fillId="24" borderId="4" xfId="0" applyNumberFormat="1" applyFont="1" applyFill="1" applyBorder="1" applyAlignment="1">
      <alignment wrapText="1"/>
    </xf>
    <xf numFmtId="0" fontId="104" fillId="24" borderId="4" xfId="0" applyFont="1" applyFill="1" applyBorder="1" applyAlignment="1">
      <alignment vertical="center" wrapText="1"/>
    </xf>
    <xf numFmtId="0" fontId="104" fillId="24" borderId="4" xfId="0" applyFont="1" applyFill="1" applyBorder="1" applyAlignment="1">
      <alignment wrapText="1"/>
    </xf>
    <xf numFmtId="0" fontId="104" fillId="24" borderId="4" xfId="0" applyFont="1" applyFill="1" applyBorder="1" applyAlignment="1">
      <alignment horizontal="right" vertical="center" wrapText="1"/>
    </xf>
    <xf numFmtId="0" fontId="66" fillId="24" borderId="9" xfId="0" applyFont="1" applyFill="1" applyBorder="1" applyAlignment="1">
      <alignment wrapText="1"/>
    </xf>
    <xf numFmtId="164" fontId="104" fillId="24" borderId="10" xfId="0" applyNumberFormat="1" applyFont="1" applyFill="1" applyBorder="1" applyAlignment="1">
      <alignment wrapText="1"/>
    </xf>
    <xf numFmtId="0" fontId="66" fillId="24" borderId="3" xfId="0" applyFont="1" applyFill="1" applyBorder="1"/>
    <xf numFmtId="164" fontId="107" fillId="24" borderId="4" xfId="0" applyNumberFormat="1" applyFont="1" applyFill="1" applyBorder="1" applyAlignment="1">
      <alignment wrapText="1"/>
    </xf>
    <xf numFmtId="0" fontId="107" fillId="24" borderId="4" xfId="0" applyFont="1" applyFill="1" applyBorder="1" applyAlignment="1">
      <alignment vertical="center" wrapText="1"/>
    </xf>
    <xf numFmtId="0" fontId="66" fillId="11" borderId="3" xfId="0" applyFont="1" applyFill="1" applyBorder="1" applyAlignment="1">
      <alignment wrapText="1"/>
    </xf>
    <xf numFmtId="164" fontId="104" fillId="11" borderId="4" xfId="0" applyNumberFormat="1" applyFont="1" applyFill="1" applyBorder="1" applyAlignment="1">
      <alignment wrapText="1"/>
    </xf>
    <xf numFmtId="10" fontId="104" fillId="11" borderId="4" xfId="0" applyNumberFormat="1" applyFont="1" applyFill="1" applyBorder="1" applyAlignment="1">
      <alignment wrapText="1"/>
    </xf>
    <xf numFmtId="0" fontId="104" fillId="11" borderId="4" xfId="0" applyFont="1" applyFill="1" applyBorder="1" applyAlignment="1">
      <alignment vertical="center" wrapText="1"/>
    </xf>
    <xf numFmtId="0" fontId="104" fillId="11" borderId="4" xfId="0" applyFont="1" applyFill="1" applyBorder="1" applyAlignment="1">
      <alignment wrapText="1"/>
    </xf>
    <xf numFmtId="0" fontId="104" fillId="11" borderId="4" xfId="0" applyFont="1" applyFill="1" applyBorder="1" applyAlignment="1">
      <alignment horizontal="right" vertical="center" wrapText="1"/>
    </xf>
    <xf numFmtId="0" fontId="66" fillId="11" borderId="9" xfId="0" applyFont="1" applyFill="1" applyBorder="1" applyAlignment="1">
      <alignment wrapText="1"/>
    </xf>
    <xf numFmtId="164" fontId="104" fillId="11" borderId="10" xfId="0" applyNumberFormat="1" applyFont="1" applyFill="1" applyBorder="1" applyAlignment="1">
      <alignment wrapText="1"/>
    </xf>
    <xf numFmtId="0" fontId="66" fillId="11" borderId="3" xfId="0" applyFont="1" applyFill="1" applyBorder="1"/>
    <xf numFmtId="9" fontId="104" fillId="2" borderId="0" xfId="0" applyNumberFormat="1" applyFont="1" applyFill="1"/>
    <xf numFmtId="8" fontId="0" fillId="2" borderId="0" xfId="0" applyNumberFormat="1" applyFill="1"/>
    <xf numFmtId="0" fontId="135" fillId="2" borderId="0" xfId="3" applyFont="1" applyFill="1"/>
    <xf numFmtId="173" fontId="0" fillId="2" borderId="80" xfId="0" applyNumberFormat="1" applyFill="1" applyBorder="1"/>
    <xf numFmtId="8" fontId="9" fillId="2" borderId="100" xfId="1" applyNumberFormat="1" applyFont="1" applyFill="1" applyBorder="1"/>
    <xf numFmtId="0" fontId="136" fillId="2" borderId="0" xfId="3" applyFont="1" applyFill="1"/>
    <xf numFmtId="0" fontId="3" fillId="3" borderId="0" xfId="3" applyFill="1" applyAlignment="1">
      <alignment horizontal="left"/>
    </xf>
    <xf numFmtId="164" fontId="40" fillId="29" borderId="27" xfId="0" applyNumberFormat="1" applyFont="1" applyFill="1" applyBorder="1" applyAlignment="1">
      <alignment vertical="center" wrapText="1"/>
    </xf>
    <xf numFmtId="0" fontId="122" fillId="53" borderId="38" xfId="0" applyFont="1" applyFill="1" applyBorder="1" applyAlignment="1">
      <alignment horizontal="center" wrapText="1"/>
    </xf>
    <xf numFmtId="164" fontId="111" fillId="43" borderId="109" xfId="7" applyNumberFormat="1" applyAlignment="1">
      <alignment wrapText="1"/>
    </xf>
    <xf numFmtId="0" fontId="122" fillId="55" borderId="45" xfId="0" applyFont="1" applyFill="1" applyBorder="1" applyAlignment="1">
      <alignment horizontal="center"/>
    </xf>
    <xf numFmtId="0" fontId="137" fillId="0" borderId="0" xfId="0" applyFont="1"/>
    <xf numFmtId="44" fontId="0" fillId="0" borderId="0" xfId="1" applyFont="1"/>
    <xf numFmtId="8" fontId="0" fillId="0" borderId="0" xfId="1" applyNumberFormat="1" applyFont="1"/>
    <xf numFmtId="174" fontId="111" fillId="43" borderId="109" xfId="7" applyNumberFormat="1" applyProtection="1">
      <protection locked="0"/>
    </xf>
    <xf numFmtId="0" fontId="3" fillId="2" borderId="0" xfId="3" applyFill="1" applyAlignment="1">
      <alignment horizontal="center" vertical="center"/>
    </xf>
    <xf numFmtId="9" fontId="111" fillId="43" borderId="109" xfId="7" applyNumberFormat="1" applyAlignment="1" applyProtection="1">
      <alignment horizontal="right" vertical="center"/>
      <protection locked="0"/>
    </xf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19" fillId="45" borderId="40" xfId="0" applyFont="1" applyFill="1" applyBorder="1" applyAlignment="1">
      <alignment horizontal="center" vertical="center" wrapText="1"/>
    </xf>
    <xf numFmtId="0" fontId="119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34" xfId="0" applyFont="1" applyFill="1" applyBorder="1" applyAlignment="1">
      <alignment horizontal="center" vertical="center" wrapText="1"/>
    </xf>
    <xf numFmtId="0" fontId="42" fillId="7" borderId="35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83" fillId="36" borderId="38" xfId="0" applyFont="1" applyFill="1" applyBorder="1" applyAlignment="1">
      <alignment horizontal="center"/>
    </xf>
    <xf numFmtId="0" fontId="83" fillId="36" borderId="64" xfId="0" applyFont="1" applyFill="1" applyBorder="1" applyAlignment="1">
      <alignment horizontal="center"/>
    </xf>
    <xf numFmtId="0" fontId="83" fillId="36" borderId="62" xfId="0" applyFont="1" applyFill="1" applyBorder="1" applyAlignment="1">
      <alignment horizontal="center"/>
    </xf>
    <xf numFmtId="0" fontId="99" fillId="38" borderId="45" xfId="0" applyFont="1" applyFill="1" applyBorder="1" applyAlignment="1">
      <alignment horizontal="center"/>
    </xf>
    <xf numFmtId="0" fontId="99" fillId="38" borderId="85" xfId="0" applyFont="1" applyFill="1" applyBorder="1" applyAlignment="1">
      <alignment horizontal="center"/>
    </xf>
    <xf numFmtId="0" fontId="95" fillId="37" borderId="45" xfId="0" applyFont="1" applyFill="1" applyBorder="1" applyAlignment="1">
      <alignment horizontal="center"/>
    </xf>
    <xf numFmtId="0" fontId="95" fillId="37" borderId="85" xfId="0" applyFont="1" applyFill="1" applyBorder="1" applyAlignment="1">
      <alignment horizontal="center"/>
    </xf>
    <xf numFmtId="0" fontId="92" fillId="40" borderId="45" xfId="0" applyFont="1" applyFill="1" applyBorder="1" applyAlignment="1">
      <alignment horizontal="center"/>
    </xf>
    <xf numFmtId="0" fontId="92" fillId="40" borderId="85" xfId="0" applyFont="1" applyFill="1" applyBorder="1" applyAlignment="1">
      <alignment horizontal="center"/>
    </xf>
    <xf numFmtId="0" fontId="80" fillId="2" borderId="71" xfId="0" applyFont="1" applyFill="1" applyBorder="1" applyAlignment="1">
      <alignment horizontal="center"/>
    </xf>
    <xf numFmtId="0" fontId="88" fillId="39" borderId="34" xfId="0" applyFont="1" applyFill="1" applyBorder="1" applyAlignment="1">
      <alignment horizontal="center" vertical="center"/>
    </xf>
    <xf numFmtId="0" fontId="88" fillId="39" borderId="63" xfId="0" applyFont="1" applyFill="1" applyBorder="1" applyAlignment="1">
      <alignment horizontal="center" vertical="center"/>
    </xf>
    <xf numFmtId="0" fontId="88" fillId="39" borderId="35" xfId="0" applyFont="1" applyFill="1" applyBorder="1" applyAlignment="1">
      <alignment horizontal="center" vertical="center"/>
    </xf>
    <xf numFmtId="0" fontId="94" fillId="24" borderId="87" xfId="0" applyFont="1" applyFill="1" applyBorder="1" applyAlignment="1">
      <alignment horizontal="center" vertical="center"/>
    </xf>
    <xf numFmtId="0" fontId="94" fillId="24" borderId="80" xfId="0" applyFont="1" applyFill="1" applyBorder="1" applyAlignment="1">
      <alignment horizontal="center" vertical="center"/>
    </xf>
    <xf numFmtId="0" fontId="94" fillId="24" borderId="91" xfId="0" applyFont="1" applyFill="1" applyBorder="1" applyAlignment="1">
      <alignment horizontal="center" vertical="center"/>
    </xf>
    <xf numFmtId="0" fontId="97" fillId="31" borderId="87" xfId="0" applyFont="1" applyFill="1" applyBorder="1" applyAlignment="1">
      <alignment horizontal="center"/>
    </xf>
    <xf numFmtId="0" fontId="97" fillId="31" borderId="80" xfId="0" applyFont="1" applyFill="1" applyBorder="1" applyAlignment="1">
      <alignment horizontal="center"/>
    </xf>
    <xf numFmtId="0" fontId="97" fillId="31" borderId="91" xfId="0" applyFont="1" applyFill="1" applyBorder="1" applyAlignment="1">
      <alignment horizontal="center"/>
    </xf>
    <xf numFmtId="0" fontId="88" fillId="39" borderId="19" xfId="0" applyFont="1" applyFill="1" applyBorder="1" applyAlignment="1">
      <alignment horizontal="center"/>
    </xf>
    <xf numFmtId="0" fontId="88" fillId="39" borderId="59" xfId="0" applyFont="1" applyFill="1" applyBorder="1" applyAlignment="1">
      <alignment horizontal="center"/>
    </xf>
    <xf numFmtId="0" fontId="84" fillId="36" borderId="38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73" fillId="24" borderId="7" xfId="0" applyFont="1" applyFill="1" applyBorder="1" applyAlignment="1">
      <alignment horizontal="center" vertical="center" wrapText="1"/>
    </xf>
    <xf numFmtId="0" fontId="73" fillId="24" borderId="8" xfId="0" applyFont="1" applyFill="1" applyBorder="1" applyAlignment="1">
      <alignment horizontal="center" vertical="center" wrapText="1"/>
    </xf>
    <xf numFmtId="0" fontId="73" fillId="11" borderId="7" xfId="0" applyFont="1" applyFill="1" applyBorder="1" applyAlignment="1">
      <alignment horizontal="center" vertical="center" wrapText="1"/>
    </xf>
    <xf numFmtId="0" fontId="73" fillId="11" borderId="8" xfId="0" applyFont="1" applyFill="1" applyBorder="1" applyAlignment="1">
      <alignment horizontal="center" vertical="center" wrapText="1"/>
    </xf>
    <xf numFmtId="0" fontId="106" fillId="42" borderId="86" xfId="0" applyFont="1" applyFill="1" applyBorder="1" applyAlignment="1">
      <alignment horizontal="center"/>
    </xf>
    <xf numFmtId="0" fontId="66" fillId="11" borderId="38" xfId="0" applyFont="1" applyFill="1" applyBorder="1" applyAlignment="1">
      <alignment horizontal="center"/>
    </xf>
    <xf numFmtId="0" fontId="66" fillId="11" borderId="62" xfId="0" applyFont="1" applyFill="1" applyBorder="1" applyAlignment="1">
      <alignment horizontal="center"/>
    </xf>
    <xf numFmtId="0" fontId="66" fillId="48" borderId="38" xfId="0" applyFont="1" applyFill="1" applyBorder="1" applyAlignment="1">
      <alignment horizontal="center"/>
    </xf>
    <xf numFmtId="0" fontId="66" fillId="48" borderId="62" xfId="0" applyFont="1" applyFill="1" applyBorder="1" applyAlignment="1">
      <alignment horizontal="center"/>
    </xf>
    <xf numFmtId="0" fontId="106" fillId="2" borderId="71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10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130" fillId="2" borderId="0" xfId="3" applyFont="1" applyFill="1" applyBorder="1"/>
    <xf numFmtId="0" fontId="0" fillId="2" borderId="0" xfId="0" applyFill="1" applyBorder="1" applyAlignment="1">
      <alignment horizontal="right"/>
    </xf>
    <xf numFmtId="44" fontId="0" fillId="2" borderId="0" xfId="0" applyNumberFormat="1" applyFill="1" applyBorder="1"/>
    <xf numFmtId="0" fontId="130" fillId="2" borderId="123" xfId="3" applyFont="1" applyFill="1" applyBorder="1"/>
    <xf numFmtId="0" fontId="0" fillId="2" borderId="123" xfId="0" applyFill="1" applyBorder="1" applyAlignment="1">
      <alignment horizontal="right"/>
    </xf>
    <xf numFmtId="0" fontId="122" fillId="2" borderId="0" xfId="0" applyFont="1" applyFill="1" applyBorder="1"/>
    <xf numFmtId="0" fontId="138" fillId="2" borderId="0" xfId="0" applyFont="1" applyFill="1"/>
    <xf numFmtId="0" fontId="138" fillId="2" borderId="80" xfId="3" applyFont="1" applyFill="1" applyBorder="1"/>
    <xf numFmtId="0" fontId="138" fillId="2" borderId="0" xfId="3" applyFont="1" applyFill="1"/>
    <xf numFmtId="10" fontId="0" fillId="2" borderId="0" xfId="1" applyNumberFormat="1" applyFont="1" applyFill="1"/>
    <xf numFmtId="0" fontId="122" fillId="0" borderId="0" xfId="0" applyFont="1" applyBorder="1"/>
    <xf numFmtId="10" fontId="67" fillId="2" borderId="125" xfId="2" applyNumberFormat="1" applyFont="1" applyFill="1" applyBorder="1"/>
    <xf numFmtId="10" fontId="67" fillId="2" borderId="88" xfId="2" applyNumberFormat="1" applyFont="1" applyFill="1" applyBorder="1"/>
    <xf numFmtId="10" fontId="67" fillId="2" borderId="121" xfId="2" applyNumberFormat="1" applyFont="1" applyFill="1" applyBorder="1"/>
    <xf numFmtId="0" fontId="66" fillId="2" borderId="124" xfId="0" applyFont="1" applyFill="1" applyBorder="1" applyAlignment="1">
      <alignment horizontal="center" vertical="center" wrapText="1"/>
    </xf>
    <xf numFmtId="164" fontId="134" fillId="44" borderId="121" xfId="7" applyNumberFormat="1" applyFont="1" applyFill="1" applyBorder="1" applyAlignment="1" applyProtection="1">
      <alignment vertical="center" wrapText="1"/>
    </xf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5880149812734083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('Financial Statement'!$B$24,'Financial Statement'!$B$34,'Financial Statement'!$B$41,'Financial Statement'!$B$43)</c:f>
              <c:strCache>
                <c:ptCount val="4"/>
                <c:pt idx="0">
                  <c:v>Return on investment (CF)</c:v>
                </c:pt>
                <c:pt idx="1">
                  <c:v>Return on Investment (PR)</c:v>
                </c:pt>
                <c:pt idx="2">
                  <c:v>Return on Investmnet (PA)</c:v>
                </c:pt>
                <c:pt idx="3">
                  <c:v>Total Return on Investment</c:v>
                </c:pt>
              </c:strCache>
            </c:strRef>
          </c:cat>
          <c:val>
            <c:numRef>
              <c:f>('Financial Statement'!$C$24,'Financial Statement'!$C$34,'Financial Statement'!$C$41,'Financial Statement'!$C$43)</c:f>
              <c:numCache>
                <c:formatCode>0.00%</c:formatCode>
                <c:ptCount val="4"/>
                <c:pt idx="0">
                  <c:v>5.6762918816918723E-2</c:v>
                </c:pt>
                <c:pt idx="1">
                  <c:v>3.2017266344528339E-2</c:v>
                </c:pt>
                <c:pt idx="2">
                  <c:v>5.139289145052834E-2</c:v>
                </c:pt>
                <c:pt idx="3">
                  <c:v>0.14017307661197539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6665.9948529308003</c:v>
                </c:pt>
                <c:pt idx="1">
                  <c:v>7042.0093599256234</c:v>
                </c:pt>
                <c:pt idx="2">
                  <c:v>7439.2340407339398</c:v>
                </c:pt>
                <c:pt idx="3">
                  <c:v>7858.8653158789839</c:v>
                </c:pt>
                <c:pt idx="4">
                  <c:v>8302.1670934058111</c:v>
                </c:pt>
                <c:pt idx="5">
                  <c:v>8770.4745757080273</c:v>
                </c:pt>
                <c:pt idx="6">
                  <c:v>9265.1982810894497</c:v>
                </c:pt>
                <c:pt idx="7">
                  <c:v>9787.8282921734462</c:v>
                </c:pt>
                <c:pt idx="8">
                  <c:v>10339.938743955956</c:v>
                </c:pt>
                <c:pt idx="9">
                  <c:v>10923.192565020016</c:v>
                </c:pt>
                <c:pt idx="10">
                  <c:v>11539.346486191982</c:v>
                </c:pt>
                <c:pt idx="11">
                  <c:v>12190.256331725417</c:v>
                </c:pt>
                <c:pt idx="12">
                  <c:v>12877.882608949276</c:v>
                </c:pt>
                <c:pt idx="13">
                  <c:v>13604.296413216194</c:v>
                </c:pt>
                <c:pt idx="14">
                  <c:v>14371.685665936333</c:v>
                </c:pt>
                <c:pt idx="15">
                  <c:v>15182.361704485271</c:v>
                </c:pt>
                <c:pt idx="16">
                  <c:v>16038.766243834571</c:v>
                </c:pt>
                <c:pt idx="17">
                  <c:v>16943.47873087303</c:v>
                </c:pt>
                <c:pt idx="18">
                  <c:v>17899.224113569409</c:v>
                </c:pt>
                <c:pt idx="19">
                  <c:v>18908.881048377043</c:v>
                </c:pt>
                <c:pt idx="20">
                  <c:v>19975.490570600588</c:v>
                </c:pt>
                <c:pt idx="21">
                  <c:v>21102.265253839603</c:v>
                </c:pt>
                <c:pt idx="22">
                  <c:v>22292.598886096726</c:v>
                </c:pt>
                <c:pt idx="23">
                  <c:v>23550.076691694409</c:v>
                </c:pt>
                <c:pt idx="24">
                  <c:v>24878.486129788042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18959.876199974955</c:v>
                </c:pt>
                <c:pt idx="1">
                  <c:v>18583.861692980132</c:v>
                </c:pt>
                <c:pt idx="2">
                  <c:v>18186.637012171814</c:v>
                </c:pt>
                <c:pt idx="3">
                  <c:v>17767.005737026771</c:v>
                </c:pt>
                <c:pt idx="4">
                  <c:v>17323.703959499944</c:v>
                </c:pt>
                <c:pt idx="5">
                  <c:v>16855.396477197726</c:v>
                </c:pt>
                <c:pt idx="6">
                  <c:v>16360.672771816306</c:v>
                </c:pt>
                <c:pt idx="7">
                  <c:v>15838.042760732311</c:v>
                </c:pt>
                <c:pt idx="8">
                  <c:v>15285.932308949799</c:v>
                </c:pt>
                <c:pt idx="9">
                  <c:v>14702.678487885743</c:v>
                </c:pt>
                <c:pt idx="10">
                  <c:v>14086.524566713775</c:v>
                </c:pt>
                <c:pt idx="11">
                  <c:v>13435.614721180338</c:v>
                </c:pt>
                <c:pt idx="12">
                  <c:v>12747.988443956483</c:v>
                </c:pt>
                <c:pt idx="13">
                  <c:v>12021.574639689559</c:v>
                </c:pt>
                <c:pt idx="14">
                  <c:v>11254.185386969421</c:v>
                </c:pt>
                <c:pt idx="15">
                  <c:v>10443.509348420486</c:v>
                </c:pt>
                <c:pt idx="16">
                  <c:v>9587.1048090711811</c:v>
                </c:pt>
                <c:pt idx="17">
                  <c:v>8682.3923220327251</c:v>
                </c:pt>
                <c:pt idx="18">
                  <c:v>7726.6469393363468</c:v>
                </c:pt>
                <c:pt idx="19">
                  <c:v>6716.9900045287141</c:v>
                </c:pt>
                <c:pt idx="20">
                  <c:v>5650.380482305166</c:v>
                </c:pt>
                <c:pt idx="21">
                  <c:v>4523.6057990661502</c:v>
                </c:pt>
                <c:pt idx="22">
                  <c:v>3333.2721668090317</c:v>
                </c:pt>
                <c:pt idx="23">
                  <c:v>2075.7943612113463</c:v>
                </c:pt>
                <c:pt idx="24">
                  <c:v>747.38492311759774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11818.039697682478</c:v>
                </c:pt>
                <c:pt idx="1">
                  <c:v>12083.030261580127</c:v>
                </c:pt>
                <c:pt idx="2">
                  <c:v>12334.690962187833</c:v>
                </c:pt>
                <c:pt idx="3">
                  <c:v>12572.037959768924</c:v>
                </c:pt>
                <c:pt idx="4">
                  <c:v>12794.040123956904</c:v>
                </c:pt>
                <c:pt idx="5">
                  <c:v>12999.617024810119</c:v>
                </c:pt>
                <c:pt idx="6">
                  <c:v>13187.636842757071</c:v>
                </c:pt>
                <c:pt idx="7">
                  <c:v>13356.914194234043</c:v>
                </c:pt>
                <c:pt idx="8">
                  <c:v>13506.2078696928</c:v>
                </c:pt>
                <c:pt idx="9">
                  <c:v>13634.218480525575</c:v>
                </c:pt>
                <c:pt idx="10">
                  <c:v>13739.58601132167</c:v>
                </c:pt>
                <c:pt idx="11">
                  <c:v>13820.887273728586</c:v>
                </c:pt>
                <c:pt idx="12">
                  <c:v>13876.633258046873</c:v>
                </c:pt>
                <c:pt idx="13">
                  <c:v>13905.266378536238</c:v>
                </c:pt>
                <c:pt idx="14">
                  <c:v>13905.157608254827</c:v>
                </c:pt>
                <c:pt idx="15">
                  <c:v>13874.603499089724</c:v>
                </c:pt>
                <c:pt idx="16">
                  <c:v>13811.823082469382</c:v>
                </c:pt>
                <c:pt idx="17">
                  <c:v>13714.954646071717</c:v>
                </c:pt>
                <c:pt idx="18">
                  <c:v>13582.052381660535</c:v>
                </c:pt>
                <c:pt idx="19">
                  <c:v>13411.082898993081</c:v>
                </c:pt>
                <c:pt idx="20">
                  <c:v>13199.921600544993</c:v>
                </c:pt>
                <c:pt idx="21">
                  <c:v>12946.348911594716</c:v>
                </c:pt>
                <c:pt idx="22">
                  <c:v>12648.046359997694</c:v>
                </c:pt>
                <c:pt idx="23">
                  <c:v>12302.592499759565</c:v>
                </c:pt>
                <c:pt idx="24">
                  <c:v>11907.458672289569</c:v>
                </c:pt>
                <c:pt idx="25">
                  <c:v>11460.004598977044</c:v>
                </c:pt>
                <c:pt idx="26">
                  <c:v>10957.473798487335</c:v>
                </c:pt>
                <c:pt idx="27">
                  <c:v>10396.98882191701</c:v>
                </c:pt>
                <c:pt idx="28">
                  <c:v>9775.5462986817874</c:v>
                </c:pt>
                <c:pt idx="29">
                  <c:v>9090.0117857336445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5.6762918816918723E-2</c:v>
                </c:pt>
                <c:pt idx="1">
                  <c:v>5.8035688095966029E-2</c:v>
                </c:pt>
                <c:pt idx="2">
                  <c:v>5.9244433055657221E-2</c:v>
                </c:pt>
                <c:pt idx="3">
                  <c:v>6.0384428240965057E-2</c:v>
                </c:pt>
                <c:pt idx="4">
                  <c:v>6.145072105646928E-2</c:v>
                </c:pt>
                <c:pt idx="5">
                  <c:v>6.2438122117243609E-2</c:v>
                </c:pt>
                <c:pt idx="6">
                  <c:v>6.3341195210168441E-2</c:v>
                </c:pt>
                <c:pt idx="7">
                  <c:v>6.41542468503076E-2</c:v>
                </c:pt>
                <c:pt idx="8">
                  <c:v>6.4871315416391934E-2</c:v>
                </c:pt>
                <c:pt idx="9">
                  <c:v>6.5486159848826012E-2</c:v>
                </c:pt>
                <c:pt idx="10">
                  <c:v>6.5992247892995529E-2</c:v>
                </c:pt>
                <c:pt idx="11">
                  <c:v>6.638274386997399E-2</c:v>
                </c:pt>
                <c:pt idx="12">
                  <c:v>6.6650495956036851E-2</c:v>
                </c:pt>
                <c:pt idx="13">
                  <c:v>6.6788022951663015E-2</c:v>
                </c:pt>
                <c:pt idx="14">
                  <c:v>6.6787500519955939E-2</c:v>
                </c:pt>
                <c:pt idx="15">
                  <c:v>6.6640746873629794E-2</c:v>
                </c:pt>
                <c:pt idx="16">
                  <c:v>6.6339207888901935E-2</c:v>
                </c:pt>
                <c:pt idx="17">
                  <c:v>6.5873941623783461E-2</c:v>
                </c:pt>
                <c:pt idx="18">
                  <c:v>6.5235602217389693E-2</c:v>
                </c:pt>
                <c:pt idx="19">
                  <c:v>6.4414423145980212E-2</c:v>
                </c:pt>
                <c:pt idx="20">
                  <c:v>6.3400199810494676E-2</c:v>
                </c:pt>
                <c:pt idx="21">
                  <c:v>6.2182271429369433E-2</c:v>
                </c:pt>
                <c:pt idx="22">
                  <c:v>6.074950220940295E-2</c:v>
                </c:pt>
                <c:pt idx="23">
                  <c:v>5.9090261766376391E-2</c:v>
                </c:pt>
                <c:pt idx="24">
                  <c:v>5.7192404766040199E-2</c:v>
                </c:pt>
                <c:pt idx="25">
                  <c:v>5.5043249754932973E-2</c:v>
                </c:pt>
                <c:pt idx="26">
                  <c:v>5.2629557149314769E-2</c:v>
                </c:pt>
                <c:pt idx="27">
                  <c:v>4.9937506349265179E-2</c:v>
                </c:pt>
                <c:pt idx="28">
                  <c:v>4.6952671943716558E-2</c:v>
                </c:pt>
                <c:pt idx="29">
                  <c:v>4.3659998970862847E-2</c:v>
                </c:pt>
                <c:pt idx="30">
                  <c:v>0.16312673134160952</c:v>
                </c:pt>
                <c:pt idx="31">
                  <c:v>0.15917056852008651</c:v>
                </c:pt>
                <c:pt idx="32">
                  <c:v>0.15485736259037147</c:v>
                </c:pt>
                <c:pt idx="33">
                  <c:v>0.15016927277600772</c:v>
                </c:pt>
                <c:pt idx="34">
                  <c:v>0.14508768953830892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11818.039697682478</c:v>
                </c:pt>
                <c:pt idx="1">
                  <c:v>12083.030261580127</c:v>
                </c:pt>
                <c:pt idx="2">
                  <c:v>12334.690962187833</c:v>
                </c:pt>
                <c:pt idx="3">
                  <c:v>12572.037959768924</c:v>
                </c:pt>
                <c:pt idx="4">
                  <c:v>12794.040123956904</c:v>
                </c:pt>
                <c:pt idx="5">
                  <c:v>12999.617024810119</c:v>
                </c:pt>
                <c:pt idx="6">
                  <c:v>13187.636842757071</c:v>
                </c:pt>
                <c:pt idx="7">
                  <c:v>13356.914194234043</c:v>
                </c:pt>
                <c:pt idx="8">
                  <c:v>13506.2078696928</c:v>
                </c:pt>
                <c:pt idx="9">
                  <c:v>13634.218480525575</c:v>
                </c:pt>
                <c:pt idx="10">
                  <c:v>13739.58601132167</c:v>
                </c:pt>
                <c:pt idx="11">
                  <c:v>13820.887273728586</c:v>
                </c:pt>
                <c:pt idx="12">
                  <c:v>13876.633258046873</c:v>
                </c:pt>
                <c:pt idx="13">
                  <c:v>13905.266378536238</c:v>
                </c:pt>
                <c:pt idx="14">
                  <c:v>13905.157608254827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5.6762918816918723E-2</c:v>
                </c:pt>
                <c:pt idx="1">
                  <c:v>5.8035688095966029E-2</c:v>
                </c:pt>
                <c:pt idx="2">
                  <c:v>5.9244433055657221E-2</c:v>
                </c:pt>
                <c:pt idx="3">
                  <c:v>6.0384428240965057E-2</c:v>
                </c:pt>
                <c:pt idx="4">
                  <c:v>6.145072105646928E-2</c:v>
                </c:pt>
                <c:pt idx="5">
                  <c:v>6.2438122117243609E-2</c:v>
                </c:pt>
                <c:pt idx="6">
                  <c:v>6.3341195210168441E-2</c:v>
                </c:pt>
                <c:pt idx="7">
                  <c:v>6.41542468503076E-2</c:v>
                </c:pt>
                <c:pt idx="8">
                  <c:v>6.4871315416391934E-2</c:v>
                </c:pt>
                <c:pt idx="9">
                  <c:v>6.5486159848826012E-2</c:v>
                </c:pt>
                <c:pt idx="10">
                  <c:v>6.5992247892995529E-2</c:v>
                </c:pt>
                <c:pt idx="11">
                  <c:v>6.638274386997399E-2</c:v>
                </c:pt>
                <c:pt idx="12">
                  <c:v>6.6650495956036851E-2</c:v>
                </c:pt>
                <c:pt idx="13">
                  <c:v>6.6788022951663015E-2</c:v>
                </c:pt>
                <c:pt idx="14">
                  <c:v>6.6787500519955939E-2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62029.418070217456</c:v>
                </c:pt>
                <c:pt idx="1">
                  <c:v>38020.901991155486</c:v>
                </c:pt>
                <c:pt idx="2">
                  <c:v>55683.229712</c:v>
                </c:pt>
                <c:pt idx="3">
                  <c:v>155733.54977337294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55683.229712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0.29793188314225483</c:v>
                </c:pt>
                <c:pt idx="1">
                  <c:v>0.18261720456847017</c:v>
                </c:pt>
                <c:pt idx="2">
                  <c:v>0.2674506710470701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0.10015870080402914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128286.43341719586</c:v>
                </c:pt>
                <c:pt idx="1">
                  <c:v>87332.514847867977</c:v>
                </c:pt>
                <c:pt idx="2">
                  <c:v>85889.341388454428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85889.341388454428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0.61616922870891389</c:v>
                </c:pt>
                <c:pt idx="1">
                  <c:v>0.41946452856804983</c:v>
                </c:pt>
                <c:pt idx="2">
                  <c:v>0.41253285969478592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0.15449112579990004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197533.96394708403</c:v>
                </c:pt>
                <c:pt idx="1">
                  <c:v>152211.98991328973</c:v>
                </c:pt>
                <c:pt idx="2">
                  <c:v>185039.56100340909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185039.56100340909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0.94877023989953913</c:v>
                </c:pt>
                <c:pt idx="1">
                  <c:v>0.73108544626940308</c:v>
                </c:pt>
                <c:pt idx="2">
                  <c:v>0.88875869838332899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0.33283489702924562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6665.9948529308003</c:v>
                </c:pt>
                <c:pt idx="1">
                  <c:v>7042.0093599256234</c:v>
                </c:pt>
                <c:pt idx="2">
                  <c:v>7439.2340407339398</c:v>
                </c:pt>
                <c:pt idx="3">
                  <c:v>7858.8653158789839</c:v>
                </c:pt>
                <c:pt idx="4">
                  <c:v>8302.1670934058111</c:v>
                </c:pt>
                <c:pt idx="5">
                  <c:v>8770.4745757080273</c:v>
                </c:pt>
                <c:pt idx="6">
                  <c:v>9265.1982810894497</c:v>
                </c:pt>
                <c:pt idx="7">
                  <c:v>9787.8282921734462</c:v>
                </c:pt>
                <c:pt idx="8">
                  <c:v>10339.938743955956</c:v>
                </c:pt>
                <c:pt idx="9">
                  <c:v>10923.192565020016</c:v>
                </c:pt>
                <c:pt idx="10">
                  <c:v>11539.346486191982</c:v>
                </c:pt>
                <c:pt idx="11">
                  <c:v>12190.256331725417</c:v>
                </c:pt>
                <c:pt idx="12">
                  <c:v>12877.882608949276</c:v>
                </c:pt>
                <c:pt idx="13">
                  <c:v>13604.296413216194</c:v>
                </c:pt>
                <c:pt idx="14">
                  <c:v>14371.685665936333</c:v>
                </c:pt>
                <c:pt idx="15">
                  <c:v>15182.361704485271</c:v>
                </c:pt>
                <c:pt idx="16">
                  <c:v>16038.766243834571</c:v>
                </c:pt>
                <c:pt idx="17">
                  <c:v>16943.47873087303</c:v>
                </c:pt>
                <c:pt idx="18">
                  <c:v>17899.224113569409</c:v>
                </c:pt>
                <c:pt idx="19">
                  <c:v>18908.881048377043</c:v>
                </c:pt>
                <c:pt idx="20">
                  <c:v>19975.490570600588</c:v>
                </c:pt>
                <c:pt idx="21">
                  <c:v>21102.265253839603</c:v>
                </c:pt>
                <c:pt idx="22">
                  <c:v>22292.598886096726</c:v>
                </c:pt>
                <c:pt idx="23">
                  <c:v>23550.076691694409</c:v>
                </c:pt>
                <c:pt idx="24">
                  <c:v>24878.486129788042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18959.876199974955</c:v>
                </c:pt>
                <c:pt idx="1">
                  <c:v>18583.861692980132</c:v>
                </c:pt>
                <c:pt idx="2">
                  <c:v>18186.637012171814</c:v>
                </c:pt>
                <c:pt idx="3">
                  <c:v>17767.005737026771</c:v>
                </c:pt>
                <c:pt idx="4">
                  <c:v>17323.703959499944</c:v>
                </c:pt>
                <c:pt idx="5">
                  <c:v>16855.396477197726</c:v>
                </c:pt>
                <c:pt idx="6">
                  <c:v>16360.672771816306</c:v>
                </c:pt>
                <c:pt idx="7">
                  <c:v>15838.042760732311</c:v>
                </c:pt>
                <c:pt idx="8">
                  <c:v>15285.932308949799</c:v>
                </c:pt>
                <c:pt idx="9">
                  <c:v>14702.678487885743</c:v>
                </c:pt>
                <c:pt idx="10">
                  <c:v>14086.524566713775</c:v>
                </c:pt>
                <c:pt idx="11">
                  <c:v>13435.614721180338</c:v>
                </c:pt>
                <c:pt idx="12">
                  <c:v>12747.988443956483</c:v>
                </c:pt>
                <c:pt idx="13">
                  <c:v>12021.574639689559</c:v>
                </c:pt>
                <c:pt idx="14">
                  <c:v>11254.185386969421</c:v>
                </c:pt>
                <c:pt idx="15">
                  <c:v>10443.509348420486</c:v>
                </c:pt>
                <c:pt idx="16">
                  <c:v>9587.1048090711811</c:v>
                </c:pt>
                <c:pt idx="17">
                  <c:v>8682.3923220327251</c:v>
                </c:pt>
                <c:pt idx="18">
                  <c:v>7726.6469393363468</c:v>
                </c:pt>
                <c:pt idx="19">
                  <c:v>6716.9900045287141</c:v>
                </c:pt>
                <c:pt idx="20">
                  <c:v>5650.380482305166</c:v>
                </c:pt>
                <c:pt idx="21">
                  <c:v>4523.6057990661502</c:v>
                </c:pt>
                <c:pt idx="22">
                  <c:v>3333.2721668090317</c:v>
                </c:pt>
                <c:pt idx="23">
                  <c:v>2075.7943612113463</c:v>
                </c:pt>
                <c:pt idx="24">
                  <c:v>747.38492311759774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3.2017266344528339E-2</c:v>
                </c:pt>
                <c:pt idx="1">
                  <c:v>3.382329183441702E-2</c:v>
                </c:pt>
                <c:pt idx="2">
                  <c:v>3.5731191357992027E-2</c:v>
                </c:pt>
                <c:pt idx="3">
                  <c:v>3.7746711411522499E-2</c:v>
                </c:pt>
                <c:pt idx="4">
                  <c:v>3.9875922638836749E-2</c:v>
                </c:pt>
                <c:pt idx="5">
                  <c:v>4.2125238115792635E-2</c:v>
                </c:pt>
                <c:pt idx="6">
                  <c:v>4.4501432666135682E-2</c:v>
                </c:pt>
                <c:pt idx="7">
                  <c:v>4.7011663266923374E-2</c:v>
                </c:pt>
                <c:pt idx="8">
                  <c:v>4.9663490604975775E-2</c:v>
                </c:pt>
                <c:pt idx="9">
                  <c:v>5.2464901849279613E-2</c:v>
                </c:pt>
                <c:pt idx="10">
                  <c:v>5.5424334707934592E-2</c:v>
                </c:pt>
                <c:pt idx="11">
                  <c:v>5.8550702842100948E-2</c:v>
                </c:pt>
                <c:pt idx="12">
                  <c:v>6.1853422713493159E-2</c:v>
                </c:pt>
                <c:pt idx="13">
                  <c:v>6.5342441946283358E-2</c:v>
                </c:pt>
                <c:pt idx="14">
                  <c:v>6.9028269288839261E-2</c:v>
                </c:pt>
                <c:pt idx="15">
                  <c:v>7.2922006265539241E-2</c:v>
                </c:pt>
                <c:pt idx="16">
                  <c:v>7.7035380613998894E-2</c:v>
                </c:pt>
                <c:pt idx="17">
                  <c:v>8.1380781608419939E-2</c:v>
                </c:pt>
                <c:pt idx="18">
                  <c:v>8.5971297375453462E-2</c:v>
                </c:pt>
                <c:pt idx="19">
                  <c:v>9.0820754314971386E-2</c:v>
                </c:pt>
                <c:pt idx="20">
                  <c:v>9.5943758744479288E-2</c:v>
                </c:pt>
                <c:pt idx="21">
                  <c:v>0.10135574089260135</c:v>
                </c:pt>
                <c:pt idx="22">
                  <c:v>0.10707300137414374</c:v>
                </c:pt>
                <c:pt idx="23">
                  <c:v>0.11311276028671666</c:v>
                </c:pt>
                <c:pt idx="24">
                  <c:v>0.11949320907679174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11818.039697682478</c:v>
                </c:pt>
                <c:pt idx="1">
                  <c:v>12083.030261580127</c:v>
                </c:pt>
                <c:pt idx="2">
                  <c:v>12334.690962187833</c:v>
                </c:pt>
                <c:pt idx="3">
                  <c:v>12572.037959768924</c:v>
                </c:pt>
                <c:pt idx="4">
                  <c:v>12794.040123956904</c:v>
                </c:pt>
                <c:pt idx="5">
                  <c:v>12999.617024810119</c:v>
                </c:pt>
                <c:pt idx="6">
                  <c:v>13187.636842757071</c:v>
                </c:pt>
                <c:pt idx="7">
                  <c:v>13356.914194234043</c:v>
                </c:pt>
                <c:pt idx="8">
                  <c:v>13506.2078696928</c:v>
                </c:pt>
                <c:pt idx="9">
                  <c:v>13634.218480525575</c:v>
                </c:pt>
                <c:pt idx="10">
                  <c:v>13739.58601132167</c:v>
                </c:pt>
                <c:pt idx="11">
                  <c:v>13820.887273728586</c:v>
                </c:pt>
                <c:pt idx="12">
                  <c:v>13876.633258046873</c:v>
                </c:pt>
                <c:pt idx="13">
                  <c:v>13905.266378536238</c:v>
                </c:pt>
                <c:pt idx="14">
                  <c:v>13905.157608254827</c:v>
                </c:pt>
                <c:pt idx="15">
                  <c:v>13874.603499089724</c:v>
                </c:pt>
                <c:pt idx="16">
                  <c:v>13811.823082469382</c:v>
                </c:pt>
                <c:pt idx="17">
                  <c:v>13714.954646071717</c:v>
                </c:pt>
                <c:pt idx="18">
                  <c:v>13582.052381660535</c:v>
                </c:pt>
                <c:pt idx="19">
                  <c:v>13411.082898993081</c:v>
                </c:pt>
                <c:pt idx="20">
                  <c:v>13199.921600544993</c:v>
                </c:pt>
                <c:pt idx="21">
                  <c:v>12946.348911594716</c:v>
                </c:pt>
                <c:pt idx="22">
                  <c:v>12648.046359997694</c:v>
                </c:pt>
                <c:pt idx="23">
                  <c:v>12302.592499759565</c:v>
                </c:pt>
                <c:pt idx="24">
                  <c:v>11907.458672289569</c:v>
                </c:pt>
                <c:pt idx="25">
                  <c:v>11460.004598977044</c:v>
                </c:pt>
                <c:pt idx="26">
                  <c:v>10957.473798487335</c:v>
                </c:pt>
                <c:pt idx="27">
                  <c:v>10396.98882191701</c:v>
                </c:pt>
                <c:pt idx="28">
                  <c:v>9775.5462986817874</c:v>
                </c:pt>
                <c:pt idx="29">
                  <c:v>9090.0117857336445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5.6762918816918723E-2</c:v>
                </c:pt>
                <c:pt idx="1">
                  <c:v>5.8035688095966029E-2</c:v>
                </c:pt>
                <c:pt idx="2">
                  <c:v>5.9244433055657221E-2</c:v>
                </c:pt>
                <c:pt idx="3">
                  <c:v>6.0384428240965057E-2</c:v>
                </c:pt>
                <c:pt idx="4">
                  <c:v>6.145072105646928E-2</c:v>
                </c:pt>
                <c:pt idx="5">
                  <c:v>6.2438122117243609E-2</c:v>
                </c:pt>
                <c:pt idx="6">
                  <c:v>6.3341195210168441E-2</c:v>
                </c:pt>
                <c:pt idx="7">
                  <c:v>6.41542468503076E-2</c:v>
                </c:pt>
                <c:pt idx="8">
                  <c:v>6.4871315416391934E-2</c:v>
                </c:pt>
                <c:pt idx="9">
                  <c:v>6.5486159848826012E-2</c:v>
                </c:pt>
                <c:pt idx="10">
                  <c:v>6.5992247892995529E-2</c:v>
                </c:pt>
                <c:pt idx="11">
                  <c:v>6.638274386997399E-2</c:v>
                </c:pt>
                <c:pt idx="12">
                  <c:v>6.6650495956036851E-2</c:v>
                </c:pt>
                <c:pt idx="13">
                  <c:v>6.6788022951663015E-2</c:v>
                </c:pt>
                <c:pt idx="14">
                  <c:v>6.6787500519955939E-2</c:v>
                </c:pt>
                <c:pt idx="15">
                  <c:v>6.6640746873629794E-2</c:v>
                </c:pt>
                <c:pt idx="16">
                  <c:v>6.6339207888901935E-2</c:v>
                </c:pt>
                <c:pt idx="17">
                  <c:v>6.5873941623783461E-2</c:v>
                </c:pt>
                <c:pt idx="18">
                  <c:v>6.5235602217389693E-2</c:v>
                </c:pt>
                <c:pt idx="19">
                  <c:v>6.4414423145980212E-2</c:v>
                </c:pt>
                <c:pt idx="20">
                  <c:v>6.3400199810494676E-2</c:v>
                </c:pt>
                <c:pt idx="21">
                  <c:v>6.2182271429369433E-2</c:v>
                </c:pt>
                <c:pt idx="22">
                  <c:v>6.074950220940295E-2</c:v>
                </c:pt>
                <c:pt idx="23">
                  <c:v>5.9090261766376391E-2</c:v>
                </c:pt>
                <c:pt idx="24">
                  <c:v>5.7192404766040199E-2</c:v>
                </c:pt>
                <c:pt idx="25">
                  <c:v>5.5043249754932973E-2</c:v>
                </c:pt>
                <c:pt idx="26">
                  <c:v>5.2629557149314769E-2</c:v>
                </c:pt>
                <c:pt idx="27">
                  <c:v>4.9937506349265179E-2</c:v>
                </c:pt>
                <c:pt idx="28">
                  <c:v>4.6952671943716558E-2</c:v>
                </c:pt>
                <c:pt idx="29">
                  <c:v>4.3659998970862847E-2</c:v>
                </c:pt>
                <c:pt idx="30">
                  <c:v>0.16312673134160952</c:v>
                </c:pt>
                <c:pt idx="31">
                  <c:v>0.15917056852008651</c:v>
                </c:pt>
                <c:pt idx="32">
                  <c:v>0.15485736259037147</c:v>
                </c:pt>
                <c:pt idx="33">
                  <c:v>0.15016927277600772</c:v>
                </c:pt>
                <c:pt idx="34">
                  <c:v>0.14508768953830892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CF'!$I$3:$I$37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CF'!$J$3:$J$37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11818.039697682478</c:v>
                </c:pt>
                <c:pt idx="1">
                  <c:v>12083.030261580127</c:v>
                </c:pt>
                <c:pt idx="2">
                  <c:v>12334.690962187833</c:v>
                </c:pt>
                <c:pt idx="3">
                  <c:v>12572.037959768924</c:v>
                </c:pt>
                <c:pt idx="4">
                  <c:v>12794.040123956904</c:v>
                </c:pt>
                <c:pt idx="5">
                  <c:v>12999.617024810119</c:v>
                </c:pt>
                <c:pt idx="6">
                  <c:v>13187.636842757071</c:v>
                </c:pt>
                <c:pt idx="7">
                  <c:v>13356.914194234043</c:v>
                </c:pt>
                <c:pt idx="8">
                  <c:v>13506.2078696928</c:v>
                </c:pt>
                <c:pt idx="9">
                  <c:v>13634.218480525575</c:v>
                </c:pt>
                <c:pt idx="10">
                  <c:v>13739.58601132167</c:v>
                </c:pt>
                <c:pt idx="11">
                  <c:v>13820.887273728586</c:v>
                </c:pt>
                <c:pt idx="12">
                  <c:v>13876.633258046873</c:v>
                </c:pt>
                <c:pt idx="13">
                  <c:v>13905.266378536238</c:v>
                </c:pt>
                <c:pt idx="14">
                  <c:v>13905.157608254827</c:v>
                </c:pt>
                <c:pt idx="15">
                  <c:v>13874.603499089724</c:v>
                </c:pt>
                <c:pt idx="16">
                  <c:v>13811.823082469382</c:v>
                </c:pt>
                <c:pt idx="17">
                  <c:v>13714.954646071717</c:v>
                </c:pt>
                <c:pt idx="18">
                  <c:v>13582.052381660535</c:v>
                </c:pt>
                <c:pt idx="19">
                  <c:v>13411.082898993081</c:v>
                </c:pt>
                <c:pt idx="20">
                  <c:v>13199.921600544993</c:v>
                </c:pt>
                <c:pt idx="21">
                  <c:v>12946.348911594716</c:v>
                </c:pt>
                <c:pt idx="22">
                  <c:v>12648.046359997694</c:v>
                </c:pt>
                <c:pt idx="23">
                  <c:v>12302.592499759565</c:v>
                </c:pt>
                <c:pt idx="24">
                  <c:v>11907.458672289569</c:v>
                </c:pt>
                <c:pt idx="25">
                  <c:v>11460.004598977044</c:v>
                </c:pt>
                <c:pt idx="26">
                  <c:v>10957.473798487335</c:v>
                </c:pt>
                <c:pt idx="27">
                  <c:v>10396.98882191701</c:v>
                </c:pt>
                <c:pt idx="28">
                  <c:v>9775.5462986817874</c:v>
                </c:pt>
                <c:pt idx="29">
                  <c:v>9090.0117857336445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CF'!$I$3:$I$37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5.6762918816918723E-2</c:v>
                </c:pt>
                <c:pt idx="1">
                  <c:v>5.8035688095966029E-2</c:v>
                </c:pt>
                <c:pt idx="2">
                  <c:v>5.9244433055657221E-2</c:v>
                </c:pt>
                <c:pt idx="3">
                  <c:v>6.0384428240965057E-2</c:v>
                </c:pt>
                <c:pt idx="4">
                  <c:v>6.145072105646928E-2</c:v>
                </c:pt>
                <c:pt idx="5">
                  <c:v>6.2438122117243609E-2</c:v>
                </c:pt>
                <c:pt idx="6">
                  <c:v>6.3341195210168441E-2</c:v>
                </c:pt>
                <c:pt idx="7">
                  <c:v>6.41542468503076E-2</c:v>
                </c:pt>
                <c:pt idx="8">
                  <c:v>6.4871315416391934E-2</c:v>
                </c:pt>
                <c:pt idx="9">
                  <c:v>6.5486159848826012E-2</c:v>
                </c:pt>
                <c:pt idx="10">
                  <c:v>6.5992247892995529E-2</c:v>
                </c:pt>
                <c:pt idx="11">
                  <c:v>6.638274386997399E-2</c:v>
                </c:pt>
                <c:pt idx="12">
                  <c:v>6.6650495956036851E-2</c:v>
                </c:pt>
                <c:pt idx="13">
                  <c:v>6.6788022951663015E-2</c:v>
                </c:pt>
                <c:pt idx="14">
                  <c:v>6.6787500519955939E-2</c:v>
                </c:pt>
                <c:pt idx="15">
                  <c:v>6.6640746873629794E-2</c:v>
                </c:pt>
                <c:pt idx="16">
                  <c:v>6.6339207888901935E-2</c:v>
                </c:pt>
                <c:pt idx="17">
                  <c:v>6.5873941623783461E-2</c:v>
                </c:pt>
                <c:pt idx="18">
                  <c:v>6.5235602217389693E-2</c:v>
                </c:pt>
                <c:pt idx="19">
                  <c:v>6.4414423145980212E-2</c:v>
                </c:pt>
                <c:pt idx="20">
                  <c:v>6.3400199810494676E-2</c:v>
                </c:pt>
                <c:pt idx="21">
                  <c:v>6.2182271429369433E-2</c:v>
                </c:pt>
                <c:pt idx="22">
                  <c:v>6.074950220940295E-2</c:v>
                </c:pt>
                <c:pt idx="23">
                  <c:v>5.9090261766376391E-2</c:v>
                </c:pt>
                <c:pt idx="24">
                  <c:v>5.7192404766040199E-2</c:v>
                </c:pt>
                <c:pt idx="25">
                  <c:v>5.5043249754932973E-2</c:v>
                </c:pt>
                <c:pt idx="26">
                  <c:v>5.2629557149314769E-2</c:v>
                </c:pt>
                <c:pt idx="27">
                  <c:v>4.9937506349265179E-2</c:v>
                </c:pt>
                <c:pt idx="28">
                  <c:v>4.6952671943716558E-2</c:v>
                </c:pt>
                <c:pt idx="29">
                  <c:v>4.3659998970862847E-2</c:v>
                </c:pt>
                <c:pt idx="30">
                  <c:v>0.16312673134160952</c:v>
                </c:pt>
                <c:pt idx="31">
                  <c:v>0.15917056852008651</c:v>
                </c:pt>
                <c:pt idx="32">
                  <c:v>0.15485736259037147</c:v>
                </c:pt>
                <c:pt idx="33">
                  <c:v>0.15016927277600772</c:v>
                </c:pt>
                <c:pt idx="34">
                  <c:v>0.14508768953830892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CF'!$J$3:$J$37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C$41" max="15" page="10" val="4"/>
</file>

<file path=xl/ctrlProps/ctrlProp2.xml><?xml version="1.0" encoding="utf-8"?>
<formControlPr xmlns="http://schemas.microsoft.com/office/spreadsheetml/2009/9/main" objectType="Spin" dx="31" fmlaLink="$C$42" max="15" page="10" val="3"/>
</file>

<file path=xl/ctrlProps/ctrlProp3.xml><?xml version="1.0" encoding="utf-8"?>
<formControlPr xmlns="http://schemas.microsoft.com/office/spreadsheetml/2009/9/main" objectType="Spin" dx="31" fmlaLink="$C$88" max="35" page="10" val="5"/>
</file>

<file path=xl/ctrlProps/ctrlProp4.xml><?xml version="1.0" encoding="utf-8"?>
<formControlPr xmlns="http://schemas.microsoft.com/office/spreadsheetml/2009/9/main" objectType="Spin" dx="31" fmlaLink="$C$50" max="15" page="10"/>
</file>

<file path=xl/ctrlProps/ctrlProp5.xml><?xml version="1.0" encoding="utf-8"?>
<formControlPr xmlns="http://schemas.microsoft.com/office/spreadsheetml/2009/9/main" objectType="Spin" dx="31" fmlaLink="$C$11" max="24" page="10" val="0"/>
</file>

<file path=xl/ctrlProps/ctrlProp6.xml><?xml version="1.0" encoding="utf-8"?>
<formControlPr xmlns="http://schemas.microsoft.com/office/spreadsheetml/2009/9/main" objectType="Spin" dx="31" fmlaLink="$C$50" max="15" page="10"/>
</file>

<file path=xl/ctrlProps/ctrlProp7.xml><?xml version="1.0" encoding="utf-8"?>
<formControlPr xmlns="http://schemas.microsoft.com/office/spreadsheetml/2009/9/main" objectType="Spin" dx="31" fmlaLink="$B$40" max="35" min="1" page="10" val="15"/>
</file>

<file path=xl/ctrlProps/ctrlProp8.xml><?xml version="1.0" encoding="utf-8"?>
<formControlPr xmlns="http://schemas.microsoft.com/office/spreadsheetml/2009/9/main" objectType="Spin" dx="31" fmlaLink="$B$43" max="30" min="1" page="10" val="15"/>
</file>

<file path=xl/ctrlProps/ctrlProp9.xml><?xml version="1.0" encoding="utf-8"?>
<formControlPr xmlns="http://schemas.microsoft.com/office/spreadsheetml/2009/9/main" objectType="Spin" dx="31" fmlaLink="$C$46" max="25" min="1" page="10" val="15"/>
</file>

<file path=xl/ctrlProps/ctrlProp10.xml><?xml version="1.0" encoding="utf-8"?>
<formControlPr xmlns="http://schemas.microsoft.com/office/spreadsheetml/2009/9/main" objectType="Spin" dx="26" fmlaLink="$B$37" max="20" min="1" page="10" val="10"/>
</file>

<file path=xl/ctrlProps/ctrlProp11.xml><?xml version="1.0" encoding="utf-8"?>
<formControlPr xmlns="http://schemas.microsoft.com/office/spreadsheetml/2009/9/main" objectType="Spin" dx="31" fmlaLink="$C$41" max="15" page="10" val="0"/>
</file>

<file path=xl/ctrlProps/ctrlProp12.xml><?xml version="1.0" encoding="utf-8"?>
<formControlPr xmlns="http://schemas.microsoft.com/office/spreadsheetml/2009/9/main" objectType="Spin" dx="31" fmlaLink="$C$42" max="15" page="10" val="3"/>
</file>

<file path=xl/ctrlProps/ctrlProp13.xml><?xml version="1.0" encoding="utf-8"?>
<formControlPr xmlns="http://schemas.microsoft.com/office/spreadsheetml/2009/9/main" objectType="Spin" dx="31" fmlaLink="$C$88" max="35" page="10" val="5"/>
</file>

<file path=xl/ctrlProps/ctrlProp14.xml><?xml version="1.0" encoding="utf-8"?>
<formControlPr xmlns="http://schemas.microsoft.com/office/spreadsheetml/2009/9/main" objectType="Spin" dx="31" fmlaLink="$C$50" max="15" page="10" val="0"/>
</file>

<file path=xl/ctrlProps/ctrlProp15.xml><?xml version="1.0" encoding="utf-8"?>
<formControlPr xmlns="http://schemas.microsoft.com/office/spreadsheetml/2009/9/main" objectType="Spin" dx="31" fmlaLink="$C$11" max="24" page="10" val="0"/>
</file>

<file path=xl/ctrlProps/ctrlProp16.xml><?xml version="1.0" encoding="utf-8"?>
<formControlPr xmlns="http://schemas.microsoft.com/office/spreadsheetml/2009/9/main" objectType="Spin" dx="31" fmlaLink="$C$50" max="15" page="10" val="0"/>
</file>

<file path=xl/ctrlProps/ctrlProp17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2.png"/><Relationship Id="rId4" Type="http://schemas.openxmlformats.org/officeDocument/2006/relationships/hyperlink" Target="#Outputs!AY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38</xdr:row>
          <xdr:rowOff>38100</xdr:rowOff>
        </xdr:from>
        <xdr:to>
          <xdr:col>5</xdr:col>
          <xdr:colOff>259080</xdr:colOff>
          <xdr:row>39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41</xdr:row>
          <xdr:rowOff>144780</xdr:rowOff>
        </xdr:from>
        <xdr:to>
          <xdr:col>7</xdr:col>
          <xdr:colOff>358140</xdr:colOff>
          <xdr:row>42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44</xdr:row>
          <xdr:rowOff>60960</xdr:rowOff>
        </xdr:from>
        <xdr:to>
          <xdr:col>6</xdr:col>
          <xdr:colOff>449580</xdr:colOff>
          <xdr:row>45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3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52</xdr:row>
      <xdr:rowOff>25400</xdr:rowOff>
    </xdr:from>
    <xdr:to>
      <xdr:col>5</xdr:col>
      <xdr:colOff>400050</xdr:colOff>
      <xdr:row>70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2</xdr:row>
      <xdr:rowOff>120650</xdr:rowOff>
    </xdr:from>
    <xdr:to>
      <xdr:col>31</xdr:col>
      <xdr:colOff>596900</xdr:colOff>
      <xdr:row>44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41</xdr:row>
      <xdr:rowOff>133350</xdr:rowOff>
    </xdr:from>
    <xdr:to>
      <xdr:col>9</xdr:col>
      <xdr:colOff>44450</xdr:colOff>
      <xdr:row>42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38</xdr:row>
      <xdr:rowOff>25400</xdr:rowOff>
    </xdr:from>
    <xdr:to>
      <xdr:col>5</xdr:col>
      <xdr:colOff>1245139</xdr:colOff>
      <xdr:row>39</xdr:row>
      <xdr:rowOff>170772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2</xdr:row>
      <xdr:rowOff>88900</xdr:rowOff>
    </xdr:from>
    <xdr:to>
      <xdr:col>50</xdr:col>
      <xdr:colOff>577850</xdr:colOff>
      <xdr:row>44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198120</xdr:colOff>
          <xdr:row>35</xdr:row>
          <xdr:rowOff>137160</xdr:rowOff>
        </xdr:from>
        <xdr:to>
          <xdr:col>2</xdr:col>
          <xdr:colOff>419100</xdr:colOff>
          <xdr:row>37</xdr:row>
          <xdr:rowOff>53340</xdr:rowOff>
        </xdr:to>
        <xdr:sp macro="" textlink="">
          <xdr:nvSpPr>
            <xdr:cNvPr id="18440" name="Spinner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3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1</xdr:row>
      <xdr:rowOff>0</xdr:rowOff>
    </xdr:from>
    <xdr:to>
      <xdr:col>6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1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1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1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1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1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1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1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0000000-0008-0000-02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9"/>
  </sheetPr>
  <dimension ref="A1:XFD35"/>
  <sheetViews>
    <sheetView workbookViewId="0">
      <selection activeCell="D8" sqref="D8"/>
    </sheetView>
  </sheetViews>
  <sheetFormatPr defaultColWidth="0" defaultRowHeight="14.4" zeroHeight="1" x14ac:dyDescent="0.3"/>
  <cols>
    <col min="1" max="1" width="8.77734375" style="732" customWidth="1"/>
    <col min="2" max="2" width="8.21875" style="715" customWidth="1"/>
    <col min="3" max="3" width="2.21875" style="715" customWidth="1"/>
    <col min="4" max="4" width="26.44140625" style="715" customWidth="1"/>
    <col min="5" max="5" width="65.5546875" style="715" bestFit="1" customWidth="1"/>
    <col min="6" max="6" width="8.109375" style="715" customWidth="1"/>
    <col min="7" max="16382" width="8.77734375" style="3" hidden="1"/>
    <col min="16383" max="16383" width="3.77734375" style="3" customWidth="1"/>
    <col min="16384" max="16384" width="4" style="3" customWidth="1"/>
  </cols>
  <sheetData>
    <row r="1" spans="1:6 16383:16384" s="714" customFormat="1" ht="15" thickBot="1" x14ac:dyDescent="0.35">
      <c r="A1" s="732"/>
      <c r="B1" s="732"/>
      <c r="C1" s="732"/>
      <c r="D1" s="732"/>
      <c r="E1" s="732"/>
      <c r="F1" s="732"/>
    </row>
    <row r="2" spans="1:6 16383:16384" s="707" customFormat="1" ht="19.8" thickBot="1" x14ac:dyDescent="0.4">
      <c r="A2" s="732"/>
      <c r="B2" s="716"/>
      <c r="C2" s="717"/>
      <c r="D2" s="718" t="s">
        <v>450</v>
      </c>
      <c r="E2" s="717"/>
      <c r="F2" s="719"/>
      <c r="XFC2" s="714"/>
      <c r="XFD2" s="714"/>
    </row>
    <row r="3" spans="1:6 16383:16384" s="707" customFormat="1" ht="18.600000000000001" thickTop="1" thickBot="1" x14ac:dyDescent="0.4">
      <c r="A3" s="732"/>
      <c r="B3" s="720"/>
      <c r="C3" s="889"/>
      <c r="D3" s="889" t="s">
        <v>451</v>
      </c>
      <c r="E3" s="889" t="s">
        <v>452</v>
      </c>
      <c r="F3" s="721"/>
      <c r="XFC3" s="714"/>
      <c r="XFD3" s="714"/>
    </row>
    <row r="4" spans="1:6 16383:16384" s="707" customFormat="1" ht="18" thickTop="1" x14ac:dyDescent="0.35">
      <c r="A4" s="732"/>
      <c r="B4" s="720"/>
      <c r="C4" s="722" t="s">
        <v>458</v>
      </c>
      <c r="E4" s="723"/>
      <c r="F4" s="721"/>
      <c r="XFC4" s="714"/>
      <c r="XFD4" s="714"/>
    </row>
    <row r="5" spans="1:6 16383:16384" s="707" customFormat="1" x14ac:dyDescent="0.3">
      <c r="A5" s="732"/>
      <c r="B5" s="720"/>
      <c r="D5" s="724" t="s">
        <v>459</v>
      </c>
      <c r="E5" s="725" t="s">
        <v>460</v>
      </c>
      <c r="F5" s="721"/>
      <c r="XFC5" s="714"/>
      <c r="XFD5" s="714"/>
    </row>
    <row r="6" spans="1:6 16383:16384" s="707" customFormat="1" x14ac:dyDescent="0.3">
      <c r="A6" s="732"/>
      <c r="B6" s="720"/>
      <c r="D6" s="724" t="s">
        <v>93</v>
      </c>
      <c r="E6" s="725" t="s">
        <v>460</v>
      </c>
      <c r="F6" s="721"/>
      <c r="XFC6" s="714"/>
      <c r="XFD6" s="714"/>
    </row>
    <row r="7" spans="1:6 16383:16384" s="707" customFormat="1" ht="15.6" x14ac:dyDescent="0.3">
      <c r="A7" s="732"/>
      <c r="B7" s="720"/>
      <c r="C7" s="726" t="s">
        <v>462</v>
      </c>
      <c r="F7" s="721"/>
      <c r="XFC7" s="714"/>
      <c r="XFD7" s="714"/>
    </row>
    <row r="8" spans="1:6 16383:16384" s="707" customFormat="1" x14ac:dyDescent="0.3">
      <c r="A8" s="732"/>
      <c r="B8" s="720"/>
      <c r="D8" s="728" t="s">
        <v>462</v>
      </c>
      <c r="E8" s="707" t="s">
        <v>453</v>
      </c>
      <c r="F8" s="721"/>
      <c r="XFC8" s="714"/>
      <c r="XFD8" s="714"/>
    </row>
    <row r="9" spans="1:6 16383:16384" s="707" customFormat="1" x14ac:dyDescent="0.3">
      <c r="A9" s="732"/>
      <c r="B9" s="720"/>
      <c r="D9" s="727" t="s">
        <v>455</v>
      </c>
      <c r="F9" s="721"/>
      <c r="XFC9" s="714"/>
      <c r="XFD9" s="714"/>
    </row>
    <row r="10" spans="1:6 16383:16384" s="707" customFormat="1" x14ac:dyDescent="0.3">
      <c r="A10" s="732"/>
      <c r="B10" s="720"/>
      <c r="D10" s="727" t="s">
        <v>464</v>
      </c>
      <c r="E10" s="707" t="s">
        <v>465</v>
      </c>
      <c r="F10" s="721"/>
      <c r="XFC10" s="714"/>
      <c r="XFD10" s="714"/>
    </row>
    <row r="11" spans="1:6 16383:16384" s="707" customFormat="1" ht="15.6" x14ac:dyDescent="0.3">
      <c r="A11" s="732"/>
      <c r="B11" s="720"/>
      <c r="C11" s="890" t="s">
        <v>461</v>
      </c>
      <c r="F11" s="721"/>
      <c r="XFC11" s="714"/>
      <c r="XFD11" s="714"/>
    </row>
    <row r="12" spans="1:6 16383:16384" s="707" customFormat="1" ht="15.6" x14ac:dyDescent="0.3">
      <c r="A12" s="732"/>
      <c r="B12" s="720"/>
      <c r="C12" s="890"/>
      <c r="D12" s="727" t="s">
        <v>518</v>
      </c>
      <c r="E12" s="707" t="s">
        <v>467</v>
      </c>
      <c r="F12" s="721"/>
      <c r="XFC12" s="714"/>
      <c r="XFD12" s="714"/>
    </row>
    <row r="13" spans="1:6 16383:16384" s="707" customFormat="1" x14ac:dyDescent="0.3">
      <c r="A13" s="732"/>
      <c r="B13" s="720"/>
      <c r="D13" s="727" t="s">
        <v>152</v>
      </c>
      <c r="E13" s="707" t="s">
        <v>463</v>
      </c>
      <c r="F13" s="721"/>
      <c r="XFC13" s="714"/>
      <c r="XFD13" s="714"/>
    </row>
    <row r="14" spans="1:6 16383:16384" s="707" customFormat="1" x14ac:dyDescent="0.3">
      <c r="A14" s="732"/>
      <c r="B14" s="720"/>
      <c r="D14" s="727" t="s">
        <v>322</v>
      </c>
      <c r="E14" s="707" t="s">
        <v>470</v>
      </c>
      <c r="F14" s="721"/>
      <c r="XFC14" s="714"/>
      <c r="XFD14" s="714"/>
    </row>
    <row r="15" spans="1:6 16383:16384" s="707" customFormat="1" x14ac:dyDescent="0.3">
      <c r="A15" s="732"/>
      <c r="B15" s="720"/>
      <c r="D15" s="727" t="s">
        <v>468</v>
      </c>
      <c r="E15" s="707" t="s">
        <v>469</v>
      </c>
      <c r="F15" s="721"/>
      <c r="XFC15" s="714"/>
      <c r="XFD15" s="714"/>
    </row>
    <row r="16" spans="1:6 16383:16384" s="707" customFormat="1" ht="15.6" x14ac:dyDescent="0.3">
      <c r="A16" s="732"/>
      <c r="B16" s="720"/>
      <c r="C16" s="891" t="s">
        <v>477</v>
      </c>
      <c r="D16" s="727"/>
      <c r="F16" s="721"/>
      <c r="XFC16" s="714"/>
      <c r="XFD16" s="714"/>
    </row>
    <row r="17" spans="1:6 16383:16384" s="707" customFormat="1" ht="15.6" x14ac:dyDescent="0.3">
      <c r="A17" s="732"/>
      <c r="B17" s="720"/>
      <c r="C17" s="891"/>
      <c r="D17" s="727" t="s">
        <v>478</v>
      </c>
      <c r="E17" s="707" t="s">
        <v>480</v>
      </c>
      <c r="F17" s="721"/>
      <c r="XFC17" s="714"/>
      <c r="XFD17" s="714"/>
    </row>
    <row r="18" spans="1:6 16383:16384" s="707" customFormat="1" ht="15.6" x14ac:dyDescent="0.3">
      <c r="A18" s="732"/>
      <c r="B18" s="720"/>
      <c r="C18" s="891"/>
      <c r="D18" s="727" t="s">
        <v>479</v>
      </c>
      <c r="E18" s="707" t="s">
        <v>481</v>
      </c>
      <c r="F18" s="721"/>
      <c r="XFC18" s="714"/>
      <c r="XFD18" s="714"/>
    </row>
    <row r="19" spans="1:6 16383:16384" s="707" customFormat="1" ht="15.6" x14ac:dyDescent="0.3">
      <c r="A19" s="732"/>
      <c r="B19" s="720"/>
      <c r="C19" s="892" t="s">
        <v>482</v>
      </c>
      <c r="D19" s="727"/>
      <c r="F19" s="721"/>
      <c r="XFC19" s="714"/>
      <c r="XFD19" s="714"/>
    </row>
    <row r="20" spans="1:6 16383:16384" s="707" customFormat="1" ht="15.6" x14ac:dyDescent="0.3">
      <c r="A20" s="732"/>
      <c r="B20" s="720"/>
      <c r="C20" s="892"/>
      <c r="D20" s="727" t="s">
        <v>519</v>
      </c>
      <c r="F20" s="721"/>
      <c r="XFC20" s="714"/>
      <c r="XFD20" s="714"/>
    </row>
    <row r="21" spans="1:6 16383:16384" s="707" customFormat="1" x14ac:dyDescent="0.3">
      <c r="A21" s="732"/>
      <c r="B21" s="720"/>
      <c r="D21" s="724" t="s">
        <v>456</v>
      </c>
      <c r="E21" s="707" t="s">
        <v>457</v>
      </c>
      <c r="F21" s="721"/>
      <c r="XFC21" s="714"/>
      <c r="XFD21" s="714"/>
    </row>
    <row r="22" spans="1:6 16383:16384" s="707" customFormat="1" x14ac:dyDescent="0.3">
      <c r="A22" s="732"/>
      <c r="B22" s="720"/>
      <c r="D22" s="724"/>
      <c r="F22" s="721"/>
      <c r="XFC22" s="714"/>
      <c r="XFD22" s="714"/>
    </row>
    <row r="23" spans="1:6 16383:16384" s="707" customFormat="1" ht="15.6" x14ac:dyDescent="0.3">
      <c r="A23" s="732"/>
      <c r="B23" s="720"/>
      <c r="C23" s="893" t="s">
        <v>471</v>
      </c>
      <c r="D23" s="727"/>
      <c r="F23" s="721"/>
      <c r="XFC23" s="714"/>
      <c r="XFD23" s="714"/>
    </row>
    <row r="24" spans="1:6 16383:16384" s="707" customFormat="1" x14ac:dyDescent="0.3">
      <c r="A24" s="732"/>
      <c r="B24" s="720"/>
      <c r="D24" s="727" t="s">
        <v>472</v>
      </c>
      <c r="E24" s="707" t="s">
        <v>473</v>
      </c>
      <c r="F24" s="721"/>
      <c r="XFC24" s="714"/>
      <c r="XFD24" s="714"/>
    </row>
    <row r="25" spans="1:6 16383:16384" s="707" customFormat="1" x14ac:dyDescent="0.3">
      <c r="A25" s="732"/>
      <c r="B25" s="720"/>
      <c r="D25" s="727" t="s">
        <v>474</v>
      </c>
      <c r="E25" s="707" t="s">
        <v>475</v>
      </c>
      <c r="F25" s="721"/>
      <c r="XFC25" s="714"/>
      <c r="XFD25" s="714"/>
    </row>
    <row r="26" spans="1:6 16383:16384" s="707" customFormat="1" ht="15.6" x14ac:dyDescent="0.3">
      <c r="A26" s="732"/>
      <c r="B26" s="720"/>
      <c r="C26" s="892" t="s">
        <v>476</v>
      </c>
      <c r="F26" s="721"/>
      <c r="XFC26" s="714"/>
      <c r="XFD26" s="714"/>
    </row>
    <row r="27" spans="1:6 16383:16384" s="707" customFormat="1" ht="15.6" x14ac:dyDescent="0.3">
      <c r="A27" s="732"/>
      <c r="B27" s="720"/>
      <c r="C27" s="892"/>
      <c r="D27" s="727" t="s">
        <v>321</v>
      </c>
      <c r="F27" s="721"/>
      <c r="XFC27" s="714"/>
      <c r="XFD27" s="714"/>
    </row>
    <row r="28" spans="1:6 16383:16384" s="707" customFormat="1" ht="15.6" x14ac:dyDescent="0.3">
      <c r="A28" s="732"/>
      <c r="B28" s="720"/>
      <c r="C28" s="892"/>
      <c r="D28" s="727" t="s">
        <v>466</v>
      </c>
      <c r="F28" s="721"/>
      <c r="XFC28" s="714"/>
      <c r="XFD28" s="714"/>
    </row>
    <row r="29" spans="1:6 16383:16384" s="707" customFormat="1" ht="15.6" x14ac:dyDescent="0.3">
      <c r="A29" s="732"/>
      <c r="B29" s="720"/>
      <c r="C29" s="892"/>
      <c r="D29" s="727" t="s">
        <v>152</v>
      </c>
      <c r="F29" s="721"/>
      <c r="XFC29" s="714"/>
      <c r="XFD29" s="714"/>
    </row>
    <row r="30" spans="1:6 16383:16384" s="707" customFormat="1" ht="15.6" x14ac:dyDescent="0.3">
      <c r="A30" s="732"/>
      <c r="B30" s="720"/>
      <c r="C30" s="892"/>
      <c r="D30" s="727" t="s">
        <v>322</v>
      </c>
      <c r="F30" s="721"/>
      <c r="XFC30" s="714"/>
      <c r="XFD30" s="714"/>
    </row>
    <row r="31" spans="1:6 16383:16384" s="707" customFormat="1" ht="15.6" x14ac:dyDescent="0.3">
      <c r="A31" s="732"/>
      <c r="B31" s="720"/>
      <c r="C31" s="892"/>
      <c r="D31" s="727" t="s">
        <v>468</v>
      </c>
      <c r="F31" s="721"/>
      <c r="XFC31" s="714"/>
      <c r="XFD31" s="714"/>
    </row>
    <row r="32" spans="1:6 16383:16384" s="707" customFormat="1" ht="15" thickBot="1" x14ac:dyDescent="0.35">
      <c r="A32" s="732"/>
      <c r="B32" s="729"/>
      <c r="C32" s="730"/>
      <c r="D32" s="730"/>
      <c r="E32" s="730"/>
      <c r="F32" s="731"/>
      <c r="XFC32" s="714"/>
      <c r="XFD32" s="714"/>
    </row>
    <row r="33" spans="2:6 16383:16384" x14ac:dyDescent="0.3">
      <c r="B33" s="714"/>
      <c r="C33" s="714"/>
      <c r="D33" s="714"/>
      <c r="E33" s="714"/>
      <c r="F33" s="714"/>
      <c r="XFC33" s="714"/>
      <c r="XFD33" s="714"/>
    </row>
    <row r="34" spans="2:6 16383:16384" x14ac:dyDescent="0.3">
      <c r="B34" s="714"/>
      <c r="C34" s="714"/>
      <c r="D34" s="714"/>
      <c r="E34" s="714"/>
      <c r="F34" s="714"/>
      <c r="XFC34" s="714"/>
      <c r="XFD34" s="714"/>
    </row>
    <row r="35" spans="2:6 16383:16384" x14ac:dyDescent="0.3">
      <c r="B35" s="714"/>
      <c r="C35" s="714"/>
      <c r="D35" s="714"/>
      <c r="E35" s="714"/>
      <c r="F35" s="714"/>
      <c r="XFC35" s="714"/>
      <c r="XFD35" s="714"/>
    </row>
  </sheetData>
  <sheetProtection algorithmName="SHA-512" hashValue="weiuZ2LOB4jEDF2LIiGXw+3H8gYykrsIXtn3Z2FihEkzdUT+Hta6HVdxE36kogn6cSwo4xyOuL6SpXMyuMZwHA==" saltValue="T7dQz4V4CRqXixUOyvqeHA==" spinCount="100000" sheet="1" objects="1" scenarios="1"/>
  <hyperlinks>
    <hyperlink ref="D8" location="Outputs!A1" display="Modify outputs" xr:uid="{F64697F5-038B-4044-BE85-99C09AB91C12}"/>
    <hyperlink ref="D21" location="'Deal structure'!A1" display="Deal Stracture" xr:uid="{5F5A7703-2848-4C2E-8239-611E3B735148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9" location="'Total Result'!A1" display="Total Result" xr:uid="{40D00808-204B-4824-96F2-FAF46FB96424}"/>
    <hyperlink ref="D13" location="'Total CF'!A1" display="Total CF" xr:uid="{ECF84EEF-8C28-416E-9723-1DB2E05073BD}"/>
    <hyperlink ref="D10" location="'Financial Statement'!A1" display="First year financial statement" xr:uid="{4517DCFE-B5B9-4A1D-B38F-E71004B2FA9C}"/>
    <hyperlink ref="D12" location="'ROI details'!A1" display="4 ways to win" xr:uid="{B3C701A1-96BE-403F-9618-95DE9F271CE6}"/>
    <hyperlink ref="D14" location="'PR Result'!A1" display="Principal Recapture" xr:uid="{801959FA-21FB-4B22-95DD-BA7B104B41F6}"/>
    <hyperlink ref="D15" location="'Principal Recapture'!A1" display="Mortgage payment schedule" xr:uid="{1B1DCC8C-FFF7-4F86-9631-A5CF2711F284}"/>
    <hyperlink ref="D24" location="'Calculating offering price ARV'!A1" display="Reno cost, rental revenue" xr:uid="{241C22BA-AE3B-4E7F-A47C-930DFB973EB1}"/>
    <hyperlink ref="D25" location="'ROI Number insert ARV'!A1" display="New mortgage after refinance" xr:uid="{EE7E726F-9DAF-4A95-BCA8-950A1E757694}"/>
    <hyperlink ref="D28" location="'ROI Detail ARV'!A1" display="4 ways to win" xr:uid="{C9AAC31F-3479-4EDA-83D8-B3ECB5FC6B12}"/>
    <hyperlink ref="D29" location="'Total CF'!A1" display="Total CF" xr:uid="{0A8B9140-F447-46E2-B44C-50D1A3DC99C3}"/>
    <hyperlink ref="D30" location="'PR ARV result'!A1" display="Principal Recapture" xr:uid="{C90BD960-24C5-47F1-B412-5F7199ED77EE}"/>
    <hyperlink ref="D31" location="'Principle Recapture ARV'!A1" display="Mortgage payment schedule" xr:uid="{49512BE8-4F94-4293-8278-B7B214EC6701}"/>
    <hyperlink ref="D17" location="'Mortgage Caculator'!A1" display="Mortgage payment calculator" xr:uid="{1EB982F1-4F78-4B9E-9D3D-5132A7F5C276}"/>
    <hyperlink ref="D18" location="'Debt payment Calculator'!A1" display="Debt payment calculator" xr:uid="{CEB17A5B-6F24-4FB5-883E-F7580236564D}"/>
    <hyperlink ref="D27" location="'Financial Statement ARV'!A1" display="Financial Statement" xr:uid="{F11A6EAC-EAD3-40E4-A38D-AE02990C345E}"/>
    <hyperlink ref="D20" location="'Capital Budgeting'!A1" display="Capital Budgeting" xr:uid="{01311676-415D-435F-9A3E-61E099C0F8B3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workbookViewId="0">
      <selection activeCell="C7" sqref="C7"/>
    </sheetView>
  </sheetViews>
  <sheetFormatPr defaultColWidth="8.77734375" defaultRowHeight="14.4" x14ac:dyDescent="0.3"/>
  <cols>
    <col min="1" max="1" width="15.55468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8" width="15.33203125" style="3" customWidth="1"/>
    <col min="9" max="9" width="14.21875" style="3" customWidth="1"/>
    <col min="10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37" t="s">
        <v>1</v>
      </c>
      <c r="C2" s="938"/>
      <c r="F2" s="5"/>
    </row>
    <row r="3" spans="1:8" ht="31.05" customHeight="1" thickTop="1" thickBot="1" x14ac:dyDescent="0.35">
      <c r="B3" s="676" t="s">
        <v>2</v>
      </c>
      <c r="C3" s="647" t="s">
        <v>14</v>
      </c>
      <c r="F3" s="6" t="s">
        <v>4</v>
      </c>
    </row>
    <row r="4" spans="1:8" ht="16.2" thickTop="1" x14ac:dyDescent="0.3">
      <c r="B4" s="677" t="s">
        <v>5</v>
      </c>
      <c r="C4" s="803">
        <v>1588000</v>
      </c>
      <c r="F4" s="7" t="s">
        <v>6</v>
      </c>
      <c r="H4" s="4"/>
    </row>
    <row r="5" spans="1:8" ht="15.6" x14ac:dyDescent="0.3">
      <c r="B5" s="804" t="s">
        <v>7</v>
      </c>
      <c r="C5" s="1031">
        <f>C59</f>
        <v>516823.52941176464</v>
      </c>
      <c r="D5" s="806" t="s">
        <v>511</v>
      </c>
      <c r="F5" s="3" t="s">
        <v>8</v>
      </c>
      <c r="H5" s="4"/>
    </row>
    <row r="6" spans="1:8" ht="13.5" customHeight="1" thickBot="1" x14ac:dyDescent="0.35">
      <c r="B6" s="678" t="s">
        <v>9</v>
      </c>
      <c r="C6" s="805">
        <v>1861</v>
      </c>
      <c r="F6" s="3" t="s">
        <v>10</v>
      </c>
      <c r="H6" s="4"/>
    </row>
    <row r="7" spans="1:8" ht="16.2" thickTop="1" x14ac:dyDescent="0.3">
      <c r="B7" s="678" t="s">
        <v>11</v>
      </c>
      <c r="C7" s="681">
        <f>C5*0.8</f>
        <v>413458.82352941175</v>
      </c>
      <c r="F7" s="3" t="s">
        <v>12</v>
      </c>
      <c r="H7" s="4"/>
    </row>
    <row r="8" spans="1:8" ht="15" customHeight="1" thickBot="1" x14ac:dyDescent="0.35">
      <c r="B8" s="678" t="s">
        <v>13</v>
      </c>
      <c r="C8" s="681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679" t="s">
        <v>15</v>
      </c>
      <c r="C9" s="648">
        <v>0</v>
      </c>
      <c r="D9" s="4"/>
      <c r="F9" s="3" t="s">
        <v>16</v>
      </c>
      <c r="H9" s="4"/>
    </row>
    <row r="10" spans="1:8" ht="16.8" thickTop="1" thickBot="1" x14ac:dyDescent="0.35">
      <c r="B10" s="678" t="s">
        <v>17</v>
      </c>
      <c r="C10" s="681">
        <f>C37</f>
        <v>3626.1633585264603</v>
      </c>
      <c r="D10" s="4"/>
      <c r="F10" s="3" t="s">
        <v>3</v>
      </c>
      <c r="H10" s="4"/>
    </row>
    <row r="11" spans="1:8" ht="16.8" thickTop="1" thickBot="1" x14ac:dyDescent="0.35">
      <c r="B11" s="678" t="s">
        <v>18</v>
      </c>
      <c r="C11" s="649">
        <v>0</v>
      </c>
      <c r="D11" s="4"/>
      <c r="F11" s="3" t="s">
        <v>323</v>
      </c>
      <c r="H11" s="4"/>
    </row>
    <row r="12" spans="1:8" ht="16.8" thickTop="1" thickBot="1" x14ac:dyDescent="0.35">
      <c r="B12" s="678" t="s">
        <v>19</v>
      </c>
      <c r="C12" s="681">
        <f>C10*C11</f>
        <v>0</v>
      </c>
      <c r="D12" s="4"/>
      <c r="F12" s="3" t="s">
        <v>500</v>
      </c>
      <c r="H12" s="10"/>
    </row>
    <row r="13" spans="1:8" ht="16.8" thickTop="1" thickBot="1" x14ac:dyDescent="0.35">
      <c r="B13" s="678" t="s">
        <v>20</v>
      </c>
      <c r="C13" s="650">
        <v>0.35</v>
      </c>
      <c r="D13" s="4"/>
      <c r="H13" s="4"/>
    </row>
    <row r="14" spans="1:8" ht="16.8" thickTop="1" thickBot="1" x14ac:dyDescent="0.35">
      <c r="A14" s="196"/>
      <c r="B14" s="680" t="s">
        <v>214</v>
      </c>
      <c r="C14" s="682">
        <f>C7-C9-C12-C8</f>
        <v>382449.41176470584</v>
      </c>
      <c r="D14" s="4"/>
      <c r="H14" s="4"/>
    </row>
    <row r="15" spans="1:8" ht="16.2" thickBot="1" x14ac:dyDescent="0.35">
      <c r="B15" s="939" t="s">
        <v>21</v>
      </c>
      <c r="C15" s="940"/>
      <c r="D15" s="4"/>
      <c r="H15" s="4"/>
    </row>
    <row r="16" spans="1:8" ht="15.6" x14ac:dyDescent="0.3">
      <c r="B16" s="683" t="s">
        <v>22</v>
      </c>
      <c r="C16" s="684">
        <f>C14*C13</f>
        <v>133857.29411764705</v>
      </c>
      <c r="D16" s="4"/>
      <c r="H16" s="4"/>
    </row>
    <row r="17" spans="2:9" ht="15.6" x14ac:dyDescent="0.3">
      <c r="B17" s="685" t="s">
        <v>234</v>
      </c>
      <c r="C17" s="686">
        <f>C14*4.5%</f>
        <v>17210.223529411764</v>
      </c>
      <c r="D17" s="8" t="s">
        <v>23</v>
      </c>
      <c r="H17" s="4"/>
    </row>
    <row r="18" spans="2:9" ht="16.2" thickBot="1" x14ac:dyDescent="0.35">
      <c r="B18" s="685" t="s">
        <v>24</v>
      </c>
      <c r="C18" s="686">
        <f>C9+C16+C17</f>
        <v>151067.51764705882</v>
      </c>
      <c r="D18" s="4"/>
      <c r="H18" s="4"/>
    </row>
    <row r="19" spans="2:9" ht="16.05" customHeight="1" thickTop="1" thickBot="1" x14ac:dyDescent="0.35">
      <c r="B19" s="687" t="s">
        <v>232</v>
      </c>
      <c r="C19" s="648">
        <v>208051</v>
      </c>
      <c r="D19" s="945" t="s">
        <v>235</v>
      </c>
      <c r="E19" s="946"/>
      <c r="F19" s="946"/>
      <c r="G19" s="946"/>
      <c r="H19" s="946"/>
    </row>
    <row r="20" spans="2:9" ht="21.75" customHeight="1" thickBot="1" x14ac:dyDescent="0.35">
      <c r="B20" s="941" t="s">
        <v>7</v>
      </c>
      <c r="C20" s="942"/>
      <c r="D20" s="8"/>
      <c r="E20" s="8"/>
      <c r="F20" s="8"/>
      <c r="G20" s="4"/>
      <c r="H20" s="4"/>
    </row>
    <row r="21" spans="2:9" ht="27.45" customHeight="1" x14ac:dyDescent="0.3">
      <c r="B21" s="688" t="s">
        <v>242</v>
      </c>
      <c r="C21" s="689" t="e">
        <f>C46*C6</f>
        <v>#DIV/0!</v>
      </c>
      <c r="D21" s="947" t="s">
        <v>25</v>
      </c>
      <c r="E21" s="948"/>
      <c r="F21" s="948"/>
      <c r="G21" s="948"/>
      <c r="H21" s="948"/>
      <c r="I21" s="244"/>
    </row>
    <row r="22" spans="2:9" ht="18.75" customHeight="1" x14ac:dyDescent="0.3">
      <c r="B22" s="690" t="str">
        <f>B66</f>
        <v>Conservative CF Multiplier Evaluation</v>
      </c>
      <c r="C22" s="691">
        <f>C78</f>
        <v>549125</v>
      </c>
      <c r="F22" s="4"/>
      <c r="G22" s="4"/>
      <c r="H22" s="4"/>
    </row>
    <row r="23" spans="2:9" ht="16.2" thickBot="1" x14ac:dyDescent="0.35">
      <c r="B23" s="690" t="str">
        <f>B47</f>
        <v>CF Multiplier Evaluation</v>
      </c>
      <c r="C23" s="691">
        <f>C59</f>
        <v>516823.52941176464</v>
      </c>
      <c r="H23" s="4"/>
    </row>
    <row r="24" spans="2:9" ht="16.2" thickBot="1" x14ac:dyDescent="0.35">
      <c r="B24" s="943" t="s">
        <v>26</v>
      </c>
      <c r="C24" s="944"/>
      <c r="H24" s="4"/>
    </row>
    <row r="25" spans="2:9" ht="15.6" x14ac:dyDescent="0.3">
      <c r="B25" s="324" t="s">
        <v>27</v>
      </c>
      <c r="C25" s="243">
        <f>C14*(100%-C13)</f>
        <v>248592.1176470588</v>
      </c>
      <c r="D25" s="8" t="s">
        <v>28</v>
      </c>
      <c r="H25" s="4"/>
    </row>
    <row r="26" spans="2:9" ht="15.6" x14ac:dyDescent="0.3">
      <c r="B26" s="708" t="s">
        <v>29</v>
      </c>
      <c r="C26" s="311">
        <f>'Mortgage Caculator'!C11</f>
        <v>2135.4892544088129</v>
      </c>
      <c r="D26" s="2" t="s">
        <v>30</v>
      </c>
    </row>
    <row r="27" spans="2:9" ht="16.2" thickBot="1" x14ac:dyDescent="0.35">
      <c r="B27" s="326" t="s">
        <v>31</v>
      </c>
      <c r="C27" s="18">
        <f>C26*12</f>
        <v>25625.871052905757</v>
      </c>
      <c r="G27" s="3" t="s">
        <v>529</v>
      </c>
      <c r="H27" s="4"/>
    </row>
    <row r="28" spans="2:9" ht="16.8" thickTop="1" thickBot="1" x14ac:dyDescent="0.35">
      <c r="B28" s="799" t="s">
        <v>32</v>
      </c>
      <c r="C28" s="802">
        <f>'ROI Number insert'!C5*'Calculating offering price'!I29</f>
        <v>3932.9457199999997</v>
      </c>
      <c r="D28" s="801" t="s">
        <v>211</v>
      </c>
      <c r="G28" s="795" t="str">
        <f>HYPERLINK("https://wowa.ca/taxes/" &amp; I28 &amp; "-property-tax", "Property tax rate web")</f>
        <v>Property tax rate web</v>
      </c>
      <c r="H28" s="796" t="s">
        <v>508</v>
      </c>
      <c r="I28" s="694" t="s">
        <v>509</v>
      </c>
    </row>
    <row r="29" spans="2:9" ht="16.8" thickTop="1" thickBot="1" x14ac:dyDescent="0.35">
      <c r="B29" s="328" t="s">
        <v>33</v>
      </c>
      <c r="C29" s="800">
        <f>C28/12</f>
        <v>327.74547666666666</v>
      </c>
      <c r="E29" s="15"/>
      <c r="F29" s="15"/>
      <c r="H29" s="797" t="s">
        <v>507</v>
      </c>
      <c r="I29" s="798">
        <v>2.8032399999999998E-3</v>
      </c>
    </row>
    <row r="30" spans="2:9" ht="27" customHeight="1" thickBot="1" x14ac:dyDescent="0.35">
      <c r="B30" s="329" t="s">
        <v>34</v>
      </c>
      <c r="C30" s="245">
        <f>'Debt payment Calculator'!C6</f>
        <v>0</v>
      </c>
      <c r="D30" s="949" t="s">
        <v>35</v>
      </c>
      <c r="E30" s="948"/>
      <c r="F30" s="948"/>
      <c r="G30" s="948"/>
      <c r="H30" s="948"/>
    </row>
    <row r="31" spans="2:9" ht="16.5" customHeight="1" thickTop="1" thickBot="1" x14ac:dyDescent="0.35">
      <c r="B31" s="330" t="s">
        <v>246</v>
      </c>
      <c r="C31" s="648">
        <v>0</v>
      </c>
      <c r="D31" s="923" t="s">
        <v>30</v>
      </c>
      <c r="E31" s="271"/>
      <c r="F31" s="271"/>
      <c r="G31" s="271"/>
      <c r="H31" s="271"/>
    </row>
    <row r="32" spans="2:9" ht="16.8" thickTop="1" thickBot="1" x14ac:dyDescent="0.35">
      <c r="B32" s="331" t="s">
        <v>36</v>
      </c>
      <c r="C32" s="651">
        <f>125*12</f>
        <v>1500</v>
      </c>
      <c r="F32" s="4"/>
      <c r="G32" s="4"/>
      <c r="H32" s="4"/>
    </row>
    <row r="33" spans="2:9" ht="13.5" customHeight="1" thickTop="1" thickBot="1" x14ac:dyDescent="0.35">
      <c r="B33" s="331" t="s">
        <v>37</v>
      </c>
      <c r="C33" s="16">
        <f>C7*0.38%</f>
        <v>1571.1435294117646</v>
      </c>
      <c r="D33" s="2" t="s">
        <v>38</v>
      </c>
      <c r="F33" s="4"/>
      <c r="G33" s="4"/>
      <c r="H33" s="4"/>
    </row>
    <row r="34" spans="2:9" ht="16.8" thickTop="1" thickBot="1" x14ac:dyDescent="0.35">
      <c r="B34" s="332" t="s">
        <v>39</v>
      </c>
      <c r="C34" s="651">
        <v>907</v>
      </c>
      <c r="F34" s="4"/>
      <c r="G34" s="4"/>
      <c r="H34" s="4"/>
    </row>
    <row r="35" spans="2:9" ht="16.2" thickTop="1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43513.960302317522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3626.1633585264603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6.2" thickBot="1" x14ac:dyDescent="0.35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/>
    </row>
    <row r="41" spans="2:9" ht="16.8" thickTop="1" thickBot="1" x14ac:dyDescent="0.35">
      <c r="B41" s="338" t="s">
        <v>51</v>
      </c>
      <c r="C41" s="652">
        <v>4</v>
      </c>
      <c r="D41" s="20">
        <f>C41</f>
        <v>4</v>
      </c>
      <c r="E41" s="248">
        <f>C41</f>
        <v>4</v>
      </c>
      <c r="F41" s="4"/>
      <c r="G41" s="4"/>
      <c r="H41" s="4"/>
    </row>
    <row r="42" spans="2:9" ht="16.8" thickTop="1" thickBot="1" x14ac:dyDescent="0.35">
      <c r="B42" s="338" t="s">
        <v>52</v>
      </c>
      <c r="C42" s="652"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6.8" thickTop="1" thickBot="1" x14ac:dyDescent="0.35">
      <c r="B43" s="338" t="s">
        <v>9</v>
      </c>
      <c r="C43" s="652">
        <v>0</v>
      </c>
      <c r="D43" s="652">
        <v>0</v>
      </c>
      <c r="E43" s="652">
        <v>0</v>
      </c>
      <c r="F43" s="4"/>
      <c r="G43" s="4"/>
      <c r="H43" s="4"/>
    </row>
    <row r="44" spans="2:9" ht="28.95" customHeight="1" thickTop="1" thickBot="1" x14ac:dyDescent="0.35">
      <c r="B44" s="339" t="s">
        <v>53</v>
      </c>
      <c r="C44" s="648">
        <v>0</v>
      </c>
      <c r="D44" s="648">
        <v>0</v>
      </c>
      <c r="E44" s="648">
        <v>0</v>
      </c>
      <c r="F44" s="4"/>
      <c r="G44" s="946" t="s">
        <v>212</v>
      </c>
      <c r="H44" s="946"/>
      <c r="I44" s="946"/>
    </row>
    <row r="45" spans="2:9" ht="16.8" thickTop="1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53"/>
      <c r="C48" s="654" t="s">
        <v>56</v>
      </c>
      <c r="D48" s="670" t="s">
        <v>57</v>
      </c>
      <c r="E48" s="671" t="s">
        <v>58</v>
      </c>
      <c r="G48" s="4"/>
      <c r="H48" s="4"/>
    </row>
    <row r="49" spans="2:10" ht="16.8" thickTop="1" thickBot="1" x14ac:dyDescent="0.35">
      <c r="B49" s="655" t="s">
        <v>59</v>
      </c>
      <c r="C49" s="651">
        <v>5300</v>
      </c>
      <c r="D49" s="672">
        <v>0</v>
      </c>
      <c r="E49" s="672">
        <v>0</v>
      </c>
      <c r="F49" s="8" t="s">
        <v>60</v>
      </c>
      <c r="G49" s="4"/>
      <c r="H49" s="4"/>
    </row>
    <row r="50" spans="2:10" ht="15" customHeight="1" thickTop="1" thickBot="1" x14ac:dyDescent="0.35">
      <c r="B50" s="656" t="s">
        <v>61</v>
      </c>
      <c r="C50" s="652">
        <v>1</v>
      </c>
      <c r="D50" s="23" t="s">
        <v>502</v>
      </c>
      <c r="E50" s="24"/>
      <c r="F50" s="24"/>
      <c r="G50" s="24"/>
      <c r="H50" s="24"/>
      <c r="I50" s="25"/>
      <c r="J50" s="25"/>
    </row>
    <row r="51" spans="2:10" ht="16.2" thickTop="1" x14ac:dyDescent="0.3">
      <c r="B51" s="656" t="s">
        <v>62</v>
      </c>
      <c r="C51" s="657">
        <f>C49*C50</f>
        <v>5300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56" t="s">
        <v>63</v>
      </c>
      <c r="C52" s="657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56" t="s">
        <v>64</v>
      </c>
      <c r="C53" s="651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56" t="s">
        <v>65</v>
      </c>
      <c r="C54" s="651">
        <v>0</v>
      </c>
      <c r="D54" s="26"/>
      <c r="E54" s="692"/>
      <c r="F54" s="24"/>
      <c r="G54" s="24"/>
      <c r="H54" s="24"/>
      <c r="I54" s="25"/>
      <c r="J54" s="25"/>
    </row>
    <row r="55" spans="2:10" ht="16.8" thickTop="1" thickBot="1" x14ac:dyDescent="0.35">
      <c r="B55" s="656" t="s">
        <v>66</v>
      </c>
      <c r="C55" s="651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56" t="s">
        <v>67</v>
      </c>
      <c r="C56" s="651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56" t="s">
        <v>68</v>
      </c>
      <c r="C57" s="657">
        <f>SUM(D49,E49,C51,C53:C56)</f>
        <v>5300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58" t="s">
        <v>69</v>
      </c>
      <c r="C58" s="659">
        <f>C57-C52</f>
        <v>4393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60" t="s">
        <v>7</v>
      </c>
      <c r="C59" s="661">
        <f>C58/0.85%</f>
        <v>516823.52941176464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60" t="s">
        <v>5</v>
      </c>
      <c r="C60" s="661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62" t="s">
        <v>72</v>
      </c>
      <c r="C61" s="663">
        <f>C14*0.6%</f>
        <v>2294.6964705882351</v>
      </c>
      <c r="D61" s="936" t="s">
        <v>213</v>
      </c>
      <c r="E61" s="936"/>
      <c r="F61" s="936"/>
      <c r="G61" s="936"/>
      <c r="H61" s="936"/>
      <c r="I61" s="23"/>
      <c r="J61" s="23"/>
    </row>
    <row r="62" spans="2:10" s="32" customFormat="1" ht="15.6" x14ac:dyDescent="0.3">
      <c r="B62" s="664" t="s">
        <v>74</v>
      </c>
      <c r="C62" s="665">
        <f>(C60-C14)/C60</f>
        <v>0.75916283893910219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66" t="s">
        <v>76</v>
      </c>
      <c r="C63" s="667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68" t="s">
        <v>78</v>
      </c>
      <c r="C64" s="669">
        <f>(C60-C59)/C60</f>
        <v>0.67454437694473268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5300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5300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5300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4393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549125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3059.595294117647</v>
      </c>
      <c r="D80" s="950" t="s">
        <v>73</v>
      </c>
      <c r="E80" s="950"/>
      <c r="F80" s="950"/>
      <c r="G80" s="950"/>
      <c r="H80" s="950"/>
      <c r="I80" s="950"/>
    </row>
    <row r="81" spans="2:9" ht="15.6" x14ac:dyDescent="0.3">
      <c r="B81" s="351" t="s">
        <v>74</v>
      </c>
      <c r="C81" s="260">
        <f>(C79-C14)/C79</f>
        <v>0.75916283893910219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0.65420340050377834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51" t="s">
        <v>81</v>
      </c>
      <c r="C86" s="952"/>
      <c r="D86" s="2" t="s">
        <v>224</v>
      </c>
    </row>
    <row r="87" spans="2:9" ht="16.2" thickBot="1" x14ac:dyDescent="0.35">
      <c r="B87" s="356" t="s">
        <v>82</v>
      </c>
      <c r="C87" s="382">
        <f>'ROI Number insert'!F6</f>
        <v>0.02</v>
      </c>
      <c r="D87" s="2" t="s">
        <v>223</v>
      </c>
    </row>
    <row r="88" spans="2:9" ht="16.8" thickTop="1" thickBot="1" x14ac:dyDescent="0.35">
      <c r="B88" s="356" t="s">
        <v>83</v>
      </c>
      <c r="C88" s="673">
        <v>5</v>
      </c>
      <c r="D88" s="2" t="s">
        <v>84</v>
      </c>
    </row>
    <row r="89" spans="2:9" ht="16.2" thickTop="1" x14ac:dyDescent="0.3">
      <c r="B89" s="356" t="s">
        <v>250</v>
      </c>
      <c r="C89" s="287">
        <f ca="1">TODAY()</f>
        <v>44984</v>
      </c>
      <c r="D89" s="2"/>
    </row>
    <row r="90" spans="2:9" ht="15.6" x14ac:dyDescent="0.3">
      <c r="B90" s="356" t="s">
        <v>251</v>
      </c>
      <c r="C90" s="287">
        <f ca="1">C89+C88*366</f>
        <v>46814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insert'!F3</f>
        <v>1218280.3154816001</v>
      </c>
    </row>
    <row r="94" spans="2:9" ht="15.6" x14ac:dyDescent="0.3">
      <c r="B94" s="359" t="s">
        <v>95</v>
      </c>
      <c r="C94" s="44">
        <f>'ROI Number insert'!F3</f>
        <v>535000</v>
      </c>
    </row>
    <row r="95" spans="2:9" ht="15.6" x14ac:dyDescent="0.3">
      <c r="B95" s="360" t="s">
        <v>89</v>
      </c>
      <c r="C95" s="45">
        <f>FV(C87,C88,,-'ROI Number insert'!F3)</f>
        <v>590683.229712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55683.229712</v>
      </c>
      <c r="D96" s="3" t="s">
        <v>92</v>
      </c>
    </row>
    <row r="97" spans="2:4" ht="15" thickBot="1" x14ac:dyDescent="0.35"/>
    <row r="98" spans="2:4" ht="18.600000000000001" thickBot="1" x14ac:dyDescent="0.4">
      <c r="B98" s="953" t="s">
        <v>219</v>
      </c>
      <c r="C98" s="954"/>
    </row>
    <row r="99" spans="2:4" ht="16.8" thickTop="1" thickBot="1" x14ac:dyDescent="0.35">
      <c r="B99" s="363" t="s">
        <v>82</v>
      </c>
      <c r="C99" s="674">
        <v>1.4999999999999999E-2</v>
      </c>
      <c r="D99" s="3" t="s">
        <v>221</v>
      </c>
    </row>
    <row r="100" spans="2:4" ht="16.2" thickTop="1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48644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insert'!F3</f>
        <v>1307938.8301399359</v>
      </c>
    </row>
    <row r="105" spans="2:4" ht="15.6" x14ac:dyDescent="0.3">
      <c r="B105" s="365" t="s">
        <v>95</v>
      </c>
      <c r="C105" s="49">
        <f>C94</f>
        <v>535000</v>
      </c>
    </row>
    <row r="106" spans="2:4" ht="15.6" x14ac:dyDescent="0.3">
      <c r="B106" s="363" t="s">
        <v>89</v>
      </c>
      <c r="C106" s="47">
        <f>FV(C99,C100,,-'ROI Number insert'!F3)</f>
        <v>620889.34138845443</v>
      </c>
    </row>
    <row r="107" spans="2:4" ht="16.2" thickBot="1" x14ac:dyDescent="0.35">
      <c r="B107" s="364" t="s">
        <v>91</v>
      </c>
      <c r="C107" s="48">
        <f>C106-C105</f>
        <v>85889.341388454428</v>
      </c>
    </row>
    <row r="108" spans="2:4" ht="15" thickBot="1" x14ac:dyDescent="0.35"/>
    <row r="109" spans="2:4" ht="18.600000000000001" thickBot="1" x14ac:dyDescent="0.4">
      <c r="B109" s="934" t="s">
        <v>220</v>
      </c>
      <c r="C109" s="935"/>
    </row>
    <row r="110" spans="2:4" ht="16.8" thickTop="1" thickBot="1" x14ac:dyDescent="0.35">
      <c r="B110" s="366" t="s">
        <v>82</v>
      </c>
      <c r="C110" s="674">
        <v>0.02</v>
      </c>
      <c r="D110" s="3" t="s">
        <v>222</v>
      </c>
    </row>
    <row r="111" spans="2:4" ht="16.2" thickTop="1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50474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insert'!F3</f>
        <v>1602238.9212587173</v>
      </c>
    </row>
    <row r="116" spans="2:3" ht="15.6" x14ac:dyDescent="0.3">
      <c r="B116" s="368" t="s">
        <v>95</v>
      </c>
      <c r="C116" s="195">
        <f>C94</f>
        <v>535000</v>
      </c>
    </row>
    <row r="117" spans="2:3" ht="15.6" x14ac:dyDescent="0.3">
      <c r="B117" s="366" t="s">
        <v>89</v>
      </c>
      <c r="C117" s="193">
        <f>FV(C110,C111,,-'ROI Number insert'!F3)</f>
        <v>720039.56100340909</v>
      </c>
    </row>
    <row r="118" spans="2:3" ht="16.2" thickBot="1" x14ac:dyDescent="0.35">
      <c r="B118" s="367" t="s">
        <v>91</v>
      </c>
      <c r="C118" s="194">
        <f>C117-C116</f>
        <v>185039.56100340909</v>
      </c>
    </row>
  </sheetData>
  <sheetProtection algorithmName="SHA-512" hashValue="q5+80vYVTr08EjA0vIFo+vrvQFuTJMXKzQUfxe1qMByBR6KmaQ2UEmRyi/4O5uZHBW8/mREmlFvfdUUwBsXq9w==" saltValue="w+oQ62sn8GIHuGGAZoRJMA==" spinCount="100000" sheet="1" objects="1" scenarios="1"/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  <hyperlink ref="D31" location="'Mortgage Caculator'!A1" display="Go to the mortgage calculator page " xr:uid="{9AC3930E-E767-418E-BE4F-8688C26C3519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workbookViewId="0">
      <selection activeCell="F4" sqref="F4"/>
    </sheetView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40.109375" customWidth="1"/>
    <col min="6" max="6" width="15.21875" style="161" customWidth="1"/>
    <col min="7" max="7" width="20.33203125" customWidth="1"/>
    <col min="8" max="8" width="26.109375" style="162" customWidth="1"/>
    <col min="9" max="9" width="20.21875" customWidth="1"/>
    <col min="10" max="10" width="1.664062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hidden="1" customWidth="1"/>
    <col min="16" max="16" width="13.21875" hidden="1" customWidth="1"/>
    <col min="17" max="16384" width="8.88671875" hidden="1"/>
  </cols>
  <sheetData>
    <row r="1" spans="1:14" ht="42" customHeight="1" thickBot="1" x14ac:dyDescent="0.35">
      <c r="A1" s="646" t="s">
        <v>454</v>
      </c>
      <c r="C1" s="1"/>
      <c r="E1" s="957" t="s">
        <v>93</v>
      </c>
      <c r="F1" s="957"/>
      <c r="G1" s="957"/>
      <c r="H1" s="957"/>
      <c r="I1" s="957"/>
      <c r="J1" s="1"/>
      <c r="K1" s="1"/>
      <c r="L1" s="1"/>
      <c r="M1" s="1"/>
    </row>
    <row r="2" spans="1:14" ht="17.25" customHeight="1" thickTop="1" thickBot="1" x14ac:dyDescent="0.35">
      <c r="B2" s="307" t="s">
        <v>270</v>
      </c>
      <c r="C2" s="693">
        <v>44973</v>
      </c>
      <c r="E2" s="705" t="s">
        <v>5</v>
      </c>
      <c r="F2" s="706">
        <f>'Calculating offering price'!C4</f>
        <v>1588000</v>
      </c>
      <c r="G2" s="932" t="s">
        <v>554</v>
      </c>
      <c r="H2" s="958" t="s">
        <v>94</v>
      </c>
      <c r="I2" s="959"/>
      <c r="J2" s="1"/>
      <c r="K2" s="1"/>
      <c r="L2" s="1"/>
      <c r="M2" s="1"/>
      <c r="N2" s="1"/>
    </row>
    <row r="3" spans="1:14" ht="16.8" thickTop="1" thickBot="1" x14ac:dyDescent="0.35">
      <c r="B3" s="308" t="s">
        <v>271</v>
      </c>
      <c r="C3" s="694">
        <v>10267800</v>
      </c>
      <c r="D3" s="310"/>
      <c r="E3" s="704" t="s">
        <v>95</v>
      </c>
      <c r="F3" s="651">
        <v>535000</v>
      </c>
      <c r="G3" s="285" t="s">
        <v>248</v>
      </c>
      <c r="H3" s="790" t="s">
        <v>96</v>
      </c>
      <c r="I3" s="791" cm="1">
        <f t="array" ref="I3">_xlfn.IFS(F3&lt;200000, 1%, OR(F3&gt;200001, F3&lt;2000000), 2%, F3&gt;2000001, 3%)</f>
        <v>0.02</v>
      </c>
      <c r="J3" s="1"/>
      <c r="K3" s="792"/>
      <c r="L3" s="1"/>
      <c r="M3" s="1"/>
      <c r="N3" s="1"/>
    </row>
    <row r="4" spans="1:14" ht="30" thickTop="1" thickBot="1" x14ac:dyDescent="0.35">
      <c r="B4" s="308" t="s">
        <v>272</v>
      </c>
      <c r="C4" s="787" t="s">
        <v>510</v>
      </c>
      <c r="D4" s="304"/>
      <c r="E4" s="302" t="s">
        <v>97</v>
      </c>
      <c r="F4" s="649">
        <v>25</v>
      </c>
      <c r="G4" s="285" t="s">
        <v>249</v>
      </c>
      <c r="H4" s="53" t="s">
        <v>98</v>
      </c>
      <c r="I4" s="789">
        <f>F3*I3</f>
        <v>10700</v>
      </c>
      <c r="J4" s="1"/>
      <c r="K4" s="1"/>
      <c r="L4" s="1"/>
      <c r="M4" s="1"/>
      <c r="N4" s="1"/>
    </row>
    <row r="5" spans="1:14" ht="16.8" thickTop="1" thickBot="1" x14ac:dyDescent="0.35">
      <c r="B5" s="309" t="s">
        <v>274</v>
      </c>
      <c r="C5" s="695">
        <v>1403000</v>
      </c>
      <c r="D5" s="304"/>
      <c r="E5" s="303" t="s">
        <v>99</v>
      </c>
      <c r="F5" s="696">
        <v>5.5E-2</v>
      </c>
      <c r="G5" s="1"/>
      <c r="H5" s="53" t="s">
        <v>100</v>
      </c>
      <c r="I5" s="672">
        <v>1200</v>
      </c>
      <c r="J5" s="1"/>
      <c r="K5" s="1"/>
      <c r="L5" s="1"/>
      <c r="M5" s="1"/>
      <c r="N5" s="1"/>
    </row>
    <row r="6" spans="1:14" ht="16.8" thickTop="1" thickBot="1" x14ac:dyDescent="0.35">
      <c r="D6" s="306"/>
      <c r="E6" s="303" t="s">
        <v>101</v>
      </c>
      <c r="F6" s="696">
        <v>0.02</v>
      </c>
      <c r="G6" s="1"/>
      <c r="H6" s="53" t="s">
        <v>102</v>
      </c>
      <c r="I6" s="672">
        <v>1200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696">
        <v>3.85E-2</v>
      </c>
      <c r="G7" s="1"/>
      <c r="H7" s="57" t="s">
        <v>103</v>
      </c>
      <c r="I7" s="742">
        <v>2500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696">
        <v>0.02</v>
      </c>
      <c r="G8" s="1"/>
      <c r="H8" s="57" t="s">
        <v>105</v>
      </c>
      <c r="I8" s="743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0.35</v>
      </c>
      <c r="G9" s="1"/>
      <c r="H9" s="59" t="s">
        <v>106</v>
      </c>
      <c r="I9" s="60">
        <f>F3*1%</f>
        <v>5350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20950</v>
      </c>
      <c r="G10" s="1"/>
      <c r="H10" s="960" t="s">
        <v>26</v>
      </c>
      <c r="I10" s="961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187250</v>
      </c>
      <c r="G11" s="1"/>
      <c r="H11" s="279" t="s">
        <v>27</v>
      </c>
      <c r="I11" s="280">
        <f>F12</f>
        <v>347750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347750</v>
      </c>
      <c r="G12" s="1"/>
      <c r="H12" s="198" t="s">
        <v>110</v>
      </c>
      <c r="I12" s="65">
        <f>'Calculating offering price'!C26</f>
        <v>2135.4892544088129</v>
      </c>
      <c r="J12" s="1"/>
      <c r="K12" s="1"/>
      <c r="L12" s="1"/>
      <c r="M12" s="1"/>
      <c r="N12" s="1"/>
    </row>
    <row r="13" spans="1:14" ht="31.2" x14ac:dyDescent="0.3">
      <c r="C13" s="1"/>
      <c r="E13" s="700" t="s">
        <v>15</v>
      </c>
      <c r="F13" s="735">
        <f>'Calculating offering price'!C9</f>
        <v>0</v>
      </c>
      <c r="G13" s="1"/>
      <c r="H13" s="67" t="s">
        <v>31</v>
      </c>
      <c r="I13" s="68">
        <f>I12*12</f>
        <v>25625.871052905757</v>
      </c>
      <c r="J13" s="1"/>
      <c r="K13" s="1"/>
      <c r="L13" s="1"/>
      <c r="M13" s="1"/>
      <c r="N13" s="1"/>
    </row>
    <row r="14" spans="1:14" x14ac:dyDescent="0.3">
      <c r="C14" s="1"/>
      <c r="E14" s="734" t="s">
        <v>215</v>
      </c>
      <c r="F14" s="737">
        <f>'Calculating offering price'!C11</f>
        <v>0</v>
      </c>
      <c r="G14" s="1"/>
      <c r="H14" s="70" t="s">
        <v>111</v>
      </c>
      <c r="I14" s="71">
        <f>'Calculating offering price'!C28</f>
        <v>3932.9457199999997</v>
      </c>
      <c r="J14" s="1"/>
      <c r="K14" s="1"/>
      <c r="L14" s="1"/>
      <c r="M14" s="1"/>
      <c r="N14" s="1"/>
    </row>
    <row r="15" spans="1:14" x14ac:dyDescent="0.3">
      <c r="C15" s="1"/>
      <c r="E15" s="701" t="s">
        <v>26</v>
      </c>
      <c r="F15" s="736">
        <f>F16*F14</f>
        <v>0</v>
      </c>
      <c r="G15" s="1"/>
      <c r="H15" s="70" t="s">
        <v>33</v>
      </c>
      <c r="I15" s="73">
        <f>I14/12</f>
        <v>327.74547666666666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02" t="s">
        <v>216</v>
      </c>
      <c r="F16" s="703">
        <f>I23</f>
        <v>3626.1633585264603</v>
      </c>
      <c r="G16" s="1"/>
      <c r="H16" s="275" t="s">
        <v>112</v>
      </c>
      <c r="I16" s="276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698" t="s">
        <v>209</v>
      </c>
      <c r="F17" s="651">
        <v>2000000</v>
      </c>
      <c r="G17" s="76"/>
      <c r="H17" s="281" t="s">
        <v>246</v>
      </c>
      <c r="I17" s="283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699" t="s">
        <v>313</v>
      </c>
      <c r="F18" s="651">
        <v>0</v>
      </c>
      <c r="G18" s="76"/>
      <c r="H18" s="277" t="s">
        <v>36</v>
      </c>
      <c r="I18" s="278">
        <f>'Calculating offering price'!C32</f>
        <v>1500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1" t="s">
        <v>114</v>
      </c>
      <c r="F19" s="372">
        <f>F11+F13+F15+F10</f>
        <v>208200</v>
      </c>
      <c r="G19" s="76"/>
      <c r="H19" s="77" t="s">
        <v>37</v>
      </c>
      <c r="I19" s="75">
        <f>'Calculating offering price'!C33</f>
        <v>1571.1435294117646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208200</v>
      </c>
      <c r="G20" s="76"/>
      <c r="H20" s="80" t="s">
        <v>39</v>
      </c>
      <c r="I20" s="81">
        <f>'Calculating offering price'!C34</f>
        <v>907</v>
      </c>
      <c r="J20" s="76"/>
      <c r="K20" s="76"/>
      <c r="L20" s="76"/>
      <c r="M20" s="76"/>
      <c r="N20" s="78"/>
    </row>
    <row r="21" spans="1:14" s="79" customFormat="1" ht="21.6" thickBot="1" x14ac:dyDescent="0.35">
      <c r="A21" s="76"/>
      <c r="B21" s="1"/>
      <c r="C21" s="76"/>
      <c r="D21" s="76"/>
      <c r="E21" s="197" t="s">
        <v>116</v>
      </c>
      <c r="F21" s="197"/>
      <c r="G21" s="76"/>
      <c r="H21" s="82" t="s">
        <v>40</v>
      </c>
      <c r="I21" s="83">
        <f>I20*12</f>
        <v>10884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964" t="s">
        <v>117</v>
      </c>
      <c r="F22" s="965"/>
      <c r="G22" s="76"/>
      <c r="H22" s="84" t="s">
        <v>41</v>
      </c>
      <c r="I22" s="85">
        <f>I13+I14+I16+I18+I19+I21+I17</f>
        <v>43513.960302317522</v>
      </c>
      <c r="J22" s="76"/>
      <c r="K22" s="76"/>
      <c r="L22" s="76"/>
      <c r="M22" s="76"/>
      <c r="N22" s="86"/>
    </row>
    <row r="23" spans="1:14" ht="16.2" thickBot="1" x14ac:dyDescent="0.35">
      <c r="C23" s="1"/>
      <c r="E23" s="93" t="s">
        <v>118</v>
      </c>
      <c r="F23" s="94">
        <f>'Calculating offering price'!C57</f>
        <v>5300</v>
      </c>
      <c r="G23" s="1"/>
      <c r="H23" s="87" t="s">
        <v>42</v>
      </c>
      <c r="I23" s="88">
        <f>I22/12</f>
        <v>3626.1633585264603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63600</v>
      </c>
      <c r="G24" s="90"/>
      <c r="H24" s="268" t="s">
        <v>225</v>
      </c>
      <c r="I24" s="788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697">
        <v>0</v>
      </c>
      <c r="G25" s="90"/>
      <c r="H25" s="52"/>
      <c r="I25" s="1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2" t="s">
        <v>240</v>
      </c>
      <c r="F27" s="100">
        <f>F24-F26</f>
        <v>63600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962" t="s">
        <v>187</v>
      </c>
      <c r="F28" s="963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2135.4892544088129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25625.871052905757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955" t="s">
        <v>239</v>
      </c>
      <c r="F31" s="956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739">
        <f>I14</f>
        <v>3932.9457199999997</v>
      </c>
      <c r="G32" s="1"/>
      <c r="H32" s="1"/>
      <c r="I32" s="1"/>
      <c r="J32" s="1"/>
      <c r="K32" s="1"/>
      <c r="L32" s="1"/>
      <c r="M32" s="1"/>
      <c r="N32" s="1"/>
    </row>
    <row r="33" spans="3:14" x14ac:dyDescent="0.3">
      <c r="C33" s="1"/>
      <c r="E33" s="738" t="s">
        <v>125</v>
      </c>
      <c r="F33" s="741">
        <f>F23*8%</f>
        <v>424</v>
      </c>
      <c r="G33" s="1"/>
      <c r="H33" s="1"/>
      <c r="I33" s="1"/>
      <c r="J33" s="1"/>
      <c r="K33" s="1"/>
      <c r="L33" s="1"/>
      <c r="M33" s="1"/>
      <c r="N33" s="1"/>
    </row>
    <row r="34" spans="3:14" x14ac:dyDescent="0.3">
      <c r="C34" s="1"/>
      <c r="E34" s="107" t="s">
        <v>126</v>
      </c>
      <c r="F34" s="740">
        <f>F33*12</f>
        <v>5088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1571.1435294117646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907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10884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1500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651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651">
        <v>0</v>
      </c>
      <c r="G40" s="1"/>
      <c r="H40" s="52"/>
      <c r="I40" s="1"/>
      <c r="J40" s="1"/>
      <c r="K40" s="1"/>
      <c r="L40" s="1"/>
      <c r="M40" s="1"/>
      <c r="N40" s="1"/>
    </row>
    <row r="41" spans="3:14" ht="48" thickTop="1" thickBot="1" x14ac:dyDescent="0.35">
      <c r="C41" s="1"/>
      <c r="E41" s="107" t="s">
        <v>132</v>
      </c>
      <c r="F41" s="924">
        <f>F27*H41</f>
        <v>3180</v>
      </c>
      <c r="G41" s="925" t="s">
        <v>531</v>
      </c>
      <c r="H41" s="933">
        <v>0.05</v>
      </c>
      <c r="I41" s="1"/>
      <c r="J41" s="1"/>
      <c r="K41" s="1"/>
      <c r="L41" s="1"/>
      <c r="M41" s="1"/>
      <c r="N41" s="1"/>
    </row>
    <row r="42" spans="3:14" ht="16.8" thickTop="1" thickBot="1" x14ac:dyDescent="0.35">
      <c r="C42" s="1"/>
      <c r="E42" s="107" t="s">
        <v>133</v>
      </c>
      <c r="F42" s="926">
        <v>0</v>
      </c>
      <c r="G42" s="1"/>
      <c r="H42" s="932" t="s">
        <v>539</v>
      </c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651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3" t="s">
        <v>241</v>
      </c>
      <c r="F44" s="274">
        <f>F32+F34+F35+F37+F38+F39+F40+F41+F42+F43</f>
        <v>26156.089249411765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9" t="s">
        <v>135</v>
      </c>
      <c r="F45" s="230">
        <f>F27-F44</f>
        <v>37443.910750588235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1" t="s">
        <v>138</v>
      </c>
      <c r="F46" s="232">
        <f>F30</f>
        <v>25625.871052905757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3">
        <f>F45-F46</f>
        <v>11818.039697682478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984.83664147353977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136000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7"/>
      <c r="H96" s="128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7"/>
      <c r="H97" s="128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8"/>
      <c r="E148" s="158"/>
      <c r="F148" s="159"/>
      <c r="G148" s="158"/>
      <c r="H148" s="160"/>
      <c r="I148" s="158"/>
      <c r="J148" s="158"/>
      <c r="K148" s="158"/>
    </row>
    <row r="149" spans="3:11" hidden="1" x14ac:dyDescent="0.3">
      <c r="C149" s="158"/>
      <c r="E149" s="158"/>
      <c r="F149" s="159"/>
      <c r="G149" s="158"/>
      <c r="H149" s="160"/>
      <c r="I149" s="158"/>
      <c r="J149" s="158"/>
      <c r="K149" s="158"/>
    </row>
    <row r="150" spans="3:11" hidden="1" x14ac:dyDescent="0.3">
      <c r="C150" s="158"/>
      <c r="E150" s="158"/>
      <c r="F150" s="159"/>
      <c r="G150" s="158"/>
      <c r="H150" s="160"/>
      <c r="I150" s="158"/>
      <c r="J150" s="158"/>
      <c r="K150" s="158"/>
    </row>
    <row r="151" spans="3:11" hidden="1" x14ac:dyDescent="0.3">
      <c r="C151" s="158"/>
      <c r="E151" s="158"/>
      <c r="F151" s="159"/>
      <c r="G151" s="158"/>
      <c r="H151" s="160"/>
      <c r="I151" s="158"/>
      <c r="J151" s="158"/>
      <c r="K151" s="158"/>
    </row>
    <row r="152" spans="3:11" hidden="1" x14ac:dyDescent="0.3">
      <c r="C152" s="158"/>
      <c r="E152" s="158"/>
      <c r="F152" s="159"/>
      <c r="G152" s="158"/>
      <c r="H152" s="160"/>
      <c r="I152" s="158"/>
      <c r="J152" s="158"/>
      <c r="K152" s="158"/>
    </row>
    <row r="153" spans="3:11" hidden="1" x14ac:dyDescent="0.3">
      <c r="C153" s="158"/>
      <c r="E153" s="158"/>
      <c r="F153" s="159"/>
      <c r="G153" s="158"/>
      <c r="H153" s="160"/>
      <c r="I153" s="158"/>
      <c r="J153" s="158"/>
      <c r="K153" s="158"/>
    </row>
    <row r="154" spans="3:11" hidden="1" x14ac:dyDescent="0.3">
      <c r="C154" s="158"/>
      <c r="E154" s="158"/>
      <c r="F154" s="159"/>
      <c r="G154" s="158"/>
      <c r="H154" s="160"/>
      <c r="I154" s="158"/>
      <c r="J154" s="158"/>
      <c r="K154" s="158"/>
    </row>
    <row r="155" spans="3:11" hidden="1" x14ac:dyDescent="0.3">
      <c r="C155" s="158"/>
      <c r="E155" s="158"/>
      <c r="F155" s="159"/>
      <c r="G155" s="158"/>
      <c r="H155" s="160"/>
      <c r="I155" s="158"/>
      <c r="J155" s="158"/>
      <c r="K155" s="158"/>
    </row>
    <row r="156" spans="3:11" hidden="1" x14ac:dyDescent="0.3">
      <c r="C156" s="158"/>
      <c r="E156" s="158"/>
      <c r="F156" s="159"/>
      <c r="G156" s="158"/>
      <c r="H156" s="160"/>
      <c r="I156" s="158"/>
      <c r="J156" s="158"/>
      <c r="K156" s="158"/>
    </row>
    <row r="157" spans="3:11" hidden="1" x14ac:dyDescent="0.3">
      <c r="C157" s="158"/>
      <c r="E157" s="158"/>
      <c r="F157" s="159"/>
      <c r="G157" s="158"/>
      <c r="H157" s="160"/>
      <c r="I157" s="158"/>
      <c r="J157" s="158"/>
      <c r="K157" s="158"/>
    </row>
    <row r="158" spans="3:11" hidden="1" x14ac:dyDescent="0.3">
      <c r="C158" s="158"/>
      <c r="E158" s="158"/>
      <c r="F158" s="159"/>
      <c r="G158" s="158"/>
      <c r="H158" s="160"/>
      <c r="I158" s="158"/>
      <c r="J158" s="158"/>
      <c r="K158" s="158"/>
    </row>
    <row r="159" spans="3:11" hidden="1" x14ac:dyDescent="0.3">
      <c r="C159" s="158"/>
      <c r="E159" s="158"/>
      <c r="F159" s="159"/>
      <c r="G159" s="158"/>
      <c r="H159" s="160"/>
      <c r="I159" s="158"/>
      <c r="J159" s="158"/>
      <c r="K159" s="158"/>
    </row>
    <row r="160" spans="3:11" hidden="1" x14ac:dyDescent="0.3">
      <c r="C160" s="158"/>
      <c r="E160" s="158"/>
      <c r="F160" s="159"/>
      <c r="G160" s="158"/>
      <c r="H160" s="160"/>
      <c r="I160" s="158"/>
      <c r="J160" s="158"/>
      <c r="K160" s="158"/>
    </row>
    <row r="161" spans="3:11" hidden="1" x14ac:dyDescent="0.3">
      <c r="C161" s="158"/>
      <c r="E161" s="158"/>
      <c r="F161" s="159"/>
      <c r="G161" s="158"/>
      <c r="H161" s="160"/>
      <c r="I161" s="158"/>
      <c r="J161" s="158"/>
      <c r="K161" s="158"/>
    </row>
    <row r="162" spans="3:11" hidden="1" x14ac:dyDescent="0.3">
      <c r="C162" s="158"/>
      <c r="E162" s="158"/>
      <c r="F162" s="159"/>
      <c r="G162" s="158"/>
      <c r="H162" s="160"/>
      <c r="I162" s="158"/>
      <c r="J162" s="158"/>
      <c r="K162" s="158"/>
    </row>
    <row r="163" spans="3:11" hidden="1" x14ac:dyDescent="0.3">
      <c r="C163" s="158"/>
      <c r="E163" s="158"/>
      <c r="F163" s="159"/>
      <c r="G163" s="158"/>
      <c r="H163" s="160"/>
      <c r="I163" s="158"/>
      <c r="J163" s="158"/>
      <c r="K163" s="158"/>
    </row>
    <row r="164" spans="3:11" hidden="1" x14ac:dyDescent="0.3">
      <c r="C164" s="158"/>
      <c r="E164" s="158"/>
      <c r="F164" s="159"/>
      <c r="G164" s="158"/>
      <c r="H164" s="160"/>
      <c r="I164" s="158"/>
      <c r="J164" s="158"/>
      <c r="K164" s="158"/>
    </row>
    <row r="165" spans="3:11" hidden="1" x14ac:dyDescent="0.3">
      <c r="C165" s="158"/>
      <c r="E165" s="158"/>
      <c r="F165" s="159"/>
      <c r="G165" s="158"/>
      <c r="H165" s="160"/>
      <c r="I165" s="158"/>
      <c r="J165" s="158"/>
      <c r="K165" s="158"/>
    </row>
    <row r="166" spans="3:11" hidden="1" x14ac:dyDescent="0.3">
      <c r="C166" s="158"/>
      <c r="E166" s="158"/>
      <c r="F166" s="159"/>
      <c r="G166" s="158"/>
      <c r="H166" s="160"/>
      <c r="I166" s="158"/>
      <c r="J166" s="158"/>
      <c r="K166" s="158"/>
    </row>
    <row r="167" spans="3:11" hidden="1" x14ac:dyDescent="0.3">
      <c r="C167" s="158"/>
      <c r="E167" s="158"/>
      <c r="F167" s="159"/>
      <c r="G167" s="158"/>
      <c r="H167" s="160"/>
      <c r="I167" s="158"/>
      <c r="J167" s="158"/>
      <c r="K167" s="158"/>
    </row>
    <row r="168" spans="3:11" hidden="1" x14ac:dyDescent="0.3">
      <c r="C168" s="158"/>
      <c r="E168" s="158"/>
      <c r="F168" s="159"/>
      <c r="G168" s="158"/>
      <c r="H168" s="160"/>
      <c r="I168" s="158"/>
      <c r="J168" s="158"/>
      <c r="K168" s="158"/>
    </row>
    <row r="169" spans="3:11" hidden="1" x14ac:dyDescent="0.3">
      <c r="C169" s="158"/>
      <c r="E169" s="158"/>
      <c r="F169" s="159"/>
      <c r="G169" s="158"/>
      <c r="H169" s="160"/>
      <c r="I169" s="158"/>
      <c r="J169" s="158"/>
      <c r="K169" s="158"/>
    </row>
    <row r="170" spans="3:11" hidden="1" x14ac:dyDescent="0.3">
      <c r="C170" s="158"/>
      <c r="E170" s="158"/>
      <c r="F170" s="159"/>
      <c r="G170" s="158"/>
      <c r="H170" s="160"/>
      <c r="I170" s="158"/>
      <c r="J170" s="158"/>
      <c r="K170" s="158"/>
    </row>
    <row r="171" spans="3:11" hidden="1" x14ac:dyDescent="0.3">
      <c r="C171" s="158"/>
      <c r="E171" s="158"/>
      <c r="F171" s="159"/>
      <c r="G171" s="158"/>
      <c r="H171" s="160"/>
      <c r="I171" s="158"/>
      <c r="J171" s="158"/>
      <c r="K171" s="158"/>
    </row>
    <row r="172" spans="3:11" hidden="1" x14ac:dyDescent="0.3">
      <c r="C172" s="158"/>
      <c r="E172" s="158"/>
      <c r="F172" s="159"/>
      <c r="G172" s="158"/>
      <c r="H172" s="160"/>
      <c r="I172" s="158"/>
      <c r="J172" s="158"/>
      <c r="K172" s="158"/>
    </row>
    <row r="173" spans="3:11" hidden="1" x14ac:dyDescent="0.3">
      <c r="C173" s="158"/>
      <c r="E173" s="158"/>
      <c r="F173" s="159"/>
      <c r="G173" s="158"/>
      <c r="H173" s="160"/>
      <c r="I173" s="158"/>
      <c r="J173" s="158"/>
      <c r="K173" s="158"/>
    </row>
    <row r="174" spans="3:11" hidden="1" x14ac:dyDescent="0.3">
      <c r="C174" s="158"/>
      <c r="E174" s="158"/>
      <c r="F174" s="159"/>
      <c r="G174" s="158"/>
      <c r="H174" s="160"/>
      <c r="I174" s="158"/>
      <c r="J174" s="158"/>
      <c r="K174" s="158"/>
    </row>
    <row r="175" spans="3:11" hidden="1" x14ac:dyDescent="0.3">
      <c r="C175" s="158"/>
      <c r="E175" s="158"/>
      <c r="F175" s="159"/>
      <c r="G175" s="158"/>
      <c r="H175" s="160"/>
      <c r="I175" s="158"/>
      <c r="J175" s="158"/>
      <c r="K175" s="158"/>
    </row>
    <row r="176" spans="3:11" hidden="1" x14ac:dyDescent="0.3">
      <c r="C176" s="158"/>
      <c r="E176" s="158"/>
      <c r="F176" s="159"/>
      <c r="G176" s="158"/>
      <c r="H176" s="160"/>
      <c r="I176" s="158"/>
      <c r="J176" s="158"/>
      <c r="K176" s="158"/>
    </row>
    <row r="177" spans="3:11" hidden="1" x14ac:dyDescent="0.3">
      <c r="C177" s="158"/>
      <c r="E177" s="158"/>
      <c r="F177" s="159"/>
      <c r="G177" s="158"/>
      <c r="H177" s="160"/>
      <c r="I177" s="158"/>
      <c r="J177" s="158"/>
      <c r="K177" s="158"/>
    </row>
    <row r="178" spans="3:11" hidden="1" x14ac:dyDescent="0.3">
      <c r="C178" s="158"/>
      <c r="E178" s="158"/>
      <c r="F178" s="159"/>
      <c r="G178" s="158"/>
      <c r="H178" s="160"/>
      <c r="I178" s="158"/>
      <c r="J178" s="158"/>
      <c r="K178" s="158"/>
    </row>
    <row r="179" spans="3:11" hidden="1" x14ac:dyDescent="0.3">
      <c r="C179" s="158"/>
      <c r="E179" s="158"/>
      <c r="F179" s="159"/>
      <c r="G179" s="158"/>
      <c r="H179" s="160"/>
      <c r="I179" s="158"/>
      <c r="J179" s="158"/>
      <c r="K179" s="158"/>
    </row>
    <row r="180" spans="3:11" hidden="1" x14ac:dyDescent="0.3">
      <c r="C180" s="158"/>
      <c r="E180" s="158"/>
      <c r="F180" s="159"/>
      <c r="G180" s="158"/>
      <c r="H180" s="160"/>
      <c r="I180" s="158"/>
      <c r="J180" s="158"/>
      <c r="K180" s="158"/>
    </row>
    <row r="181" spans="3:11" hidden="1" x14ac:dyDescent="0.3">
      <c r="C181" s="158"/>
      <c r="E181" s="158"/>
      <c r="F181" s="159"/>
      <c r="G181" s="158"/>
      <c r="H181" s="160"/>
      <c r="I181" s="158"/>
      <c r="J181" s="158"/>
      <c r="K181" s="158"/>
    </row>
    <row r="182" spans="3:11" hidden="1" x14ac:dyDescent="0.3">
      <c r="C182" s="158"/>
      <c r="E182" s="158"/>
      <c r="F182" s="159"/>
      <c r="G182" s="158"/>
      <c r="H182" s="160"/>
      <c r="I182" s="158"/>
      <c r="J182" s="158"/>
      <c r="K182" s="158"/>
    </row>
    <row r="183" spans="3:11" hidden="1" x14ac:dyDescent="0.3">
      <c r="C183" s="158"/>
      <c r="E183" s="158"/>
      <c r="F183" s="159"/>
      <c r="G183" s="158"/>
      <c r="H183" s="160"/>
      <c r="I183" s="158"/>
      <c r="J183" s="158"/>
      <c r="K183" s="158"/>
    </row>
    <row r="184" spans="3:11" hidden="1" x14ac:dyDescent="0.3">
      <c r="C184" s="158"/>
      <c r="E184" s="158"/>
      <c r="F184" s="159"/>
      <c r="G184" s="158"/>
      <c r="H184" s="160"/>
      <c r="I184" s="158"/>
      <c r="J184" s="158"/>
      <c r="K184" s="158"/>
    </row>
    <row r="185" spans="3:11" hidden="1" x14ac:dyDescent="0.3">
      <c r="C185" s="158"/>
      <c r="E185" s="158"/>
      <c r="F185" s="159"/>
      <c r="G185" s="158"/>
      <c r="H185" s="160"/>
      <c r="I185" s="158"/>
      <c r="J185" s="158"/>
      <c r="K185" s="158"/>
    </row>
    <row r="186" spans="3:11" hidden="1" x14ac:dyDescent="0.3">
      <c r="C186" s="158"/>
      <c r="E186" s="158"/>
      <c r="F186" s="159"/>
      <c r="G186" s="158"/>
      <c r="H186" s="160"/>
      <c r="I186" s="158"/>
      <c r="J186" s="158"/>
      <c r="K186" s="158"/>
    </row>
    <row r="187" spans="3:11" hidden="1" x14ac:dyDescent="0.3">
      <c r="C187" s="158"/>
      <c r="E187" s="158"/>
      <c r="F187" s="159"/>
      <c r="G187" s="158"/>
      <c r="H187" s="160"/>
      <c r="I187" s="158"/>
      <c r="J187" s="158"/>
      <c r="K187" s="158"/>
    </row>
    <row r="188" spans="3:11" hidden="1" x14ac:dyDescent="0.3">
      <c r="C188" s="158"/>
      <c r="E188" s="158"/>
      <c r="F188" s="159"/>
      <c r="G188" s="158"/>
      <c r="H188" s="160"/>
      <c r="I188" s="158"/>
      <c r="J188" s="158"/>
      <c r="K188" s="158"/>
    </row>
    <row r="189" spans="3:11" hidden="1" x14ac:dyDescent="0.3">
      <c r="C189" s="158"/>
      <c r="E189" s="158"/>
      <c r="F189" s="159"/>
      <c r="G189" s="158"/>
      <c r="H189" s="160"/>
      <c r="I189" s="158"/>
      <c r="J189" s="158"/>
      <c r="K189" s="158"/>
    </row>
    <row r="190" spans="3:11" hidden="1" x14ac:dyDescent="0.3">
      <c r="C190" s="158"/>
      <c r="E190" s="158"/>
      <c r="F190" s="159"/>
      <c r="G190" s="158"/>
      <c r="H190" s="160"/>
      <c r="I190" s="158"/>
      <c r="J190" s="158"/>
      <c r="K190" s="158"/>
    </row>
    <row r="191" spans="3:11" hidden="1" x14ac:dyDescent="0.3">
      <c r="C191" s="158"/>
      <c r="E191" s="158"/>
      <c r="F191" s="159"/>
      <c r="G191" s="158"/>
      <c r="H191" s="160"/>
      <c r="I191" s="158"/>
      <c r="J191" s="158"/>
      <c r="K191" s="158"/>
    </row>
    <row r="192" spans="3:11" hidden="1" x14ac:dyDescent="0.3">
      <c r="C192" s="158"/>
      <c r="E192" s="158"/>
      <c r="F192" s="159"/>
      <c r="G192" s="158"/>
      <c r="H192" s="160"/>
      <c r="I192" s="158"/>
      <c r="J192" s="158"/>
      <c r="K192" s="158"/>
    </row>
    <row r="193" spans="3:11" hidden="1" x14ac:dyDescent="0.3">
      <c r="C193" s="158"/>
      <c r="E193" s="158"/>
      <c r="F193" s="159"/>
      <c r="G193" s="158"/>
      <c r="H193" s="160"/>
      <c r="I193" s="158"/>
      <c r="J193" s="158"/>
      <c r="K193" s="158"/>
    </row>
    <row r="194" spans="3:11" hidden="1" x14ac:dyDescent="0.3">
      <c r="C194" s="158"/>
      <c r="E194" s="158"/>
      <c r="F194" s="159"/>
      <c r="G194" s="158"/>
      <c r="H194" s="160"/>
      <c r="I194" s="158"/>
      <c r="J194" s="158"/>
      <c r="K194" s="158"/>
    </row>
    <row r="195" spans="3:11" hidden="1" x14ac:dyDescent="0.3">
      <c r="C195" s="158"/>
      <c r="E195" s="158"/>
      <c r="F195" s="159"/>
      <c r="G195" s="158"/>
      <c r="H195" s="160"/>
      <c r="I195" s="158"/>
      <c r="J195" s="158"/>
      <c r="K195" s="158"/>
    </row>
    <row r="196" spans="3:11" hidden="1" x14ac:dyDescent="0.3">
      <c r="C196" s="158"/>
      <c r="E196" s="158"/>
      <c r="F196" s="159"/>
      <c r="G196" s="158"/>
      <c r="H196" s="160"/>
      <c r="I196" s="158"/>
      <c r="J196" s="158"/>
      <c r="K196" s="158"/>
    </row>
    <row r="197" spans="3:11" hidden="1" x14ac:dyDescent="0.3">
      <c r="C197" s="158"/>
      <c r="E197" s="158"/>
      <c r="F197" s="159"/>
      <c r="G197" s="158"/>
      <c r="H197" s="160"/>
      <c r="I197" s="158"/>
      <c r="J197" s="158"/>
      <c r="K197" s="158"/>
    </row>
    <row r="198" spans="3:11" hidden="1" x14ac:dyDescent="0.3">
      <c r="C198" s="158"/>
      <c r="E198" s="158"/>
      <c r="F198" s="159"/>
      <c r="G198" s="158"/>
      <c r="H198" s="160"/>
      <c r="I198" s="158"/>
      <c r="J198" s="158"/>
      <c r="K198" s="158"/>
    </row>
    <row r="199" spans="3:11" hidden="1" x14ac:dyDescent="0.3">
      <c r="C199" s="158"/>
      <c r="E199" s="158"/>
      <c r="F199" s="159"/>
      <c r="G199" s="158"/>
      <c r="H199" s="160"/>
      <c r="I199" s="158"/>
      <c r="J199" s="158"/>
      <c r="K199" s="158"/>
    </row>
    <row r="200" spans="3:11" hidden="1" x14ac:dyDescent="0.3">
      <c r="C200" s="158"/>
      <c r="E200" s="158"/>
      <c r="F200" s="159"/>
      <c r="G200" s="158"/>
      <c r="H200" s="160"/>
      <c r="I200" s="158"/>
      <c r="J200" s="158"/>
      <c r="K200" s="158"/>
    </row>
    <row r="201" spans="3:11" hidden="1" x14ac:dyDescent="0.3">
      <c r="C201" s="158"/>
      <c r="E201" s="158"/>
      <c r="F201" s="159"/>
      <c r="G201" s="158"/>
      <c r="H201" s="160"/>
      <c r="I201" s="158"/>
      <c r="J201" s="158"/>
      <c r="K201" s="158"/>
    </row>
    <row r="202" spans="3:11" hidden="1" x14ac:dyDescent="0.3">
      <c r="C202" s="158"/>
      <c r="E202" s="158"/>
      <c r="F202" s="159"/>
      <c r="G202" s="158"/>
      <c r="H202" s="160"/>
      <c r="I202" s="158"/>
      <c r="J202" s="158"/>
      <c r="K202" s="158"/>
    </row>
    <row r="203" spans="3:11" hidden="1" x14ac:dyDescent="0.3">
      <c r="C203" s="158"/>
      <c r="E203" s="158"/>
      <c r="F203" s="159"/>
      <c r="G203" s="158"/>
      <c r="H203" s="160"/>
      <c r="I203" s="158"/>
      <c r="J203" s="158"/>
      <c r="K203" s="158"/>
    </row>
    <row r="204" spans="3:11" hidden="1" x14ac:dyDescent="0.3">
      <c r="C204" s="158"/>
      <c r="E204" s="158"/>
      <c r="F204" s="159"/>
      <c r="G204" s="158"/>
      <c r="H204" s="160"/>
      <c r="I204" s="158"/>
      <c r="J204" s="158"/>
      <c r="K204" s="158"/>
    </row>
    <row r="205" spans="3:11" hidden="1" x14ac:dyDescent="0.3">
      <c r="C205" s="158"/>
      <c r="E205" s="158"/>
      <c r="F205" s="159"/>
      <c r="G205" s="158"/>
      <c r="H205" s="160"/>
      <c r="I205" s="158"/>
      <c r="J205" s="158"/>
      <c r="K205" s="158"/>
    </row>
    <row r="206" spans="3:11" hidden="1" x14ac:dyDescent="0.3">
      <c r="C206" s="158"/>
      <c r="E206" s="158"/>
      <c r="F206" s="159"/>
      <c r="G206" s="158"/>
      <c r="H206" s="160"/>
      <c r="I206" s="158"/>
      <c r="J206" s="158"/>
      <c r="K206" s="158"/>
    </row>
    <row r="207" spans="3:11" hidden="1" x14ac:dyDescent="0.3">
      <c r="C207" s="158"/>
      <c r="E207" s="158"/>
      <c r="F207" s="159"/>
      <c r="G207" s="158"/>
      <c r="H207" s="160"/>
      <c r="I207" s="158"/>
      <c r="J207" s="158"/>
      <c r="K207" s="158"/>
    </row>
    <row r="208" spans="3:11" hidden="1" x14ac:dyDescent="0.3">
      <c r="C208" s="158"/>
      <c r="E208" s="158"/>
      <c r="F208" s="159"/>
      <c r="G208" s="158"/>
      <c r="H208" s="160"/>
      <c r="I208" s="158"/>
      <c r="J208" s="158"/>
      <c r="K208" s="158"/>
    </row>
    <row r="209" spans="3:11" hidden="1" x14ac:dyDescent="0.3">
      <c r="C209" s="158"/>
      <c r="E209" s="158"/>
      <c r="F209" s="159"/>
      <c r="G209" s="158"/>
      <c r="H209" s="160"/>
      <c r="I209" s="158"/>
      <c r="J209" s="158"/>
      <c r="K209" s="158"/>
    </row>
    <row r="210" spans="3:11" hidden="1" x14ac:dyDescent="0.3">
      <c r="C210" s="158"/>
      <c r="E210" s="158"/>
      <c r="F210" s="159"/>
      <c r="G210" s="158"/>
      <c r="H210" s="160"/>
      <c r="I210" s="158"/>
      <c r="J210" s="158"/>
      <c r="K210" s="158"/>
    </row>
    <row r="211" spans="3:11" hidden="1" x14ac:dyDescent="0.3">
      <c r="C211" s="158"/>
      <c r="E211" s="158"/>
      <c r="F211" s="159"/>
      <c r="G211" s="158"/>
      <c r="H211" s="160"/>
      <c r="I211" s="158"/>
      <c r="J211" s="158"/>
      <c r="K211" s="158"/>
    </row>
    <row r="212" spans="3:11" hidden="1" x14ac:dyDescent="0.3">
      <c r="C212" s="158"/>
      <c r="E212" s="158"/>
      <c r="F212" s="159"/>
      <c r="G212" s="158"/>
      <c r="H212" s="160"/>
      <c r="I212" s="158"/>
      <c r="J212" s="158"/>
      <c r="K212" s="158"/>
    </row>
    <row r="213" spans="3:11" hidden="1" x14ac:dyDescent="0.3">
      <c r="C213" s="158"/>
      <c r="E213" s="158"/>
      <c r="F213" s="159"/>
      <c r="G213" s="158"/>
      <c r="H213" s="160"/>
      <c r="I213" s="158"/>
      <c r="J213" s="158"/>
      <c r="K213" s="158"/>
    </row>
    <row r="214" spans="3:11" hidden="1" x14ac:dyDescent="0.3">
      <c r="C214" s="158"/>
      <c r="E214" s="158"/>
      <c r="F214" s="159"/>
      <c r="G214" s="158"/>
      <c r="H214" s="160"/>
      <c r="I214" s="158"/>
      <c r="J214" s="158"/>
      <c r="K214" s="158"/>
    </row>
    <row r="215" spans="3:11" hidden="1" x14ac:dyDescent="0.3">
      <c r="C215" s="158"/>
      <c r="E215" s="158"/>
      <c r="F215" s="159"/>
      <c r="G215" s="158"/>
      <c r="H215" s="160"/>
      <c r="I215" s="158"/>
      <c r="J215" s="158"/>
      <c r="K215" s="158"/>
    </row>
    <row r="216" spans="3:11" hidden="1" x14ac:dyDescent="0.3">
      <c r="C216" s="158"/>
      <c r="E216" s="158"/>
      <c r="F216" s="159"/>
      <c r="G216" s="158"/>
      <c r="H216" s="160"/>
      <c r="I216" s="158"/>
      <c r="J216" s="158"/>
      <c r="K216" s="158"/>
    </row>
    <row r="217" spans="3:11" hidden="1" x14ac:dyDescent="0.3">
      <c r="C217" s="158"/>
      <c r="E217" s="158"/>
      <c r="F217" s="159"/>
      <c r="G217" s="158"/>
      <c r="H217" s="160"/>
      <c r="I217" s="158"/>
      <c r="J217" s="158"/>
      <c r="K217" s="158"/>
    </row>
    <row r="218" spans="3:11" hidden="1" x14ac:dyDescent="0.3">
      <c r="C218" s="158"/>
      <c r="E218" s="158"/>
      <c r="F218" s="159"/>
      <c r="G218" s="158"/>
      <c r="H218" s="160"/>
      <c r="I218" s="158"/>
      <c r="J218" s="158"/>
      <c r="K218" s="158"/>
    </row>
    <row r="219" spans="3:11" hidden="1" x14ac:dyDescent="0.3">
      <c r="C219" s="158"/>
      <c r="E219" s="158"/>
      <c r="F219" s="159"/>
      <c r="G219" s="158"/>
      <c r="H219" s="160"/>
      <c r="I219" s="158"/>
      <c r="J219" s="158"/>
      <c r="K219" s="158"/>
    </row>
    <row r="220" spans="3:11" hidden="1" x14ac:dyDescent="0.3">
      <c r="C220" s="158"/>
      <c r="E220" s="158"/>
      <c r="F220" s="159"/>
      <c r="G220" s="158"/>
      <c r="H220" s="160"/>
      <c r="I220" s="158"/>
      <c r="J220" s="158"/>
      <c r="K220" s="158"/>
    </row>
    <row r="221" spans="3:11" hidden="1" x14ac:dyDescent="0.3">
      <c r="C221" s="158"/>
      <c r="E221" s="158"/>
      <c r="F221" s="159"/>
      <c r="G221" s="158"/>
      <c r="H221" s="160"/>
      <c r="I221" s="158"/>
      <c r="J221" s="158"/>
      <c r="K221" s="158"/>
    </row>
    <row r="222" spans="3:11" hidden="1" x14ac:dyDescent="0.3">
      <c r="C222" s="158"/>
      <c r="E222" s="158"/>
      <c r="F222" s="159"/>
      <c r="G222" s="158"/>
      <c r="H222" s="160"/>
      <c r="I222" s="158"/>
      <c r="J222" s="158"/>
      <c r="K222" s="158"/>
    </row>
    <row r="223" spans="3:11" hidden="1" x14ac:dyDescent="0.3">
      <c r="C223" s="158"/>
      <c r="E223" s="158"/>
      <c r="F223" s="159"/>
      <c r="G223" s="158"/>
      <c r="H223" s="160"/>
      <c r="I223" s="158"/>
      <c r="J223" s="158"/>
      <c r="K223" s="158"/>
    </row>
    <row r="224" spans="3:11" hidden="1" x14ac:dyDescent="0.3">
      <c r="C224" s="158"/>
      <c r="E224" s="158"/>
      <c r="F224" s="159"/>
      <c r="G224" s="158"/>
      <c r="H224" s="160"/>
      <c r="I224" s="158"/>
      <c r="J224" s="158"/>
      <c r="K224" s="158"/>
    </row>
    <row r="225" spans="3:11" hidden="1" x14ac:dyDescent="0.3">
      <c r="C225" s="158"/>
      <c r="E225" s="158"/>
      <c r="F225" s="159"/>
      <c r="G225" s="158"/>
      <c r="H225" s="160"/>
      <c r="I225" s="158"/>
      <c r="J225" s="158"/>
      <c r="K225" s="158"/>
    </row>
    <row r="226" spans="3:11" hidden="1" x14ac:dyDescent="0.3">
      <c r="C226" s="158"/>
      <c r="E226" s="158"/>
      <c r="F226" s="159"/>
      <c r="G226" s="158"/>
      <c r="H226" s="160"/>
      <c r="I226" s="158"/>
      <c r="J226" s="158"/>
      <c r="K226" s="158"/>
    </row>
    <row r="227" spans="3:11" hidden="1" x14ac:dyDescent="0.3">
      <c r="C227" s="158"/>
      <c r="E227" s="158"/>
      <c r="F227" s="159"/>
      <c r="G227" s="158"/>
      <c r="H227" s="160"/>
      <c r="I227" s="158"/>
      <c r="J227" s="158"/>
      <c r="K227" s="158"/>
    </row>
    <row r="228" spans="3:11" hidden="1" x14ac:dyDescent="0.3">
      <c r="C228" s="158"/>
      <c r="E228" s="158"/>
      <c r="F228" s="159"/>
      <c r="G228" s="158"/>
      <c r="H228" s="160"/>
      <c r="I228" s="158"/>
      <c r="J228" s="158"/>
      <c r="K228" s="158"/>
    </row>
    <row r="229" spans="3:11" hidden="1" x14ac:dyDescent="0.3">
      <c r="C229" s="158"/>
      <c r="E229" s="158"/>
      <c r="F229" s="159"/>
      <c r="G229" s="158"/>
      <c r="H229" s="160"/>
      <c r="I229" s="158"/>
      <c r="J229" s="158"/>
      <c r="K229" s="158"/>
    </row>
    <row r="230" spans="3:11" hidden="1" x14ac:dyDescent="0.3">
      <c r="C230" s="158"/>
      <c r="E230" s="158"/>
      <c r="F230" s="159"/>
      <c r="G230" s="158"/>
      <c r="H230" s="160"/>
      <c r="I230" s="158"/>
      <c r="J230" s="158"/>
      <c r="K230" s="158"/>
    </row>
    <row r="231" spans="3:11" hidden="1" x14ac:dyDescent="0.3">
      <c r="C231" s="158"/>
      <c r="E231" s="158"/>
      <c r="F231" s="159"/>
      <c r="G231" s="158"/>
      <c r="H231" s="160"/>
      <c r="I231" s="158"/>
      <c r="J231" s="158"/>
      <c r="K231" s="158"/>
    </row>
    <row r="232" spans="3:11" hidden="1" x14ac:dyDescent="0.3">
      <c r="C232" s="158"/>
      <c r="E232" s="158"/>
      <c r="F232" s="159"/>
      <c r="G232" s="158"/>
      <c r="H232" s="160"/>
      <c r="I232" s="158"/>
      <c r="J232" s="158"/>
      <c r="K232" s="158"/>
    </row>
    <row r="233" spans="3:11" hidden="1" x14ac:dyDescent="0.3">
      <c r="C233" s="158"/>
      <c r="E233" s="158"/>
      <c r="F233" s="159"/>
      <c r="G233" s="158"/>
      <c r="H233" s="160"/>
      <c r="I233" s="158"/>
      <c r="J233" s="158"/>
      <c r="K233" s="158"/>
    </row>
    <row r="234" spans="3:11" hidden="1" x14ac:dyDescent="0.3">
      <c r="C234" s="158"/>
      <c r="E234" s="158"/>
      <c r="F234" s="159"/>
      <c r="G234" s="158"/>
      <c r="H234" s="160"/>
      <c r="I234" s="158"/>
      <c r="J234" s="158"/>
      <c r="K234" s="158"/>
    </row>
    <row r="235" spans="3:11" hidden="1" x14ac:dyDescent="0.3">
      <c r="C235" s="158"/>
      <c r="E235" s="158"/>
      <c r="F235" s="159"/>
      <c r="G235" s="158"/>
      <c r="H235" s="160"/>
      <c r="I235" s="158"/>
      <c r="J235" s="158"/>
      <c r="K235" s="158"/>
    </row>
    <row r="236" spans="3:11" hidden="1" x14ac:dyDescent="0.3">
      <c r="C236" s="158"/>
      <c r="E236" s="158"/>
      <c r="F236" s="159"/>
      <c r="G236" s="158"/>
      <c r="H236" s="160"/>
      <c r="I236" s="158"/>
      <c r="J236" s="158"/>
      <c r="K236" s="158"/>
    </row>
    <row r="237" spans="3:11" hidden="1" x14ac:dyDescent="0.3">
      <c r="C237" s="158"/>
      <c r="E237" s="158"/>
      <c r="F237" s="159"/>
      <c r="G237" s="158"/>
      <c r="H237" s="160"/>
      <c r="I237" s="158"/>
      <c r="J237" s="158"/>
      <c r="K237" s="158"/>
    </row>
    <row r="238" spans="3:11" hidden="1" x14ac:dyDescent="0.3">
      <c r="C238" s="158"/>
      <c r="E238" s="158"/>
      <c r="F238" s="159"/>
      <c r="G238" s="158"/>
      <c r="H238" s="160"/>
      <c r="I238" s="158"/>
      <c r="J238" s="158"/>
      <c r="K238" s="158"/>
    </row>
    <row r="239" spans="3:11" hidden="1" x14ac:dyDescent="0.3">
      <c r="C239" s="158"/>
      <c r="E239" s="158"/>
      <c r="F239" s="159"/>
      <c r="G239" s="158"/>
      <c r="H239" s="160"/>
      <c r="I239" s="158"/>
      <c r="J239" s="158"/>
      <c r="K239" s="158"/>
    </row>
    <row r="240" spans="3:11" hidden="1" x14ac:dyDescent="0.3">
      <c r="C240" s="158"/>
      <c r="E240" s="158"/>
      <c r="F240" s="159"/>
      <c r="G240" s="158"/>
      <c r="H240" s="160"/>
      <c r="I240" s="158"/>
      <c r="J240" s="158"/>
      <c r="K240" s="158"/>
    </row>
    <row r="241" spans="3:11" hidden="1" x14ac:dyDescent="0.3">
      <c r="C241" s="158"/>
      <c r="E241" s="158"/>
      <c r="F241" s="159"/>
      <c r="G241" s="158"/>
      <c r="H241" s="160"/>
      <c r="I241" s="158"/>
      <c r="J241" s="158"/>
      <c r="K241" s="158"/>
    </row>
    <row r="242" spans="3:11" hidden="1" x14ac:dyDescent="0.3">
      <c r="C242" s="158"/>
      <c r="E242" s="158"/>
      <c r="F242" s="159"/>
      <c r="G242" s="158"/>
      <c r="H242" s="160"/>
      <c r="I242" s="158"/>
      <c r="J242" s="158"/>
      <c r="K242" s="158"/>
    </row>
    <row r="243" spans="3:11" hidden="1" x14ac:dyDescent="0.3">
      <c r="C243" s="158"/>
      <c r="E243" s="158"/>
      <c r="F243" s="159"/>
      <c r="G243" s="158"/>
      <c r="H243" s="160"/>
      <c r="I243" s="158"/>
      <c r="J243" s="158"/>
      <c r="K243" s="158"/>
    </row>
    <row r="244" spans="3:11" hidden="1" x14ac:dyDescent="0.3">
      <c r="C244" s="158"/>
      <c r="E244" s="158"/>
      <c r="F244" s="159"/>
      <c r="G244" s="158"/>
      <c r="H244" s="160"/>
      <c r="I244" s="158"/>
      <c r="J244" s="158"/>
      <c r="K244" s="158"/>
    </row>
    <row r="245" spans="3:11" hidden="1" x14ac:dyDescent="0.3">
      <c r="C245" s="158"/>
      <c r="E245" s="158"/>
      <c r="F245" s="159"/>
      <c r="G245" s="158"/>
      <c r="H245" s="160"/>
      <c r="I245" s="158"/>
      <c r="J245" s="158"/>
      <c r="K245" s="158"/>
    </row>
    <row r="246" spans="3:11" hidden="1" x14ac:dyDescent="0.3">
      <c r="C246" s="158"/>
      <c r="E246" s="158"/>
      <c r="F246" s="159"/>
      <c r="G246" s="158"/>
      <c r="H246" s="160"/>
      <c r="I246" s="158"/>
      <c r="J246" s="158"/>
      <c r="K246" s="158"/>
    </row>
    <row r="247" spans="3:11" hidden="1" x14ac:dyDescent="0.3">
      <c r="C247" s="158"/>
      <c r="E247" s="158"/>
      <c r="F247" s="159"/>
      <c r="G247" s="158"/>
      <c r="H247" s="160"/>
      <c r="I247" s="158"/>
      <c r="J247" s="158"/>
      <c r="K247" s="158"/>
    </row>
    <row r="248" spans="3:11" hidden="1" x14ac:dyDescent="0.3">
      <c r="C248" s="158"/>
      <c r="E248" s="158"/>
      <c r="F248" s="159"/>
      <c r="G248" s="158"/>
      <c r="H248" s="160"/>
      <c r="I248" s="158"/>
      <c r="J248" s="158"/>
      <c r="K248" s="158"/>
    </row>
    <row r="249" spans="3:11" hidden="1" x14ac:dyDescent="0.3">
      <c r="C249" s="158"/>
      <c r="E249" s="158"/>
      <c r="F249" s="159"/>
      <c r="G249" s="158"/>
      <c r="H249" s="160"/>
      <c r="I249" s="158"/>
      <c r="J249" s="158"/>
      <c r="K249" s="158"/>
    </row>
  </sheetData>
  <sheetProtection algorithmName="SHA-512" hashValue="+vfPfZszt3au/aQfADkbgf30u49QmN8cvCQbHT9c4t+CqzbqGHd0t3xGFwLPDwWPLAzMY9O88ZTH3zhBTprQiQ==" saltValue="rVuyo+GsJsB4DN4mUv5qww==" spinCount="100000" sheet="1" objects="1" scenarios="1"/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  <hyperlink ref="H42" location="Outputs!A1" display="Back to output" xr:uid="{BE4A8D79-D23E-4E29-A7A4-4E22357E1476}"/>
    <hyperlink ref="G2" location="Outputs!B25" display="Back to Output" xr:uid="{EF96CB3D-CE01-4DE2-955D-A3695245D10D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52"/>
  <sheetViews>
    <sheetView tabSelected="1" workbookViewId="0">
      <selection activeCell="D40" sqref="D40"/>
    </sheetView>
  </sheetViews>
  <sheetFormatPr defaultColWidth="8.77734375" defaultRowHeight="14.4" x14ac:dyDescent="0.3"/>
  <cols>
    <col min="1" max="1" width="47.44140625" style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22.33203125" style="1" customWidth="1"/>
    <col min="7" max="7" width="10.5546875" style="1" customWidth="1"/>
    <col min="8" max="16384" width="8.77734375" style="1"/>
  </cols>
  <sheetData>
    <row r="1" spans="1:43" x14ac:dyDescent="0.3">
      <c r="A1" s="626" t="s">
        <v>454</v>
      </c>
      <c r="W1" s="626" t="s">
        <v>499</v>
      </c>
      <c r="AQ1" s="626" t="s">
        <v>499</v>
      </c>
    </row>
    <row r="2" spans="1:43" ht="18" x14ac:dyDescent="0.35">
      <c r="A2" s="1024" t="s">
        <v>540</v>
      </c>
      <c r="W2" s="626"/>
      <c r="AQ2" s="626"/>
    </row>
    <row r="3" spans="1:43" ht="15.6" x14ac:dyDescent="0.3">
      <c r="A3" s="1019" t="s">
        <v>271</v>
      </c>
      <c r="B3" s="1020">
        <f>'ROI Number insert'!C3</f>
        <v>10267800</v>
      </c>
    </row>
    <row r="4" spans="1:43" ht="15.6" x14ac:dyDescent="0.3">
      <c r="A4" s="766" t="s">
        <v>272</v>
      </c>
      <c r="B4" s="422" t="str">
        <f>'ROI Number insert'!C4</f>
        <v>3601 13308 Central Avenue, Surrey</v>
      </c>
    </row>
    <row r="5" spans="1:43" ht="15.6" x14ac:dyDescent="0.3">
      <c r="A5" s="1016" t="s">
        <v>268</v>
      </c>
      <c r="B5" s="1017">
        <f ca="1">TODAY()-'ROI Number insert'!C2</f>
        <v>11</v>
      </c>
    </row>
    <row r="6" spans="1:43" ht="15.6" x14ac:dyDescent="0.3">
      <c r="A6" s="1016" t="s">
        <v>4</v>
      </c>
      <c r="B6" s="1017" t="str">
        <f>'Calculating offering price'!C3</f>
        <v>Condominium</v>
      </c>
    </row>
    <row r="7" spans="1:43" ht="15.6" x14ac:dyDescent="0.3">
      <c r="A7" s="1016" t="s">
        <v>541</v>
      </c>
      <c r="B7" s="1017">
        <f>'Calculating offering price'!C41</f>
        <v>4</v>
      </c>
    </row>
    <row r="8" spans="1:43" ht="15.6" x14ac:dyDescent="0.3">
      <c r="A8" s="1016" t="s">
        <v>542</v>
      </c>
      <c r="B8" s="1017">
        <f>'Calculating offering price'!C42</f>
        <v>3</v>
      </c>
    </row>
    <row r="9" spans="1:43" ht="15.6" x14ac:dyDescent="0.3">
      <c r="A9" s="1016" t="s">
        <v>543</v>
      </c>
      <c r="B9" s="1017">
        <f>'Calculating offering price'!C6</f>
        <v>1861</v>
      </c>
    </row>
    <row r="10" spans="1:43" ht="15.6" x14ac:dyDescent="0.3">
      <c r="A10" s="766" t="s">
        <v>5</v>
      </c>
      <c r="B10" s="127">
        <f>'Calculating offering price'!C4</f>
        <v>1588000</v>
      </c>
    </row>
    <row r="11" spans="1:43" ht="15.6" x14ac:dyDescent="0.3">
      <c r="A11" s="767" t="s">
        <v>544</v>
      </c>
      <c r="B11" s="768">
        <f>'ROI Number insert'!C5</f>
        <v>1403000</v>
      </c>
    </row>
    <row r="12" spans="1:43" ht="15.6" x14ac:dyDescent="0.3">
      <c r="A12" s="1016"/>
      <c r="B12" s="1018"/>
    </row>
    <row r="13" spans="1:43" ht="18" x14ac:dyDescent="0.35">
      <c r="A13" s="1023" t="s">
        <v>545</v>
      </c>
      <c r="B13" s="768"/>
    </row>
    <row r="14" spans="1:43" ht="15.6" x14ac:dyDescent="0.3">
      <c r="A14" s="751" t="s">
        <v>503</v>
      </c>
      <c r="B14" s="292">
        <f>'Calculating offering price'!C59</f>
        <v>516823.52941176464</v>
      </c>
    </row>
    <row r="15" spans="1:43" ht="15.6" x14ac:dyDescent="0.3">
      <c r="A15" s="751" t="s">
        <v>504</v>
      </c>
      <c r="B15" s="414">
        <f>IF(B14&lt;B10, (B14-B10)/B10, "Great Value!")</f>
        <v>-0.67454437694473268</v>
      </c>
    </row>
    <row r="16" spans="1:43" ht="15.6" x14ac:dyDescent="0.3">
      <c r="A16" s="751" t="s">
        <v>505</v>
      </c>
      <c r="B16" s="292">
        <f>'Calculating offering price'!C63</f>
        <v>10435</v>
      </c>
      <c r="C16" s="807" t="s">
        <v>513</v>
      </c>
    </row>
    <row r="17" spans="1:4" ht="15.6" x14ac:dyDescent="0.3">
      <c r="A17" s="751" t="s">
        <v>506</v>
      </c>
      <c r="B17" s="292">
        <f>'Calculating offering price'!C57</f>
        <v>5300</v>
      </c>
      <c r="C17" s="807" t="s">
        <v>514</v>
      </c>
    </row>
    <row r="18" spans="1:4" ht="15.6" x14ac:dyDescent="0.3">
      <c r="A18" s="751" t="s">
        <v>548</v>
      </c>
      <c r="B18" s="1025">
        <f>'ROI details'!H36</f>
        <v>7.0000000000000007E-2</v>
      </c>
      <c r="C18" s="807"/>
    </row>
    <row r="19" spans="1:4" ht="15.6" x14ac:dyDescent="0.3">
      <c r="A19" s="1026" t="s">
        <v>516</v>
      </c>
      <c r="B19" s="1018">
        <f>'ROI details'!H37</f>
        <v>534913.01072268898</v>
      </c>
      <c r="C19" s="626" t="s">
        <v>517</v>
      </c>
    </row>
    <row r="20" spans="1:4" ht="15.6" x14ac:dyDescent="0.3">
      <c r="A20" s="1021" t="s">
        <v>549</v>
      </c>
      <c r="B20" s="1018"/>
      <c r="C20" s="626"/>
    </row>
    <row r="21" spans="1:4" ht="15.6" x14ac:dyDescent="0.3">
      <c r="A21" s="1026" t="s">
        <v>550</v>
      </c>
      <c r="B21" s="1018"/>
      <c r="C21" s="626"/>
    </row>
    <row r="22" spans="1:4" ht="15.6" x14ac:dyDescent="0.3">
      <c r="A22" s="793" t="s">
        <v>546</v>
      </c>
      <c r="B22" s="297">
        <f>'Calculating offering price'!C14</f>
        <v>382449.41176470584</v>
      </c>
      <c r="C22" s="1" t="s">
        <v>552</v>
      </c>
    </row>
    <row r="24" spans="1:4" ht="18" x14ac:dyDescent="0.35">
      <c r="A24" s="1022" t="s">
        <v>547</v>
      </c>
    </row>
    <row r="25" spans="1:4" ht="15.6" x14ac:dyDescent="0.3">
      <c r="A25" s="767" t="s">
        <v>95</v>
      </c>
      <c r="B25" s="768">
        <f>'ROI Number insert'!F3</f>
        <v>535000</v>
      </c>
      <c r="C25" s="626" t="s">
        <v>553</v>
      </c>
    </row>
    <row r="26" spans="1:4" ht="15.6" x14ac:dyDescent="0.3">
      <c r="A26" s="177" t="s">
        <v>21</v>
      </c>
      <c r="B26" s="127">
        <f>'ROI Number insert'!F19</f>
        <v>208200</v>
      </c>
    </row>
    <row r="27" spans="1:4" x14ac:dyDescent="0.3">
      <c r="A27" s="770" t="s">
        <v>179</v>
      </c>
      <c r="B27" s="297">
        <f>'ROI Number insert'!F13</f>
        <v>0</v>
      </c>
    </row>
    <row r="28" spans="1:4" ht="15.6" x14ac:dyDescent="0.3">
      <c r="A28" s="769" t="s">
        <v>493</v>
      </c>
      <c r="B28" s="127">
        <f>SUM('ROI details'!H24:H28)</f>
        <v>555950</v>
      </c>
    </row>
    <row r="29" spans="1:4" ht="15.6" x14ac:dyDescent="0.3">
      <c r="A29" s="769" t="s">
        <v>496</v>
      </c>
      <c r="B29" s="414">
        <f>'Total Result'!C12</f>
        <v>0.81418176575970946</v>
      </c>
      <c r="C29" s="807" t="s">
        <v>512</v>
      </c>
    </row>
    <row r="30" spans="1:4" ht="15.6" x14ac:dyDescent="0.3">
      <c r="A30" s="769" t="s">
        <v>497</v>
      </c>
      <c r="B30" s="784">
        <f>'Total Result'!C13</f>
        <v>17.617134933201154</v>
      </c>
      <c r="C30" s="1" t="s">
        <v>498</v>
      </c>
      <c r="D30" s="807" t="s">
        <v>525</v>
      </c>
    </row>
    <row r="31" spans="1:4" ht="15.6" x14ac:dyDescent="0.3">
      <c r="A31" s="793" t="s">
        <v>217</v>
      </c>
      <c r="B31" s="794">
        <f>'Total Result'!C7</f>
        <v>6.9988618225398563E-2</v>
      </c>
    </row>
    <row r="32" spans="1:4" ht="15.6" x14ac:dyDescent="0.3">
      <c r="A32" s="751" t="s">
        <v>538</v>
      </c>
      <c r="B32" s="918">
        <f>'Capital Budgeting'!C26</f>
        <v>-70585.243723417661</v>
      </c>
      <c r="C32" s="919" t="s">
        <v>527</v>
      </c>
    </row>
    <row r="33" spans="1:7" ht="15.6" x14ac:dyDescent="0.3">
      <c r="A33" s="751" t="s">
        <v>521</v>
      </c>
      <c r="B33" s="414">
        <f>'Capital Budgeting'!C29</f>
        <v>-6.335357939015962E-3</v>
      </c>
      <c r="C33" s="919" t="s">
        <v>523</v>
      </c>
    </row>
    <row r="34" spans="1:7" ht="15.6" x14ac:dyDescent="0.3">
      <c r="A34" s="793" t="s">
        <v>522</v>
      </c>
      <c r="B34" s="920">
        <f>'Capital Budgeting'!C31</f>
        <v>0.66097385339376724</v>
      </c>
      <c r="C34" s="919" t="s">
        <v>524</v>
      </c>
    </row>
    <row r="35" spans="1:7" ht="15.6" x14ac:dyDescent="0.3">
      <c r="A35" s="922" t="s">
        <v>528</v>
      </c>
      <c r="B35" s="127"/>
      <c r="C35" s="626"/>
    </row>
    <row r="36" spans="1:7" ht="16.2" thickBot="1" x14ac:dyDescent="0.35">
      <c r="A36" s="922" t="s">
        <v>532</v>
      </c>
      <c r="B36" s="127">
        <f>'ROI Number insert'!F41</f>
        <v>3180</v>
      </c>
      <c r="C36" s="626"/>
    </row>
    <row r="37" spans="1:7" ht="16.8" thickTop="1" thickBot="1" x14ac:dyDescent="0.35">
      <c r="A37" s="922" t="s">
        <v>533</v>
      </c>
      <c r="B37" s="931">
        <v>10</v>
      </c>
      <c r="C37" s="626"/>
      <c r="D37" s="626" t="s">
        <v>551</v>
      </c>
    </row>
    <row r="38" spans="1:7" ht="16.8" thickTop="1" thickBot="1" x14ac:dyDescent="0.35">
      <c r="A38" s="922" t="s">
        <v>534</v>
      </c>
      <c r="B38" s="918">
        <f>_xlfn.XLOOKUP(B37, RepairMentenance!A3:A22,RepairMentenance!C3:C22)</f>
        <v>35452.915034749713</v>
      </c>
      <c r="C38" s="626"/>
    </row>
    <row r="39" spans="1:7" ht="15" thickBot="1" x14ac:dyDescent="0.35">
      <c r="B39" s="744" t="s">
        <v>483</v>
      </c>
      <c r="C39" s="745" t="s">
        <v>486</v>
      </c>
      <c r="D39" s="745" t="s">
        <v>484</v>
      </c>
      <c r="E39" s="746" t="s">
        <v>485</v>
      </c>
      <c r="F39" s="675"/>
    </row>
    <row r="40" spans="1:7" ht="16.2" thickBot="1" x14ac:dyDescent="0.35">
      <c r="A40" s="752" t="s">
        <v>487</v>
      </c>
      <c r="B40" s="747">
        <v>15</v>
      </c>
      <c r="C40" s="748" cm="1">
        <f t="array" ref="C40">INDEX('Total CF'!C3:C37,Outputs!$B$40)</f>
        <v>13905.157608254827</v>
      </c>
      <c r="D40" s="749" cm="1">
        <f t="array" ref="D40">INDEX('Total CF'!D3:D37,Outputs!$B$40)</f>
        <v>6.6787500519955939E-2</v>
      </c>
      <c r="E40" s="750" cm="1">
        <f t="array" ref="E40">INDEX('Total CF'!F3:F37,Outputs!$B$40)</f>
        <v>1158.7631340212356</v>
      </c>
    </row>
    <row r="41" spans="1:7" ht="15" thickBot="1" x14ac:dyDescent="0.35"/>
    <row r="42" spans="1:7" s="52" customFormat="1" ht="46.8" customHeight="1" thickBot="1" x14ac:dyDescent="0.35">
      <c r="B42" s="754" t="s">
        <v>490</v>
      </c>
      <c r="C42" s="755" t="s">
        <v>161</v>
      </c>
      <c r="D42" s="755" t="s">
        <v>488</v>
      </c>
      <c r="E42" s="755" t="s">
        <v>489</v>
      </c>
      <c r="F42" s="755" t="s">
        <v>445</v>
      </c>
      <c r="G42" s="756" t="s">
        <v>446</v>
      </c>
    </row>
    <row r="43" spans="1:7" ht="16.2" thickBot="1" x14ac:dyDescent="0.35">
      <c r="A43" s="762" t="s">
        <v>491</v>
      </c>
      <c r="B43" s="757">
        <v>15</v>
      </c>
      <c r="C43" s="758">
        <f>'PR Result'!C4</f>
        <v>2135.4892544088129</v>
      </c>
      <c r="D43" s="759" cm="1">
        <f t="array" ref="D43">INDEX('PR Result'!C5:C34,Outputs!B43)</f>
        <v>14371.685665936333</v>
      </c>
      <c r="E43" s="759" cm="1">
        <f t="array" ref="E43">INDEX('PR Result'!E5:E34,Outputs!$B$43)</f>
        <v>11254.185386969421</v>
      </c>
      <c r="F43" s="760" cm="1">
        <f t="array" ref="F43">INDEX('PR Result'!F5:F34,Outputs!$B$43)</f>
        <v>0.56082720607878445</v>
      </c>
      <c r="G43" s="761" cm="1">
        <f t="array" ref="G43">INDEX('PR Result'!G5:G34,Outputs!$B$43)</f>
        <v>6.9028269288839261E-2</v>
      </c>
    </row>
    <row r="44" spans="1:7" ht="16.2" thickBot="1" x14ac:dyDescent="0.35">
      <c r="A44" s="753"/>
      <c r="C44" s="771"/>
      <c r="D44" s="772"/>
      <c r="E44" s="772"/>
      <c r="F44" s="773"/>
      <c r="G44" s="773"/>
    </row>
    <row r="45" spans="1:7" s="52" customFormat="1" ht="33.6" customHeight="1" thickBot="1" x14ac:dyDescent="0.35">
      <c r="A45" s="774"/>
      <c r="B45" s="776" t="s">
        <v>494</v>
      </c>
      <c r="C45" s="777" t="s">
        <v>140</v>
      </c>
      <c r="D45" s="778" t="s">
        <v>7</v>
      </c>
      <c r="E45" s="778" t="s">
        <v>87</v>
      </c>
      <c r="F45" s="779" t="s">
        <v>446</v>
      </c>
      <c r="G45" s="775"/>
    </row>
    <row r="46" spans="1:7" ht="16.8" customHeight="1" thickBot="1" x14ac:dyDescent="0.35">
      <c r="A46" s="927" t="s">
        <v>495</v>
      </c>
      <c r="B46" s="780">
        <f>'ROI Number insert'!F6</f>
        <v>0.02</v>
      </c>
      <c r="C46" s="781">
        <v>15</v>
      </c>
      <c r="D46" s="782">
        <f>FV(B46,C46,,-B25)</f>
        <v>720039.56100340909</v>
      </c>
      <c r="E46" s="782">
        <f>D46-B25</f>
        <v>185039.56100340909</v>
      </c>
      <c r="F46" s="783">
        <f>E46/B26</f>
        <v>0.88875869838332899</v>
      </c>
    </row>
    <row r="47" spans="1:7" ht="16.2" thickBot="1" x14ac:dyDescent="0.35">
      <c r="A47" s="751"/>
      <c r="B47" s="414"/>
      <c r="F47" s="1" t="s">
        <v>556</v>
      </c>
    </row>
    <row r="48" spans="1:7" ht="15.6" x14ac:dyDescent="0.3">
      <c r="A48" s="753" t="s">
        <v>492</v>
      </c>
      <c r="B48" s="764" t="s">
        <v>141</v>
      </c>
      <c r="C48" s="765">
        <f>'Total Result'!C47</f>
        <v>5.6762918816918723E-2</v>
      </c>
      <c r="F48" s="764" t="s">
        <v>141</v>
      </c>
      <c r="G48" s="765">
        <f>_xlfn.XLOOKUP(B40, 'Total CF'!B3:B37, 'Total CF'!E3:E37)</f>
        <v>0.94877023989953924</v>
      </c>
    </row>
    <row r="49" spans="2:7" ht="15.6" x14ac:dyDescent="0.3">
      <c r="B49" s="457" t="s">
        <v>142</v>
      </c>
      <c r="C49" s="507">
        <f>'Total Result'!C48</f>
        <v>3.2017266344528339E-2</v>
      </c>
      <c r="F49" s="457" t="s">
        <v>142</v>
      </c>
      <c r="G49" s="507">
        <f>G43</f>
        <v>6.9028269288839261E-2</v>
      </c>
    </row>
    <row r="50" spans="2:7" ht="15.6" x14ac:dyDescent="0.3">
      <c r="B50" s="457" t="s">
        <v>143</v>
      </c>
      <c r="C50" s="507">
        <f>'Total Result'!C49</f>
        <v>5.139289145052834E-2</v>
      </c>
      <c r="F50" s="457" t="s">
        <v>143</v>
      </c>
      <c r="G50" s="507">
        <f>F46</f>
        <v>0.88875869838332899</v>
      </c>
    </row>
    <row r="51" spans="2:7" ht="16.2" thickBot="1" x14ac:dyDescent="0.35">
      <c r="B51" s="508" t="s">
        <v>206</v>
      </c>
      <c r="C51" s="509">
        <f>'ROI details'!H32</f>
        <v>0</v>
      </c>
      <c r="F51" s="508" t="s">
        <v>206</v>
      </c>
      <c r="G51" s="509"/>
    </row>
    <row r="52" spans="2:7" ht="16.2" thickBot="1" x14ac:dyDescent="0.35">
      <c r="B52" s="510" t="s">
        <v>449</v>
      </c>
      <c r="C52" s="511">
        <f>'Total Result'!C51</f>
        <v>0.14017307661197539</v>
      </c>
      <c r="F52" s="510" t="s">
        <v>449</v>
      </c>
      <c r="G52" s="511">
        <f>SUM(G48:G51)</f>
        <v>1.9065572075717077</v>
      </c>
    </row>
  </sheetData>
  <sheetProtection algorithmName="SHA-512" hashValue="XWzZynBkK3Q4782P99pUH4jLebAh0z3dYnVMGKbAbygJ95+cZOo+DFKOE3cWxzIqt1gdNimFuay+yhGC/ZjQkQ==" saltValue="dg0qBgjfQQJ480HGj8ftXg==" spinCount="100000" sheet="1" objects="1" scenarios="1"/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  <hyperlink ref="C19" location="'ROI details'!H36" display="Input Desired Cap Rate. Click here to jump inset cell. " xr:uid="{EBEF33C8-718E-4070-A535-219E73FDB689}"/>
    <hyperlink ref="A35" location="'Financial Statement'!A1" display="1st Year Financial Statement" xr:uid="{5E78A952-4617-4769-8DA2-3F99B854D58C}"/>
    <hyperlink ref="D37" location="'ROI Number insert'!H41" display="Change the percentage to keep M&amp;R" xr:uid="{588278D6-687D-4425-881D-A548E11D6F2F}"/>
    <hyperlink ref="C25" location="'ROI Number insert'!F3" display="Purchase Price Input" xr:uid="{36CC4DC8-1407-42AB-B7DF-3C5778AE397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38</xdr:row>
                    <xdr:rowOff>38100</xdr:rowOff>
                  </from>
                  <to>
                    <xdr:col>5</xdr:col>
                    <xdr:colOff>259080</xdr:colOff>
                    <xdr:row>39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41</xdr:row>
                    <xdr:rowOff>144780</xdr:rowOff>
                  </from>
                  <to>
                    <xdr:col>7</xdr:col>
                    <xdr:colOff>358140</xdr:colOff>
                    <xdr:row>42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44</xdr:row>
                    <xdr:rowOff>60960</xdr:rowOff>
                  </from>
                  <to>
                    <xdr:col>6</xdr:col>
                    <xdr:colOff>449580</xdr:colOff>
                    <xdr:row>45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7" name="Spinner 8">
              <controlPr defaultSize="0" autoPict="0">
                <anchor moveWithCells="1" sizeWithCells="1">
                  <from>
                    <xdr:col>2</xdr:col>
                    <xdr:colOff>198120</xdr:colOff>
                    <xdr:row>35</xdr:row>
                    <xdr:rowOff>137160</xdr:rowOff>
                  </from>
                  <to>
                    <xdr:col>2</xdr:col>
                    <xdr:colOff>419100</xdr:colOff>
                    <xdr:row>37</xdr:row>
                    <xdr:rowOff>53340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4"/>
  </sheetPr>
  <dimension ref="A1:H75"/>
  <sheetViews>
    <sheetView topLeftCell="A21" workbookViewId="0">
      <selection activeCell="C50" sqref="C50"/>
    </sheetView>
  </sheetViews>
  <sheetFormatPr defaultColWidth="8.77734375" defaultRowHeight="13.8" x14ac:dyDescent="0.25"/>
  <cols>
    <col min="1" max="1" width="39.6640625" style="427" customWidth="1"/>
    <col min="2" max="2" width="33" style="428" customWidth="1"/>
    <col min="3" max="3" width="17.6640625" style="427" customWidth="1"/>
    <col min="4" max="4" width="15.6640625" style="427" customWidth="1"/>
    <col min="5" max="5" width="17.6640625" style="427" customWidth="1"/>
    <col min="6" max="6" width="12.77734375" style="427" customWidth="1"/>
    <col min="7" max="7" width="26.109375" style="427" customWidth="1"/>
    <col min="8" max="8" width="12.77734375" style="427" customWidth="1"/>
    <col min="9" max="9" width="28.21875" style="427" customWidth="1"/>
    <col min="10" max="10" width="18.33203125" style="427" customWidth="1"/>
    <col min="11" max="16384" width="8.77734375" style="427"/>
  </cols>
  <sheetData>
    <row r="1" spans="1:7" ht="15" thickBot="1" x14ac:dyDescent="0.35">
      <c r="A1" s="626" t="s">
        <v>454</v>
      </c>
      <c r="B1" s="428" t="s">
        <v>269</v>
      </c>
      <c r="C1" s="429">
        <f ca="1">TODAY()</f>
        <v>44984</v>
      </c>
      <c r="G1" s="1"/>
    </row>
    <row r="2" spans="1:7" ht="14.4" x14ac:dyDescent="0.3">
      <c r="B2" s="430" t="s">
        <v>271</v>
      </c>
      <c r="C2" s="431">
        <f>'ROI Number insert'!C3</f>
        <v>10267800</v>
      </c>
      <c r="G2" s="1"/>
    </row>
    <row r="3" spans="1:7" ht="28.2" x14ac:dyDescent="0.3">
      <c r="B3" s="850" t="s">
        <v>272</v>
      </c>
      <c r="C3" s="849" t="str">
        <f>'ROI Number insert'!C4</f>
        <v>3601 13308 Central Avenue, Surrey</v>
      </c>
      <c r="G3" s="1"/>
    </row>
    <row r="4" spans="1:7" ht="15" thickBot="1" x14ac:dyDescent="0.35">
      <c r="B4" s="432" t="s">
        <v>273</v>
      </c>
      <c r="C4" s="433">
        <f>'ROI Number insert'!C5</f>
        <v>1403000</v>
      </c>
      <c r="G4" s="1"/>
    </row>
    <row r="5" spans="1:7" ht="16.2" thickBot="1" x14ac:dyDescent="0.35">
      <c r="C5" s="434" t="s">
        <v>309</v>
      </c>
      <c r="D5" s="435" t="s">
        <v>310</v>
      </c>
      <c r="E5" s="435" t="s">
        <v>311</v>
      </c>
      <c r="G5" s="1"/>
    </row>
    <row r="6" spans="1:7" ht="16.2" thickBot="1" x14ac:dyDescent="0.35">
      <c r="B6" s="436" t="s">
        <v>21</v>
      </c>
      <c r="C6" s="437">
        <f>IF('Calculating offering price'!C19&gt;'Total Result'!C21,'Calculating offering price'!C19,IF('Calculating offering price'!C19&lt;='Total Result'!C21,'Total Result'!C21))</f>
        <v>208200</v>
      </c>
      <c r="D6" s="437">
        <f>IF(E57&gt;0,0,-E57)</f>
        <v>555950</v>
      </c>
      <c r="E6" s="437"/>
      <c r="G6" s="1"/>
    </row>
    <row r="7" spans="1:7" ht="16.2" thickBot="1" x14ac:dyDescent="0.35">
      <c r="B7" s="438" t="s">
        <v>217</v>
      </c>
      <c r="C7" s="439">
        <f>'ROI details'!H35</f>
        <v>6.9988618225398563E-2</v>
      </c>
      <c r="D7" s="439" t="e">
        <f>'ROI Detail ARV'!H35</f>
        <v>#DIV/0!</v>
      </c>
      <c r="E7" s="440" t="e">
        <f t="shared" ref="E7:E13" si="0">D7-C7</f>
        <v>#DIV/0!</v>
      </c>
      <c r="F7" s="441"/>
      <c r="G7" s="1"/>
    </row>
    <row r="8" spans="1:7" ht="16.2" thickBot="1" x14ac:dyDescent="0.35">
      <c r="A8" s="442" t="s">
        <v>280</v>
      </c>
      <c r="B8" s="438" t="s">
        <v>279</v>
      </c>
      <c r="C8" s="443">
        <f>10*'ROI details'!H34</f>
        <v>374439.10750588233</v>
      </c>
      <c r="D8" s="443">
        <f>10*'ROI Detail ARV'!H34</f>
        <v>-178880.89249411767</v>
      </c>
      <c r="E8" s="437">
        <f t="shared" si="0"/>
        <v>-553320</v>
      </c>
      <c r="F8" s="441"/>
      <c r="G8" s="1"/>
    </row>
    <row r="9" spans="1:7" ht="16.2" thickBot="1" x14ac:dyDescent="0.35">
      <c r="A9" s="442"/>
      <c r="B9" s="438" t="s">
        <v>330</v>
      </c>
      <c r="C9" s="443">
        <f>IF((C26-C8)&lt;0,0,(C26-C8))</f>
        <v>160560.89249411767</v>
      </c>
      <c r="D9" s="443"/>
      <c r="E9" s="437"/>
      <c r="F9" s="441"/>
      <c r="G9" s="1"/>
    </row>
    <row r="10" spans="1:7" ht="16.2" thickBot="1" x14ac:dyDescent="0.35">
      <c r="A10" s="442" t="s">
        <v>329</v>
      </c>
      <c r="B10" s="438" t="s">
        <v>328</v>
      </c>
      <c r="C10" s="444">
        <f>C9/C26</f>
        <v>0.30011381774601431</v>
      </c>
      <c r="D10" s="443"/>
      <c r="E10" s="437"/>
      <c r="F10" s="441"/>
      <c r="G10" s="1"/>
    </row>
    <row r="11" spans="1:7" ht="16.2" thickBot="1" x14ac:dyDescent="0.35">
      <c r="A11" s="442"/>
      <c r="B11" s="438" t="s">
        <v>268</v>
      </c>
      <c r="C11" s="445">
        <f ca="1">C1-'ROI Number insert'!C2</f>
        <v>11</v>
      </c>
      <c r="D11" s="445">
        <f ca="1">C11</f>
        <v>11</v>
      </c>
      <c r="E11" s="437"/>
      <c r="F11" s="441"/>
      <c r="G11" s="1"/>
    </row>
    <row r="12" spans="1:7" ht="16.2" thickBot="1" x14ac:dyDescent="0.35">
      <c r="A12" s="442" t="s">
        <v>307</v>
      </c>
      <c r="B12" s="446" t="s">
        <v>306</v>
      </c>
      <c r="C12" s="447">
        <f>('Financial Statement'!C7+'Financial Statement'!C20+'Financial Statement'!C21)/'Financial Statement'!C3</f>
        <v>0.81418176575970946</v>
      </c>
      <c r="D12" s="447" t="e">
        <f>('Financial Statement ARV'!C7+'Financial Statement ARV'!C20+'Financial Statement ARV'!C21)/'Financial Statement ARV'!C3</f>
        <v>#NUM!</v>
      </c>
      <c r="E12" s="440" t="e">
        <f t="shared" si="0"/>
        <v>#NUM!</v>
      </c>
      <c r="F12" s="441"/>
      <c r="G12" s="1"/>
    </row>
    <row r="13" spans="1:7" ht="16.2" thickBot="1" x14ac:dyDescent="0.35">
      <c r="A13" s="442" t="s">
        <v>308</v>
      </c>
      <c r="B13" s="446" t="s">
        <v>314</v>
      </c>
      <c r="C13" s="448">
        <f>C21/'Financial Statement'!C22</f>
        <v>17.617134933201154</v>
      </c>
      <c r="D13" s="448" t="e">
        <f>D6/'Financial Statement ARV'!C22</f>
        <v>#NUM!</v>
      </c>
      <c r="E13" s="449" t="e">
        <f t="shared" si="0"/>
        <v>#NUM!</v>
      </c>
      <c r="F13" s="441"/>
      <c r="G13" s="1"/>
    </row>
    <row r="14" spans="1:7" ht="16.2" thickBot="1" x14ac:dyDescent="0.35">
      <c r="A14" s="442" t="s">
        <v>317</v>
      </c>
      <c r="B14" s="450" t="s">
        <v>275</v>
      </c>
      <c r="C14" s="451">
        <f>('ROI Number insert'!F2-'ROI Number insert'!F3)/'ROI Number insert'!F2</f>
        <v>0.66309823677581869</v>
      </c>
      <c r="D14" s="452"/>
      <c r="E14" s="453"/>
      <c r="G14" s="1"/>
    </row>
    <row r="15" spans="1:7" ht="15" thickBot="1" x14ac:dyDescent="0.35">
      <c r="G15" s="1"/>
    </row>
    <row r="16" spans="1:7" ht="15" thickBot="1" x14ac:dyDescent="0.35">
      <c r="B16" s="966" t="s">
        <v>178</v>
      </c>
      <c r="C16" s="967"/>
      <c r="D16" s="968"/>
      <c r="G16" s="1"/>
    </row>
    <row r="17" spans="2:7" ht="15.6" x14ac:dyDescent="0.3">
      <c r="B17" s="454" t="s">
        <v>160</v>
      </c>
      <c r="C17" s="455">
        <f>'ROI Number insert'!F11</f>
        <v>187250</v>
      </c>
      <c r="D17" s="456">
        <f>C17</f>
        <v>187250</v>
      </c>
      <c r="G17" s="1"/>
    </row>
    <row r="18" spans="2:7" ht="15.6" x14ac:dyDescent="0.3">
      <c r="B18" s="457" t="s">
        <v>94</v>
      </c>
      <c r="C18" s="458">
        <f>'ROI Number insert'!F10</f>
        <v>20950</v>
      </c>
      <c r="D18" s="459">
        <f>C18</f>
        <v>20950</v>
      </c>
    </row>
    <row r="19" spans="2:7" ht="15.6" x14ac:dyDescent="0.3">
      <c r="B19" s="457" t="s">
        <v>179</v>
      </c>
      <c r="C19" s="458">
        <f>'ROI Number insert'!F13</f>
        <v>0</v>
      </c>
      <c r="D19" s="459">
        <f>'ROI Number insert ARV'!E13</f>
        <v>0</v>
      </c>
    </row>
    <row r="20" spans="2:7" ht="15.6" x14ac:dyDescent="0.3">
      <c r="B20" s="457" t="s">
        <v>315</v>
      </c>
      <c r="C20" s="458">
        <f>'ROI Number insert'!F15</f>
        <v>0</v>
      </c>
      <c r="D20" s="459" t="e">
        <f>'ROI Number insert ARV'!E15</f>
        <v>#NUM!</v>
      </c>
    </row>
    <row r="21" spans="2:7" ht="16.2" thickBot="1" x14ac:dyDescent="0.35">
      <c r="B21" s="460" t="s">
        <v>180</v>
      </c>
      <c r="C21" s="461">
        <f>SUM(C17:C20)</f>
        <v>208200</v>
      </c>
      <c r="D21" s="462" t="e">
        <f>SUM(D17:D20)</f>
        <v>#NUM!</v>
      </c>
    </row>
    <row r="22" spans="2:7" ht="14.4" thickBot="1" x14ac:dyDescent="0.3"/>
    <row r="23" spans="2:7" ht="15.6" x14ac:dyDescent="0.3">
      <c r="B23" s="463" t="s">
        <v>181</v>
      </c>
      <c r="C23" s="464" t="str">
        <f>'ROI Number insert'!I24</f>
        <v>More than 15 Years</v>
      </c>
    </row>
    <row r="24" spans="2:7" ht="15.6" x14ac:dyDescent="0.3">
      <c r="B24" s="465" t="s">
        <v>182</v>
      </c>
      <c r="C24" s="466">
        <f>'Calculating offering price'!C5</f>
        <v>516823.52941176464</v>
      </c>
      <c r="D24" s="427" t="s">
        <v>346</v>
      </c>
    </row>
    <row r="25" spans="2:7" ht="15.6" x14ac:dyDescent="0.3">
      <c r="B25" s="465" t="s">
        <v>183</v>
      </c>
      <c r="C25" s="467">
        <f>'Calculating offering price'!C4</f>
        <v>1588000</v>
      </c>
    </row>
    <row r="26" spans="2:7" ht="15.6" x14ac:dyDescent="0.3">
      <c r="B26" s="468" t="s">
        <v>276</v>
      </c>
      <c r="C26" s="469">
        <f>'ROI Number insert'!F3</f>
        <v>535000</v>
      </c>
    </row>
    <row r="27" spans="2:7" ht="15.6" x14ac:dyDescent="0.3">
      <c r="B27" s="468" t="s">
        <v>316</v>
      </c>
      <c r="C27" s="469">
        <f>'ROI Number insert'!F18</f>
        <v>0</v>
      </c>
    </row>
    <row r="28" spans="2:7" ht="16.2" thickBot="1" x14ac:dyDescent="0.35">
      <c r="B28" s="470" t="s">
        <v>184</v>
      </c>
      <c r="C28" s="471">
        <f>'Calculating offering price'!C14</f>
        <v>382449.41176470584</v>
      </c>
      <c r="D28" s="427" t="s">
        <v>347</v>
      </c>
    </row>
    <row r="29" spans="2:7" ht="14.4" thickBot="1" x14ac:dyDescent="0.3"/>
    <row r="30" spans="2:7" ht="16.2" thickBot="1" x14ac:dyDescent="0.35">
      <c r="B30" s="472" t="s">
        <v>185</v>
      </c>
      <c r="C30" s="473">
        <f>'ROI Number insert'!F27</f>
        <v>63600</v>
      </c>
      <c r="D30" s="473">
        <f>'Financial Statement ARV'!C3</f>
        <v>0</v>
      </c>
      <c r="E30" s="474">
        <f>D30-C30</f>
        <v>-63600</v>
      </c>
    </row>
    <row r="31" spans="2:7" ht="15.6" x14ac:dyDescent="0.3">
      <c r="B31" s="475" t="s">
        <v>186</v>
      </c>
      <c r="C31" s="476">
        <f>'Calculating offering price'!C28</f>
        <v>3932.9457199999997</v>
      </c>
      <c r="D31" s="476">
        <f>'Financial Statement ARV'!C18</f>
        <v>3932.9457199999997</v>
      </c>
      <c r="E31" s="477">
        <f t="shared" ref="E31:E39" si="1">D31-C31</f>
        <v>0</v>
      </c>
    </row>
    <row r="32" spans="2:7" ht="15.6" x14ac:dyDescent="0.3">
      <c r="B32" s="478" t="s">
        <v>188</v>
      </c>
      <c r="C32" s="479">
        <f>SUM('Financial Statement'!C8:C18)-'Financial Statement'!C18-'Financial Statement'!C15-'Financial Statement'!C8</f>
        <v>19043.143529411765</v>
      </c>
      <c r="D32" s="479">
        <f>SUM('Financial Statement ARV'!C8:C18)-'Financial Statement ARV'!C18-'Financial Statement'!C15-'Financial Statement ARV'!C8</f>
        <v>13955.143529411765</v>
      </c>
      <c r="E32" s="480">
        <f t="shared" si="1"/>
        <v>-5088</v>
      </c>
    </row>
    <row r="33" spans="2:5" ht="15.6" x14ac:dyDescent="0.3">
      <c r="B33" s="478" t="s">
        <v>189</v>
      </c>
      <c r="C33" s="479">
        <f>'ROI Number insert'!F41</f>
        <v>3180</v>
      </c>
      <c r="D33" s="479">
        <f>'ROI Number insert ARV'!E41</f>
        <v>0</v>
      </c>
      <c r="E33" s="480">
        <f t="shared" si="1"/>
        <v>-3180</v>
      </c>
    </row>
    <row r="34" spans="2:5" ht="16.2" thickBot="1" x14ac:dyDescent="0.35">
      <c r="B34" s="481" t="s">
        <v>190</v>
      </c>
      <c r="C34" s="482">
        <f>'ROI Number insert'!F42</f>
        <v>0</v>
      </c>
      <c r="D34" s="482">
        <f>'ROI Number insert ARV'!E42</f>
        <v>0</v>
      </c>
      <c r="E34" s="483">
        <f t="shared" si="1"/>
        <v>0</v>
      </c>
    </row>
    <row r="35" spans="2:5" ht="16.2" thickBot="1" x14ac:dyDescent="0.35">
      <c r="B35" s="472" t="s">
        <v>191</v>
      </c>
      <c r="C35" s="473">
        <f>C30-SUM(C31:C34)</f>
        <v>37443.910750588235</v>
      </c>
      <c r="D35" s="473">
        <f t="shared" ref="D35" si="2">D30-SUM(D31:D34)</f>
        <v>-17888.089249411765</v>
      </c>
      <c r="E35" s="474">
        <f t="shared" si="1"/>
        <v>-55332</v>
      </c>
    </row>
    <row r="36" spans="2:5" ht="15.6" x14ac:dyDescent="0.3">
      <c r="B36" s="484" t="s">
        <v>187</v>
      </c>
      <c r="C36" s="485">
        <f>'Calculating offering price'!C27</f>
        <v>25625.871052905757</v>
      </c>
      <c r="D36" s="485" t="e">
        <f>'Calculating offering price ARV'!C27</f>
        <v>#NUM!</v>
      </c>
      <c r="E36" s="486" t="e">
        <f t="shared" si="1"/>
        <v>#NUM!</v>
      </c>
    </row>
    <row r="37" spans="2:5" ht="16.2" thickBot="1" x14ac:dyDescent="0.35">
      <c r="B37" s="487" t="s">
        <v>247</v>
      </c>
      <c r="C37" s="488">
        <f>'ROI Number insert'!I17</f>
        <v>0</v>
      </c>
      <c r="D37" s="488">
        <f>'Calculating offering price ARV'!C31</f>
        <v>0</v>
      </c>
      <c r="E37" s="489">
        <f t="shared" si="1"/>
        <v>0</v>
      </c>
    </row>
    <row r="38" spans="2:5" ht="15.6" x14ac:dyDescent="0.3">
      <c r="B38" s="490" t="s">
        <v>243</v>
      </c>
      <c r="C38" s="491">
        <f>C35-C36-C37</f>
        <v>11818.039697682478</v>
      </c>
      <c r="D38" s="491" t="e">
        <f>D35-D36-D37</f>
        <v>#NUM!</v>
      </c>
      <c r="E38" s="492" t="e">
        <f t="shared" si="1"/>
        <v>#NUM!</v>
      </c>
    </row>
    <row r="39" spans="2:5" ht="16.2" thickBot="1" x14ac:dyDescent="0.35">
      <c r="B39" s="493" t="s">
        <v>137</v>
      </c>
      <c r="C39" s="494">
        <f>C38/12</f>
        <v>984.83664147353977</v>
      </c>
      <c r="D39" s="494" t="e">
        <f>D38/12</f>
        <v>#NUM!</v>
      </c>
      <c r="E39" s="495" t="e">
        <f t="shared" si="1"/>
        <v>#NUM!</v>
      </c>
    </row>
    <row r="40" spans="2:5" ht="16.2" thickBot="1" x14ac:dyDescent="0.3">
      <c r="B40" s="496" t="s">
        <v>206</v>
      </c>
    </row>
    <row r="41" spans="2:5" ht="15.6" x14ac:dyDescent="0.3">
      <c r="B41" s="497" t="s">
        <v>325</v>
      </c>
      <c r="C41" s="498">
        <f>'ROI Number insert ARV'!E3-'ROI Number insert'!F3</f>
        <v>-535000</v>
      </c>
    </row>
    <row r="42" spans="2:5" ht="15.6" x14ac:dyDescent="0.3">
      <c r="B42" s="499" t="s">
        <v>326</v>
      </c>
      <c r="C42" s="500" t="e">
        <f>D19+D20</f>
        <v>#NUM!</v>
      </c>
    </row>
    <row r="43" spans="2:5" ht="15.6" x14ac:dyDescent="0.3">
      <c r="B43" s="499" t="s">
        <v>327</v>
      </c>
      <c r="C43" s="501" t="e">
        <f>C41-C42</f>
        <v>#NUM!</v>
      </c>
    </row>
    <row r="44" spans="2:5" ht="16.2" thickBot="1" x14ac:dyDescent="0.35">
      <c r="B44" s="502" t="s">
        <v>146</v>
      </c>
      <c r="C44" s="503" t="e">
        <f>C43/C42</f>
        <v>#NUM!</v>
      </c>
    </row>
    <row r="45" spans="2:5" ht="16.2" thickBot="1" x14ac:dyDescent="0.35">
      <c r="B45" s="504"/>
      <c r="C45" s="505"/>
    </row>
    <row r="46" spans="2:5" ht="16.2" thickBot="1" x14ac:dyDescent="0.35">
      <c r="B46" s="987" t="s">
        <v>448</v>
      </c>
      <c r="C46" s="988"/>
    </row>
    <row r="47" spans="2:5" ht="15.6" x14ac:dyDescent="0.3">
      <c r="B47" s="454" t="s">
        <v>141</v>
      </c>
      <c r="C47" s="506">
        <f>'Financial Statement'!C24</f>
        <v>5.6762918816918723E-2</v>
      </c>
    </row>
    <row r="48" spans="2:5" ht="15.6" x14ac:dyDescent="0.3">
      <c r="B48" s="457" t="s">
        <v>142</v>
      </c>
      <c r="C48" s="507">
        <f>'Financial Statement'!C34</f>
        <v>3.2017266344528339E-2</v>
      </c>
    </row>
    <row r="49" spans="2:8" ht="15.6" x14ac:dyDescent="0.3">
      <c r="B49" s="457" t="s">
        <v>143</v>
      </c>
      <c r="C49" s="507">
        <f>'Financial Statement'!C41</f>
        <v>5.139289145052834E-2</v>
      </c>
    </row>
    <row r="50" spans="2:8" ht="16.2" thickBot="1" x14ac:dyDescent="0.35">
      <c r="B50" s="508" t="s">
        <v>206</v>
      </c>
      <c r="C50" s="509">
        <f>'ROI details'!H32</f>
        <v>0</v>
      </c>
    </row>
    <row r="51" spans="2:8" ht="16.2" thickBot="1" x14ac:dyDescent="0.35">
      <c r="B51" s="510" t="s">
        <v>449</v>
      </c>
      <c r="C51" s="511">
        <f>SUM(C47:C50)</f>
        <v>0.14017307661197539</v>
      </c>
    </row>
    <row r="52" spans="2:8" ht="16.2" thickBot="1" x14ac:dyDescent="0.35">
      <c r="C52" s="975" t="s">
        <v>312</v>
      </c>
      <c r="D52" s="975"/>
      <c r="E52" s="975" t="s">
        <v>310</v>
      </c>
      <c r="F52" s="975"/>
      <c r="G52" s="975" t="s">
        <v>311</v>
      </c>
      <c r="H52" s="975"/>
    </row>
    <row r="53" spans="2:8" ht="15.6" x14ac:dyDescent="0.25">
      <c r="B53" s="976" t="s">
        <v>196</v>
      </c>
      <c r="C53" s="977"/>
      <c r="D53" s="977"/>
      <c r="E53" s="977"/>
      <c r="F53" s="977"/>
      <c r="G53" s="977"/>
      <c r="H53" s="978"/>
    </row>
    <row r="54" spans="2:8" ht="15.6" x14ac:dyDescent="0.3">
      <c r="B54" s="512" t="s">
        <v>141</v>
      </c>
      <c r="C54" s="513">
        <f>'ROI details'!C10</f>
        <v>62029.418070217456</v>
      </c>
      <c r="D54" s="514">
        <f>'ROI details'!C12*5</f>
        <v>0.29793188314225483</v>
      </c>
      <c r="E54" s="513" t="e">
        <f>'ROI Detail ARV'!C10</f>
        <v>#NUM!</v>
      </c>
      <c r="F54" s="514" t="e">
        <f>'ROI Detail ARV'!C12*5</f>
        <v>#NUM!</v>
      </c>
      <c r="G54" s="513" t="e">
        <f>E54-C54</f>
        <v>#NUM!</v>
      </c>
      <c r="H54" s="515" t="e">
        <f>F54-D54</f>
        <v>#NUM!</v>
      </c>
    </row>
    <row r="55" spans="2:8" ht="15.6" x14ac:dyDescent="0.3">
      <c r="B55" s="512" t="s">
        <v>142</v>
      </c>
      <c r="C55" s="516">
        <f>'ROI details'!I4</f>
        <v>38020.901991155486</v>
      </c>
      <c r="D55" s="514">
        <f>'ROI details'!I5</f>
        <v>0.18261720456847017</v>
      </c>
      <c r="E55" s="516" t="e">
        <f>'ROI Detail ARV'!I4</f>
        <v>#NUM!</v>
      </c>
      <c r="F55" s="514" t="e">
        <f>'ROI Detail ARV'!I5</f>
        <v>#NUM!</v>
      </c>
      <c r="G55" s="513" t="e">
        <f t="shared" ref="G55:G56" si="3">E55-C55</f>
        <v>#NUM!</v>
      </c>
      <c r="H55" s="515" t="e">
        <f>F55-D55</f>
        <v>#NUM!</v>
      </c>
    </row>
    <row r="56" spans="2:8" ht="15.6" x14ac:dyDescent="0.3">
      <c r="B56" s="512" t="s">
        <v>143</v>
      </c>
      <c r="C56" s="516">
        <f>'ROI details'!I19</f>
        <v>55683.229712</v>
      </c>
      <c r="D56" s="514">
        <f>'ROI details'!J19</f>
        <v>0.2674506710470701</v>
      </c>
      <c r="E56" s="516">
        <f>'ROI Detail ARV'!I19</f>
        <v>55683.229712</v>
      </c>
      <c r="F56" s="514">
        <f>'ROI Detail ARV'!J19</f>
        <v>0.10015870080402914</v>
      </c>
      <c r="G56" s="513">
        <f t="shared" si="3"/>
        <v>0</v>
      </c>
      <c r="H56" s="515">
        <f>'ROI Detail ARV'!L19</f>
        <v>0</v>
      </c>
    </row>
    <row r="57" spans="2:8" ht="15.6" x14ac:dyDescent="0.3">
      <c r="B57" s="985" t="s">
        <v>320</v>
      </c>
      <c r="C57" s="986"/>
      <c r="D57" s="986"/>
      <c r="E57" s="516">
        <f>'ROI Number insert ARV'!H11-'ROI Number insert'!I11-C21</f>
        <v>-555950</v>
      </c>
      <c r="F57" s="514"/>
      <c r="G57" s="513"/>
      <c r="H57" s="515"/>
    </row>
    <row r="58" spans="2:8" ht="16.2" thickBot="1" x14ac:dyDescent="0.35">
      <c r="B58" s="517" t="s">
        <v>193</v>
      </c>
      <c r="C58" s="518">
        <f t="shared" ref="C58:H58" si="4">SUM(C54:C56)</f>
        <v>155733.54977337294</v>
      </c>
      <c r="D58" s="519">
        <f t="shared" si="4"/>
        <v>0.74799975875779512</v>
      </c>
      <c r="E58" s="518" t="e">
        <f t="shared" si="4"/>
        <v>#NUM!</v>
      </c>
      <c r="F58" s="520" t="e">
        <f t="shared" si="4"/>
        <v>#NUM!</v>
      </c>
      <c r="G58" s="518" t="e">
        <f t="shared" si="4"/>
        <v>#NUM!</v>
      </c>
      <c r="H58" s="519" t="e">
        <f t="shared" si="4"/>
        <v>#NUM!</v>
      </c>
    </row>
    <row r="59" spans="2:8" ht="16.2" thickBot="1" x14ac:dyDescent="0.35">
      <c r="B59" s="973" t="s">
        <v>194</v>
      </c>
      <c r="C59" s="974"/>
      <c r="D59" s="521">
        <f>_xlfn.RRI(4,C51,D58)</f>
        <v>0.51987969502991782</v>
      </c>
      <c r="E59" s="522"/>
      <c r="F59" s="523" t="e">
        <f>_xlfn.RRI(5,D6,E58)</f>
        <v>#NUM!</v>
      </c>
      <c r="G59" s="522"/>
      <c r="H59" s="521" t="e">
        <f>F59-D59</f>
        <v>#NUM!</v>
      </c>
    </row>
    <row r="60" spans="2:8" ht="15.6" x14ac:dyDescent="0.25">
      <c r="B60" s="979" t="s">
        <v>192</v>
      </c>
      <c r="C60" s="980"/>
      <c r="D60" s="980"/>
      <c r="E60" s="980"/>
      <c r="F60" s="980"/>
      <c r="G60" s="980"/>
      <c r="H60" s="981"/>
    </row>
    <row r="61" spans="2:8" ht="15.6" x14ac:dyDescent="0.3">
      <c r="B61" s="524" t="s">
        <v>141</v>
      </c>
      <c r="C61" s="525">
        <f>'ROI details'!C26</f>
        <v>128286.43341719586</v>
      </c>
      <c r="D61" s="526">
        <f>'ROI details'!C28*10</f>
        <v>0.61616922870891389</v>
      </c>
      <c r="E61" s="525" t="e">
        <f>'ROI Detail ARV'!C26</f>
        <v>#NUM!</v>
      </c>
      <c r="F61" s="526" t="e">
        <f>'ROI Detail ARV'!C28*10</f>
        <v>#NUM!</v>
      </c>
      <c r="G61" s="525" t="e">
        <f>E61-C61</f>
        <v>#NUM!</v>
      </c>
      <c r="H61" s="527" t="e">
        <f>F61-D61</f>
        <v>#NUM!</v>
      </c>
    </row>
    <row r="62" spans="2:8" ht="15.6" x14ac:dyDescent="0.3">
      <c r="B62" s="524" t="s">
        <v>142</v>
      </c>
      <c r="C62" s="528">
        <f>'ROI details'!I8</f>
        <v>87332.514847867977</v>
      </c>
      <c r="D62" s="526">
        <f>'ROI details'!I9</f>
        <v>0.41946452856804983</v>
      </c>
      <c r="E62" s="528" t="e">
        <f>'ROI Detail ARV'!I8</f>
        <v>#NUM!</v>
      </c>
      <c r="F62" s="526" t="e">
        <f>'ROI Detail ARV'!I9</f>
        <v>#NUM!</v>
      </c>
      <c r="G62" s="525" t="e">
        <f t="shared" ref="G62:G63" si="5">E62-C62</f>
        <v>#NUM!</v>
      </c>
      <c r="H62" s="527" t="e">
        <f t="shared" ref="H62:H63" si="6">F62-D62</f>
        <v>#NUM!</v>
      </c>
    </row>
    <row r="63" spans="2:8" ht="15.6" x14ac:dyDescent="0.3">
      <c r="B63" s="524" t="s">
        <v>143</v>
      </c>
      <c r="C63" s="528">
        <f>'ROI details'!I20</f>
        <v>85889.341388454428</v>
      </c>
      <c r="D63" s="526">
        <f>'ROI details'!J20</f>
        <v>0.41253285969478592</v>
      </c>
      <c r="E63" s="528">
        <f>'ROI Detail ARV'!I20</f>
        <v>85889.341388454428</v>
      </c>
      <c r="F63" s="526">
        <f>'ROI Detail ARV'!J20</f>
        <v>0.15449112579990004</v>
      </c>
      <c r="G63" s="525">
        <f t="shared" si="5"/>
        <v>0</v>
      </c>
      <c r="H63" s="527">
        <f t="shared" si="6"/>
        <v>-0.25804173389488588</v>
      </c>
    </row>
    <row r="64" spans="2:8" ht="16.2" thickBot="1" x14ac:dyDescent="0.35">
      <c r="B64" s="529" t="s">
        <v>193</v>
      </c>
      <c r="C64" s="530">
        <f t="shared" ref="C64:H64" si="7">SUM(C61:C63)</f>
        <v>301508.28965351824</v>
      </c>
      <c r="D64" s="531">
        <f t="shared" si="7"/>
        <v>1.4481666169717495</v>
      </c>
      <c r="E64" s="530" t="e">
        <f t="shared" si="7"/>
        <v>#NUM!</v>
      </c>
      <c r="F64" s="532" t="e">
        <f t="shared" si="7"/>
        <v>#NUM!</v>
      </c>
      <c r="G64" s="530" t="e">
        <f t="shared" si="7"/>
        <v>#NUM!</v>
      </c>
      <c r="H64" s="531" t="e">
        <f t="shared" si="7"/>
        <v>#NUM!</v>
      </c>
    </row>
    <row r="65" spans="1:8" ht="16.2" thickBot="1" x14ac:dyDescent="0.35">
      <c r="B65" s="971" t="s">
        <v>194</v>
      </c>
      <c r="C65" s="972"/>
      <c r="D65" s="533">
        <f>RATE(9,,-('ROI details'!C5+'PR Result'!C5+'Total Result'!C26*'Calculating offering price'!C87),C64)</f>
        <v>0.29623507703076651</v>
      </c>
      <c r="E65" s="534"/>
      <c r="F65" s="535" t="e">
        <f>_xlfn.RRI(10,D6,E64)</f>
        <v>#NUM!</v>
      </c>
      <c r="G65" s="534"/>
      <c r="H65" s="533" t="e">
        <f>F65-D65</f>
        <v>#NUM!</v>
      </c>
    </row>
    <row r="66" spans="1:8" ht="15.6" x14ac:dyDescent="0.3">
      <c r="B66" s="982" t="s">
        <v>195</v>
      </c>
      <c r="C66" s="983"/>
      <c r="D66" s="983"/>
      <c r="E66" s="983"/>
      <c r="F66" s="983"/>
      <c r="G66" s="983"/>
      <c r="H66" s="984"/>
    </row>
    <row r="67" spans="1:8" ht="15.6" x14ac:dyDescent="0.3">
      <c r="B67" s="536" t="s">
        <v>141</v>
      </c>
      <c r="C67" s="537">
        <f>'ROI details'!C47</f>
        <v>197533.96394708403</v>
      </c>
      <c r="D67" s="538">
        <f>'ROI details'!C49*15</f>
        <v>0.94877023989953913</v>
      </c>
      <c r="E67" s="537" t="e">
        <f>'ROI Detail ARV'!C47</f>
        <v>#NUM!</v>
      </c>
      <c r="F67" s="538" t="e">
        <f>'ROI Detail ARV'!C49*15</f>
        <v>#NUM!</v>
      </c>
      <c r="G67" s="537" t="e">
        <f>E67-C67</f>
        <v>#NUM!</v>
      </c>
      <c r="H67" s="539" t="e">
        <f>F67-D67</f>
        <v>#NUM!</v>
      </c>
    </row>
    <row r="68" spans="1:8" ht="15.6" x14ac:dyDescent="0.3">
      <c r="B68" s="536" t="s">
        <v>142</v>
      </c>
      <c r="C68" s="540">
        <f>'ROI details'!I12</f>
        <v>152211.98991328973</v>
      </c>
      <c r="D68" s="538">
        <f>'ROI details'!I13</f>
        <v>0.73108544626940308</v>
      </c>
      <c r="E68" s="540" t="e">
        <f>'ROI Detail ARV'!I12</f>
        <v>#NUM!</v>
      </c>
      <c r="F68" s="538" t="e">
        <f>'ROI Detail ARV'!I13</f>
        <v>#NUM!</v>
      </c>
      <c r="G68" s="537" t="e">
        <f t="shared" ref="G68:G69" si="8">E68-C68</f>
        <v>#NUM!</v>
      </c>
      <c r="H68" s="539" t="e">
        <f t="shared" ref="H68:H69" si="9">F68-D68</f>
        <v>#NUM!</v>
      </c>
    </row>
    <row r="69" spans="1:8" ht="15.6" x14ac:dyDescent="0.3">
      <c r="B69" s="536" t="s">
        <v>143</v>
      </c>
      <c r="C69" s="540">
        <f>'ROI details'!I21</f>
        <v>185039.56100340909</v>
      </c>
      <c r="D69" s="538">
        <f>'ROI details'!J21</f>
        <v>0.88875869838332899</v>
      </c>
      <c r="E69" s="540">
        <f>'ROI Detail ARV'!I21</f>
        <v>185039.56100340909</v>
      </c>
      <c r="F69" s="538">
        <f>'ROI Detail ARV'!J21</f>
        <v>0.33283489702924562</v>
      </c>
      <c r="G69" s="537">
        <f t="shared" si="8"/>
        <v>0</v>
      </c>
      <c r="H69" s="539">
        <f t="shared" si="9"/>
        <v>-0.55592380135408337</v>
      </c>
    </row>
    <row r="70" spans="1:8" ht="16.2" thickBot="1" x14ac:dyDescent="0.35">
      <c r="B70" s="541" t="s">
        <v>193</v>
      </c>
      <c r="C70" s="542">
        <f t="shared" ref="C70:H70" si="10">SUM(C67:C69)</f>
        <v>534785.5148637828</v>
      </c>
      <c r="D70" s="543">
        <f t="shared" si="10"/>
        <v>2.5686143845522711</v>
      </c>
      <c r="E70" s="542" t="e">
        <f t="shared" si="10"/>
        <v>#NUM!</v>
      </c>
      <c r="F70" s="543" t="e">
        <f t="shared" si="10"/>
        <v>#NUM!</v>
      </c>
      <c r="G70" s="542" t="e">
        <f t="shared" si="10"/>
        <v>#NUM!</v>
      </c>
      <c r="H70" s="544" t="e">
        <f t="shared" si="10"/>
        <v>#NUM!</v>
      </c>
    </row>
    <row r="71" spans="1:8" ht="16.2" thickBot="1" x14ac:dyDescent="0.35">
      <c r="B71" s="969" t="s">
        <v>194</v>
      </c>
      <c r="C71" s="970"/>
      <c r="D71" s="545">
        <f>RATE(14,,-('ROI details'!C5+'PR Result'!C5+'Total Result'!C26*'Calculating offering price'!C87),C70)</f>
        <v>0.23088289360321207</v>
      </c>
      <c r="E71" s="546"/>
      <c r="F71" s="545" t="e">
        <f>_xlfn.RRI(15,D6,E70)</f>
        <v>#NUM!</v>
      </c>
      <c r="G71" s="546"/>
      <c r="H71" s="547" t="e">
        <f>F71-D71</f>
        <v>#NUM!</v>
      </c>
    </row>
    <row r="73" spans="1:8" x14ac:dyDescent="0.25">
      <c r="A73" s="548"/>
    </row>
    <row r="75" spans="1:8" x14ac:dyDescent="0.25">
      <c r="A75" s="549"/>
    </row>
  </sheetData>
  <sheetProtection algorithmName="SHA-512" hashValue="KORsKvPQL0xt6lof9NZfkJgMkWFHvK8r0FHVSODKQ+vR0TwyqGsBaxxuTKfWjos120WuCpuuYBSCoa/dqQ55JQ==" saltValue="eWQ6S2R0l/Xm253QtYz+fw==" spinCount="100000" sheet="1" objects="1" scenarios="1"/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2" tint="-0.249977111117893"/>
  </sheetPr>
  <dimension ref="A1:C44"/>
  <sheetViews>
    <sheetView topLeftCell="A6" workbookViewId="0">
      <selection activeCell="C23" sqref="C23"/>
    </sheetView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26" t="s">
        <v>454</v>
      </c>
    </row>
    <row r="2" spans="1:3" ht="21" x14ac:dyDescent="0.4">
      <c r="B2" s="989" t="s">
        <v>253</v>
      </c>
      <c r="C2" s="989"/>
    </row>
    <row r="3" spans="1:3" x14ac:dyDescent="0.3">
      <c r="B3" s="290" t="s">
        <v>240</v>
      </c>
      <c r="C3" s="298">
        <f>SUM(C4:C6)</f>
        <v>63600</v>
      </c>
    </row>
    <row r="4" spans="1:3" x14ac:dyDescent="0.3">
      <c r="B4" s="295" t="s">
        <v>254</v>
      </c>
      <c r="C4" s="292">
        <f>('Calculating offering price'!C51+'Calculating offering price'!D49+'Calculating offering price'!E49)*12</f>
        <v>63600</v>
      </c>
    </row>
    <row r="5" spans="1:3" x14ac:dyDescent="0.3">
      <c r="B5" s="295" t="s">
        <v>255</v>
      </c>
      <c r="C5" s="293">
        <f>SUM('Calculating offering price'!C53:C56)*12</f>
        <v>0</v>
      </c>
    </row>
    <row r="6" spans="1:3" x14ac:dyDescent="0.3">
      <c r="B6" s="296" t="s">
        <v>256</v>
      </c>
      <c r="C6" s="294">
        <f>-'ROI Number insert'!F26</f>
        <v>0</v>
      </c>
    </row>
    <row r="7" spans="1:3" x14ac:dyDescent="0.3">
      <c r="B7" s="290" t="s">
        <v>241</v>
      </c>
      <c r="C7" s="298">
        <f>SUM(C8:C18)</f>
        <v>26156.089249411765</v>
      </c>
    </row>
    <row r="8" spans="1:3" x14ac:dyDescent="0.3">
      <c r="B8" s="295" t="s">
        <v>257</v>
      </c>
      <c r="C8" s="292">
        <f>'ROI Number insert'!F41</f>
        <v>3180</v>
      </c>
    </row>
    <row r="9" spans="1:3" x14ac:dyDescent="0.3">
      <c r="B9" s="295" t="s">
        <v>258</v>
      </c>
      <c r="C9" s="292">
        <f>'ROI Number insert'!F38</f>
        <v>1500</v>
      </c>
    </row>
    <row r="10" spans="1:3" x14ac:dyDescent="0.3">
      <c r="B10" s="295" t="s">
        <v>259</v>
      </c>
      <c r="C10" s="292">
        <f>'ROI Number insert'!F35</f>
        <v>1571.1435294117646</v>
      </c>
    </row>
    <row r="11" spans="1:3" x14ac:dyDescent="0.3">
      <c r="B11" s="295" t="s">
        <v>260</v>
      </c>
      <c r="C11" s="292">
        <f>'ROI Number insert'!F39</f>
        <v>0</v>
      </c>
    </row>
    <row r="12" spans="1:3" x14ac:dyDescent="0.3">
      <c r="B12" s="295" t="s">
        <v>261</v>
      </c>
      <c r="C12" s="292">
        <f>'ROI Number insert'!F40</f>
        <v>0</v>
      </c>
    </row>
    <row r="13" spans="1:3" x14ac:dyDescent="0.3">
      <c r="B13" s="295" t="s">
        <v>262</v>
      </c>
      <c r="C13" s="292">
        <f>'ROI Number insert'!F34</f>
        <v>5088</v>
      </c>
    </row>
    <row r="14" spans="1:3" x14ac:dyDescent="0.3">
      <c r="B14" s="295" t="s">
        <v>39</v>
      </c>
      <c r="C14" s="292">
        <f>'ROI Number insert'!F37</f>
        <v>10884</v>
      </c>
    </row>
    <row r="15" spans="1:3" x14ac:dyDescent="0.3">
      <c r="B15" s="295" t="s">
        <v>190</v>
      </c>
      <c r="C15" s="292">
        <f>'ROI Number insert'!F42</f>
        <v>0</v>
      </c>
    </row>
    <row r="16" spans="1:3" x14ac:dyDescent="0.3">
      <c r="B16" s="295" t="s">
        <v>263</v>
      </c>
      <c r="C16" s="292">
        <f>'ROI Number insert'!F43</f>
        <v>0</v>
      </c>
    </row>
    <row r="17" spans="2:3" x14ac:dyDescent="0.3">
      <c r="B17" s="295" t="s">
        <v>267</v>
      </c>
      <c r="C17" s="292">
        <f>'ROI Number insert'!I16</f>
        <v>0</v>
      </c>
    </row>
    <row r="18" spans="2:3" x14ac:dyDescent="0.3">
      <c r="B18" s="296" t="s">
        <v>264</v>
      </c>
      <c r="C18" s="297">
        <f>'ROI Number insert'!F32</f>
        <v>3932.9457199999997</v>
      </c>
    </row>
    <row r="19" spans="2:3" x14ac:dyDescent="0.3">
      <c r="B19" s="299" t="s">
        <v>218</v>
      </c>
      <c r="C19" s="300">
        <f>C3-C7</f>
        <v>37443.910750588235</v>
      </c>
    </row>
    <row r="20" spans="2:3" x14ac:dyDescent="0.3">
      <c r="B20" s="1" t="s">
        <v>265</v>
      </c>
      <c r="C20" s="292">
        <f>'ROI Number insert'!I13</f>
        <v>25625.871052905757</v>
      </c>
    </row>
    <row r="21" spans="2:3" ht="15" thickBot="1" x14ac:dyDescent="0.35">
      <c r="B21" s="403" t="s">
        <v>266</v>
      </c>
      <c r="C21" s="404">
        <f>'ROI Number insert'!I17</f>
        <v>0</v>
      </c>
    </row>
    <row r="22" spans="2:3" ht="16.8" thickTop="1" thickBot="1" x14ac:dyDescent="0.35">
      <c r="B22" s="405" t="s">
        <v>141</v>
      </c>
      <c r="C22" s="921">
        <f>C19-SUM(C20:C21)</f>
        <v>11818.039697682478</v>
      </c>
    </row>
    <row r="23" spans="2:3" ht="15" thickBot="1" x14ac:dyDescent="0.35">
      <c r="B23" s="407" t="s">
        <v>331</v>
      </c>
      <c r="C23" s="408">
        <f>'Total Result'!C21</f>
        <v>208200</v>
      </c>
    </row>
    <row r="24" spans="2:3" ht="15.6" thickTop="1" thickBot="1" x14ac:dyDescent="0.35">
      <c r="B24" s="409" t="s">
        <v>332</v>
      </c>
      <c r="C24" s="410">
        <f>C22/C23</f>
        <v>5.6762918816918723E-2</v>
      </c>
    </row>
    <row r="25" spans="2:3" x14ac:dyDescent="0.3">
      <c r="B25" s="1" t="s">
        <v>335</v>
      </c>
      <c r="C25" s="127">
        <f>'Total Result'!C17+'Financial Statement'!C32</f>
        <v>193915.9948529308</v>
      </c>
    </row>
    <row r="26" spans="2:3" x14ac:dyDescent="0.3">
      <c r="B26" s="1" t="s">
        <v>337</v>
      </c>
      <c r="C26" s="413">
        <f>C25/'Total Result'!C26</f>
        <v>0.36245980346342205</v>
      </c>
    </row>
    <row r="27" spans="2:3" ht="15" thickBot="1" x14ac:dyDescent="0.35">
      <c r="B27" s="1" t="s">
        <v>339</v>
      </c>
      <c r="C27" s="413">
        <f>C26-'Calculating offering price'!C13</f>
        <v>1.245980346342207E-2</v>
      </c>
    </row>
    <row r="28" spans="2:3" ht="15.6" thickTop="1" thickBot="1" x14ac:dyDescent="0.35">
      <c r="B28" s="409" t="s">
        <v>336</v>
      </c>
      <c r="C28" s="410">
        <f>C22/C25</f>
        <v>6.0944120193104648E-2</v>
      </c>
    </row>
    <row r="31" spans="2:3" x14ac:dyDescent="0.3">
      <c r="B31" s="990" t="s">
        <v>333</v>
      </c>
      <c r="C31" s="990"/>
    </row>
    <row r="32" spans="2:3" x14ac:dyDescent="0.3">
      <c r="B32" s="1" t="s">
        <v>334</v>
      </c>
      <c r="C32" s="292">
        <f>SUM('Mortgage payment schedule'!E9:E20)</f>
        <v>6665.9948529308003</v>
      </c>
    </row>
    <row r="33" spans="2:3" ht="15" thickBot="1" x14ac:dyDescent="0.35">
      <c r="B33" s="403" t="s">
        <v>331</v>
      </c>
      <c r="C33" s="411">
        <f>C23</f>
        <v>208200</v>
      </c>
    </row>
    <row r="34" spans="2:3" ht="15" thickTop="1" x14ac:dyDescent="0.3">
      <c r="B34" s="1" t="s">
        <v>338</v>
      </c>
      <c r="C34" s="412">
        <f>C32/C33</f>
        <v>3.2017266344528339E-2</v>
      </c>
    </row>
    <row r="36" spans="2:3" x14ac:dyDescent="0.3">
      <c r="B36" s="990" t="s">
        <v>340</v>
      </c>
      <c r="C36" s="990"/>
    </row>
    <row r="37" spans="2:3" x14ac:dyDescent="0.3">
      <c r="B37" s="1" t="s">
        <v>341</v>
      </c>
      <c r="C37" s="414">
        <f>'ROI Number insert'!F6</f>
        <v>0.02</v>
      </c>
    </row>
    <row r="38" spans="2:3" x14ac:dyDescent="0.3">
      <c r="B38" s="1" t="s">
        <v>95</v>
      </c>
      <c r="C38" s="292">
        <f>'ROI Number insert'!F3</f>
        <v>535000</v>
      </c>
    </row>
    <row r="39" spans="2:3" x14ac:dyDescent="0.3">
      <c r="B39" s="1" t="s">
        <v>342</v>
      </c>
      <c r="C39" s="127">
        <f>C38*C37</f>
        <v>10700</v>
      </c>
    </row>
    <row r="40" spans="2:3" ht="15" thickBot="1" x14ac:dyDescent="0.35">
      <c r="B40" s="403" t="s">
        <v>331</v>
      </c>
      <c r="C40" s="411">
        <f>C33</f>
        <v>208200</v>
      </c>
    </row>
    <row r="41" spans="2:3" ht="15" thickTop="1" x14ac:dyDescent="0.3">
      <c r="B41" s="1" t="s">
        <v>343</v>
      </c>
      <c r="C41" s="412">
        <f>C39/C40</f>
        <v>5.139289145052834E-2</v>
      </c>
    </row>
    <row r="43" spans="2:3" ht="15" thickBot="1" x14ac:dyDescent="0.35">
      <c r="B43" s="406" t="s">
        <v>344</v>
      </c>
      <c r="C43" s="415">
        <f>C41+C34+C24</f>
        <v>0.14017307661197539</v>
      </c>
    </row>
    <row r="44" spans="2:3" ht="15" thickTop="1" x14ac:dyDescent="0.3"/>
  </sheetData>
  <sheetProtection algorithmName="SHA-512" hashValue="M14GdUiPNfIsCnezJemensbKqZL/sTII6hE4eyXhjfdT/IxYQhRHSrLbBCs9QAT6O3+77tep3zoct48lXdP4dw==" saltValue="QBiRX9/6YjAYyeVEuaqT0w==" spinCount="100000" sheet="1" objects="1" scenarios="1"/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2" tint="-0.249977111117893"/>
  </sheetPr>
  <dimension ref="A1:K50"/>
  <sheetViews>
    <sheetView topLeftCell="A15" workbookViewId="0">
      <selection activeCell="H33" sqref="H33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4.332031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26" t="s">
        <v>454</v>
      </c>
    </row>
    <row r="2" spans="1:11" ht="21.6" thickBot="1" x14ac:dyDescent="0.45">
      <c r="B2" s="425" t="s">
        <v>141</v>
      </c>
      <c r="G2" s="402" t="s">
        <v>142</v>
      </c>
      <c r="I2" s="117"/>
    </row>
    <row r="3" spans="1:11" ht="15.6" x14ac:dyDescent="0.3">
      <c r="B3" s="1" t="s">
        <v>199</v>
      </c>
      <c r="D3" s="785"/>
      <c r="G3" s="178" t="s">
        <v>205</v>
      </c>
      <c r="H3" s="179" t="s">
        <v>21</v>
      </c>
      <c r="I3" s="180">
        <f>'ROI Number insert'!F19</f>
        <v>208200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SUM('Mortgage payment schedule'!E9:E69)</f>
        <v>38020.901991155486</v>
      </c>
    </row>
    <row r="5" spans="1:11" ht="15.6" x14ac:dyDescent="0.3">
      <c r="B5" s="169">
        <v>1</v>
      </c>
      <c r="C5" s="786">
        <f>'ROI Number insert'!F47</f>
        <v>11818.039697682478</v>
      </c>
      <c r="D5" s="171">
        <f>C5/$C$11</f>
        <v>5.6762918816918723E-2</v>
      </c>
      <c r="E5" s="172">
        <f>C5/12</f>
        <v>984.83664147353977</v>
      </c>
      <c r="G5" s="163"/>
      <c r="H5" s="181" t="s">
        <v>146</v>
      </c>
      <c r="I5" s="183">
        <f>I4/I3</f>
        <v>0.18261720456847017</v>
      </c>
    </row>
    <row r="6" spans="1:11" ht="16.2" thickBot="1" x14ac:dyDescent="0.35">
      <c r="B6" s="169">
        <v>2</v>
      </c>
      <c r="C6" s="17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12083.030261580127</v>
      </c>
      <c r="D6" s="171">
        <f t="shared" ref="D6:D9" si="0">C6/$C$11</f>
        <v>5.8035688095966029E-2</v>
      </c>
      <c r="E6" s="172">
        <f>C6/12</f>
        <v>1006.9191884650105</v>
      </c>
      <c r="G6" s="163"/>
      <c r="H6" s="181" t="s">
        <v>147</v>
      </c>
      <c r="I6" s="183">
        <f>I5/10</f>
        <v>1.8261720456847017E-2</v>
      </c>
    </row>
    <row r="7" spans="1:11" s="76" customFormat="1" ht="15.6" x14ac:dyDescent="0.3">
      <c r="B7" s="174">
        <v>3</v>
      </c>
      <c r="C7" s="17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12334.690962187833</v>
      </c>
      <c r="D7" s="171">
        <f t="shared" si="0"/>
        <v>5.9244433055657221E-2</v>
      </c>
      <c r="E7" s="175">
        <f>C7/12</f>
        <v>1027.8909135156528</v>
      </c>
      <c r="G7" s="121" t="s">
        <v>144</v>
      </c>
      <c r="H7" s="122" t="s">
        <v>21</v>
      </c>
      <c r="I7" s="123">
        <f>I3</f>
        <v>208200</v>
      </c>
      <c r="K7" s="1"/>
    </row>
    <row r="8" spans="1:11" ht="15.6" x14ac:dyDescent="0.3">
      <c r="B8" s="169">
        <v>4</v>
      </c>
      <c r="C8" s="17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12794.040123956904</v>
      </c>
      <c r="D8" s="171">
        <f t="shared" si="0"/>
        <v>6.145072105646928E-2</v>
      </c>
      <c r="E8" s="172">
        <f>C8/12</f>
        <v>1066.1700103297419</v>
      </c>
      <c r="G8" s="124"/>
      <c r="H8" s="125" t="s">
        <v>145</v>
      </c>
      <c r="I8" s="126">
        <f>SUM('Mortgage payment schedule'!E9:E129)</f>
        <v>87332.514847867977</v>
      </c>
    </row>
    <row r="9" spans="1:11" ht="15.6" x14ac:dyDescent="0.3">
      <c r="B9" s="169">
        <v>5</v>
      </c>
      <c r="C9" s="17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12999.617024810119</v>
      </c>
      <c r="D9" s="171">
        <f t="shared" si="0"/>
        <v>6.2438122117243609E-2</v>
      </c>
      <c r="E9" s="172">
        <f>C9/12</f>
        <v>1083.3014187341767</v>
      </c>
      <c r="G9" s="124"/>
      <c r="H9" s="125" t="s">
        <v>146</v>
      </c>
      <c r="I9" s="129">
        <f>I8/I7</f>
        <v>0.41946452856804983</v>
      </c>
    </row>
    <row r="10" spans="1:11" ht="16.2" thickBot="1" x14ac:dyDescent="0.35">
      <c r="B10" s="169" t="s">
        <v>152</v>
      </c>
      <c r="C10" s="170">
        <f>SUM(C5:C9)</f>
        <v>62029.418070217456</v>
      </c>
      <c r="G10" s="224"/>
      <c r="H10" s="130" t="s">
        <v>147</v>
      </c>
      <c r="I10" s="225">
        <f>I9/10</f>
        <v>4.1946452856804983E-2</v>
      </c>
    </row>
    <row r="11" spans="1:11" ht="15.6" x14ac:dyDescent="0.3">
      <c r="B11" s="169" t="s">
        <v>21</v>
      </c>
      <c r="C11" s="170">
        <f>'ROI Number insert'!F19</f>
        <v>208200</v>
      </c>
      <c r="G11" s="226" t="s">
        <v>148</v>
      </c>
      <c r="H11" s="227" t="s">
        <v>21</v>
      </c>
      <c r="I11" s="228">
        <f>I3</f>
        <v>208200</v>
      </c>
    </row>
    <row r="12" spans="1:11" s="76" customFormat="1" ht="15.6" x14ac:dyDescent="0.3">
      <c r="B12" s="174" t="s">
        <v>153</v>
      </c>
      <c r="C12" s="176">
        <f>C10/C11/5</f>
        <v>5.9586376628450968E-2</v>
      </c>
      <c r="G12" s="131"/>
      <c r="H12" s="132" t="s">
        <v>145</v>
      </c>
      <c r="I12" s="133">
        <f>SUM('Mortgage payment schedule'!E9:E189)</f>
        <v>152211.98991328973</v>
      </c>
      <c r="K12" s="1"/>
    </row>
    <row r="13" spans="1:11" ht="31.2" x14ac:dyDescent="0.3">
      <c r="B13" s="173" t="s">
        <v>154</v>
      </c>
      <c r="C13" s="234">
        <f>_xlfn.RRI(5,D5,D9)</f>
        <v>1.9241322510853198E-2</v>
      </c>
      <c r="G13" s="131"/>
      <c r="H13" s="132" t="s">
        <v>146</v>
      </c>
      <c r="I13" s="134">
        <f>I12/I11</f>
        <v>0.73108544626940308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4.8739029751293537E-2</v>
      </c>
    </row>
    <row r="15" spans="1:11" ht="18.600000000000001" thickBot="1" x14ac:dyDescent="0.4">
      <c r="B15" s="138" t="s">
        <v>140</v>
      </c>
      <c r="C15" s="138" t="s">
        <v>149</v>
      </c>
      <c r="D15" s="138" t="s">
        <v>150</v>
      </c>
      <c r="E15" s="138" t="s">
        <v>151</v>
      </c>
      <c r="G15" s="402" t="s">
        <v>143</v>
      </c>
    </row>
    <row r="16" spans="1:11" ht="15.6" x14ac:dyDescent="0.3">
      <c r="B16" s="139">
        <v>1</v>
      </c>
      <c r="C16" s="140">
        <f>C5</f>
        <v>11818.039697682478</v>
      </c>
      <c r="D16" s="141">
        <f>C16/$C$27</f>
        <v>5.6762918816918723E-2</v>
      </c>
      <c r="E16" s="142">
        <f>C16/12</f>
        <v>984.83664147353977</v>
      </c>
      <c r="G16" s="184" t="s">
        <v>95</v>
      </c>
      <c r="H16" s="215">
        <f>'ROI Number insert'!F3</f>
        <v>535000</v>
      </c>
    </row>
    <row r="17" spans="2:11" ht="16.2" thickBot="1" x14ac:dyDescent="0.35">
      <c r="B17" s="139">
        <v>2</v>
      </c>
      <c r="C17" s="14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12083.030261580127</v>
      </c>
      <c r="D17" s="141">
        <f t="shared" ref="D17:D25" si="1">C17/$C$27</f>
        <v>5.8035688095966029E-2</v>
      </c>
      <c r="E17" s="142">
        <f t="shared" ref="E17:E25" si="2">C17/12</f>
        <v>1006.9191884650105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12334.690962187833</v>
      </c>
      <c r="D18" s="141">
        <f t="shared" si="1"/>
        <v>5.9244433055657221E-2</v>
      </c>
      <c r="E18" s="142">
        <f t="shared" si="2"/>
        <v>1027.8909135156528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12572.037959768924</v>
      </c>
      <c r="D19" s="141">
        <f t="shared" si="1"/>
        <v>6.0384428240965057E-2</v>
      </c>
      <c r="E19" s="142">
        <f t="shared" si="2"/>
        <v>1047.6698299807438</v>
      </c>
      <c r="G19" s="186" t="s">
        <v>201</v>
      </c>
      <c r="H19" s="217">
        <f>'Calculating offering price'!C95</f>
        <v>590683.229712</v>
      </c>
      <c r="I19" s="218">
        <f>H19-H16</f>
        <v>55683.229712</v>
      </c>
      <c r="J19" s="221">
        <f>I19/'ROI Number insert'!$F$19</f>
        <v>0.2674506710470701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12794.040123956904</v>
      </c>
      <c r="D20" s="141">
        <f t="shared" si="1"/>
        <v>6.145072105646928E-2</v>
      </c>
      <c r="E20" s="142">
        <f t="shared" si="2"/>
        <v>1066.1700103297419</v>
      </c>
      <c r="G20" s="186" t="s">
        <v>202</v>
      </c>
      <c r="H20" s="217">
        <f>'Calculating offering price'!C106</f>
        <v>620889.34138845443</v>
      </c>
      <c r="I20" s="218">
        <f>H20-H16</f>
        <v>85889.341388454428</v>
      </c>
      <c r="J20" s="221">
        <f>I20/'ROI Number insert'!$F$19</f>
        <v>0.41253285969478592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12999.617024810119</v>
      </c>
      <c r="D21" s="141">
        <f t="shared" si="1"/>
        <v>6.2438122117243609E-2</v>
      </c>
      <c r="E21" s="142">
        <f t="shared" si="2"/>
        <v>1083.3014187341767</v>
      </c>
      <c r="G21" s="188" t="s">
        <v>203</v>
      </c>
      <c r="H21" s="219">
        <f>'Calculating offering price'!C117</f>
        <v>720039.56100340909</v>
      </c>
      <c r="I21" s="220">
        <f>H21-H16</f>
        <v>185039.56100340909</v>
      </c>
      <c r="J21" s="221">
        <f>I21/'ROI Number insert'!$F$19</f>
        <v>0.88875869838332899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13187.636842757071</v>
      </c>
      <c r="D22" s="141">
        <f t="shared" si="1"/>
        <v>6.3341195210168441E-2</v>
      </c>
      <c r="E22" s="142">
        <f t="shared" si="2"/>
        <v>1098.9697368964225</v>
      </c>
    </row>
    <row r="23" spans="2:11" ht="18.600000000000001" thickBot="1" x14ac:dyDescent="0.4">
      <c r="B23" s="139">
        <v>8</v>
      </c>
      <c r="C23" s="140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13356.914194234043</v>
      </c>
      <c r="D23" s="141">
        <f t="shared" si="1"/>
        <v>6.41542468503076E-2</v>
      </c>
      <c r="E23" s="142">
        <f t="shared" si="2"/>
        <v>1113.0761828528368</v>
      </c>
      <c r="G23" s="402" t="s">
        <v>206</v>
      </c>
    </row>
    <row r="24" spans="2:11" ht="15.6" x14ac:dyDescent="0.3">
      <c r="B24" s="139">
        <v>9</v>
      </c>
      <c r="C24" s="140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13506.2078696928</v>
      </c>
      <c r="D24" s="141">
        <f t="shared" si="1"/>
        <v>6.4871315416391934E-2</v>
      </c>
      <c r="E24" s="142">
        <f t="shared" si="2"/>
        <v>1125.5173224744001</v>
      </c>
      <c r="G24" s="209" t="s">
        <v>95</v>
      </c>
      <c r="H24" s="210">
        <f>'ROI Number insert'!F3</f>
        <v>535000</v>
      </c>
    </row>
    <row r="25" spans="2:11" ht="15.6" x14ac:dyDescent="0.3">
      <c r="B25" s="139">
        <v>10</v>
      </c>
      <c r="C25" s="140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13634.218480525575</v>
      </c>
      <c r="D25" s="141">
        <f t="shared" si="1"/>
        <v>6.5486159848826012E-2</v>
      </c>
      <c r="E25" s="142">
        <f t="shared" si="2"/>
        <v>1136.1848733771312</v>
      </c>
      <c r="G25" s="211" t="s">
        <v>94</v>
      </c>
      <c r="H25" s="212">
        <f>'ROI Number insert'!F10</f>
        <v>20950</v>
      </c>
      <c r="I25" s="117"/>
    </row>
    <row r="26" spans="2:11" ht="15.6" x14ac:dyDescent="0.3">
      <c r="B26" s="139" t="s">
        <v>152</v>
      </c>
      <c r="C26" s="140">
        <f>SUM(C16:C25)</f>
        <v>128286.43341719586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208200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6.1616922870891391E-2</v>
      </c>
      <c r="D28" s="117"/>
      <c r="G28" s="211" t="s">
        <v>208</v>
      </c>
      <c r="H28" s="212">
        <f>IF(H29&gt;0,'ROI Number insert'!F50,0)</f>
        <v>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1.4398224647627078E-2</v>
      </c>
      <c r="D29" s="164"/>
      <c r="E29" s="165"/>
      <c r="G29" s="269" t="s">
        <v>209</v>
      </c>
      <c r="H29" s="270">
        <f>IF('ROI Number insert'!I24="less than 1 year", 'ROI Number insert'!F17, 0)</f>
        <v>0</v>
      </c>
    </row>
    <row r="30" spans="2:11" ht="15.6" x14ac:dyDescent="0.3">
      <c r="B30" s="1" t="s">
        <v>197</v>
      </c>
      <c r="D30" s="117"/>
      <c r="G30" s="211" t="s">
        <v>210</v>
      </c>
      <c r="H30" s="763">
        <f>H29-SUM(H24:H28)</f>
        <v>-555950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208200</v>
      </c>
    </row>
    <row r="32" spans="2:11" ht="16.2" thickBot="1" x14ac:dyDescent="0.35">
      <c r="B32" s="146">
        <v>1</v>
      </c>
      <c r="C32" s="147">
        <f>C16</f>
        <v>11818.039697682478</v>
      </c>
      <c r="D32" s="148">
        <f>C32/$C$48</f>
        <v>5.6762918816918723E-2</v>
      </c>
      <c r="E32" s="147">
        <f>C32/12</f>
        <v>984.83664147353977</v>
      </c>
      <c r="G32" s="213" t="s">
        <v>146</v>
      </c>
      <c r="H32" s="214">
        <f>IF(H30&lt;0,0%,H30/H31)</f>
        <v>0</v>
      </c>
    </row>
    <row r="33" spans="2:11" ht="21.6" thickBot="1" x14ac:dyDescent="0.45">
      <c r="B33" s="146">
        <v>2</v>
      </c>
      <c r="C33" s="14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12083.030261580127</v>
      </c>
      <c r="D33" s="148">
        <f t="shared" ref="D33:D46" si="3">C33/$C$48</f>
        <v>5.8035688095966029E-2</v>
      </c>
      <c r="E33" s="147">
        <f t="shared" ref="E33:E46" si="4">C33/12</f>
        <v>1006.9191884650105</v>
      </c>
      <c r="G33" s="192" t="s">
        <v>217</v>
      </c>
    </row>
    <row r="34" spans="2:11" s="76" customFormat="1" ht="15.6" x14ac:dyDescent="0.3">
      <c r="B34" s="199">
        <v>3</v>
      </c>
      <c r="C34" s="2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12334.690962187833</v>
      </c>
      <c r="D34" s="201">
        <f t="shared" si="3"/>
        <v>5.9244433055657221E-2</v>
      </c>
      <c r="E34" s="202">
        <f t="shared" si="4"/>
        <v>1027.8909135156528</v>
      </c>
      <c r="G34" s="416" t="s">
        <v>218</v>
      </c>
      <c r="H34" s="417">
        <f>'ROI Number insert'!F45</f>
        <v>37443.910750588235</v>
      </c>
      <c r="I34" s="203"/>
      <c r="J34" s="203"/>
      <c r="K34" s="203"/>
    </row>
    <row r="35" spans="2:11" ht="16.2" thickBot="1" x14ac:dyDescent="0.35">
      <c r="B35" s="146">
        <v>4</v>
      </c>
      <c r="C35" s="14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12572.037959768924</v>
      </c>
      <c r="D35" s="148">
        <f t="shared" si="3"/>
        <v>6.0384428240965057E-2</v>
      </c>
      <c r="E35" s="147">
        <f t="shared" si="4"/>
        <v>1047.6698299807438</v>
      </c>
      <c r="G35" s="418" t="s">
        <v>217</v>
      </c>
      <c r="H35" s="419">
        <f>H34/'ROI Number insert'!F3</f>
        <v>6.9988618225398563E-2</v>
      </c>
    </row>
    <row r="36" spans="2:11" ht="16.8" thickTop="1" thickBot="1" x14ac:dyDescent="0.35">
      <c r="B36" s="146">
        <v>5</v>
      </c>
      <c r="C36" s="14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12794.040123956904</v>
      </c>
      <c r="D36" s="148">
        <f t="shared" si="3"/>
        <v>6.145072105646928E-2</v>
      </c>
      <c r="E36" s="147">
        <f t="shared" si="4"/>
        <v>1066.1700103297419</v>
      </c>
      <c r="G36" s="418" t="s">
        <v>345</v>
      </c>
      <c r="H36" s="674">
        <v>7.0000000000000007E-2</v>
      </c>
      <c r="I36" s="626" t="s">
        <v>526</v>
      </c>
    </row>
    <row r="37" spans="2:11" ht="32.4" thickTop="1" thickBot="1" x14ac:dyDescent="0.35">
      <c r="B37" s="146">
        <v>6</v>
      </c>
      <c r="C37" s="14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12999.617024810119</v>
      </c>
      <c r="D37" s="148">
        <f t="shared" si="3"/>
        <v>6.2438122117243609E-2</v>
      </c>
      <c r="E37" s="147">
        <f t="shared" si="4"/>
        <v>1083.3014187341767</v>
      </c>
      <c r="G37" s="851" t="s">
        <v>515</v>
      </c>
      <c r="H37" s="420">
        <f>H34/H36</f>
        <v>534913.01072268898</v>
      </c>
    </row>
    <row r="38" spans="2:11" ht="15.6" x14ac:dyDescent="0.3">
      <c r="B38" s="146">
        <v>7</v>
      </c>
      <c r="C38" s="14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13187.636842757071</v>
      </c>
      <c r="D38" s="148">
        <f t="shared" si="3"/>
        <v>6.3341195210168441E-2</v>
      </c>
      <c r="E38" s="147">
        <f t="shared" si="4"/>
        <v>1098.9697368964225</v>
      </c>
    </row>
    <row r="39" spans="2:11" s="203" customFormat="1" ht="15.6" x14ac:dyDescent="0.3">
      <c r="B39" s="199">
        <v>8</v>
      </c>
      <c r="C39" s="14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13356.914194234043</v>
      </c>
      <c r="D39" s="148">
        <f t="shared" si="3"/>
        <v>6.41542468503076E-2</v>
      </c>
      <c r="E39" s="202">
        <f t="shared" si="4"/>
        <v>1113.0761828528368</v>
      </c>
    </row>
    <row r="40" spans="2:11" ht="15.6" x14ac:dyDescent="0.3">
      <c r="B40" s="146">
        <v>9</v>
      </c>
      <c r="C40" s="14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13506.2078696928</v>
      </c>
      <c r="D40" s="148">
        <f t="shared" si="3"/>
        <v>6.4871315416391934E-2</v>
      </c>
      <c r="E40" s="147">
        <f t="shared" si="4"/>
        <v>1125.5173224744001</v>
      </c>
    </row>
    <row r="41" spans="2:11" ht="15.6" x14ac:dyDescent="0.3">
      <c r="B41" s="146">
        <v>10</v>
      </c>
      <c r="C41" s="14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13634.218480525575</v>
      </c>
      <c r="D41" s="148">
        <f t="shared" si="3"/>
        <v>6.5486159848826012E-2</v>
      </c>
      <c r="E41" s="147">
        <f t="shared" si="4"/>
        <v>1136.1848733771312</v>
      </c>
    </row>
    <row r="42" spans="2:11" ht="15.6" x14ac:dyDescent="0.3">
      <c r="B42" s="146">
        <v>11</v>
      </c>
      <c r="C42" s="149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13739.58601132167</v>
      </c>
      <c r="D42" s="148">
        <f t="shared" si="3"/>
        <v>6.5992247892995529E-2</v>
      </c>
      <c r="E42" s="147">
        <f t="shared" si="4"/>
        <v>1144.9655009434725</v>
      </c>
    </row>
    <row r="43" spans="2:11" ht="15.6" x14ac:dyDescent="0.3">
      <c r="B43" s="146">
        <v>12</v>
      </c>
      <c r="C43" s="149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13820.887273728586</v>
      </c>
      <c r="D43" s="148">
        <f t="shared" si="3"/>
        <v>6.638274386997399E-2</v>
      </c>
      <c r="E43" s="147">
        <f t="shared" si="4"/>
        <v>1151.7406061440488</v>
      </c>
    </row>
    <row r="44" spans="2:11" ht="15.6" x14ac:dyDescent="0.3">
      <c r="B44" s="146">
        <v>13</v>
      </c>
      <c r="C44" s="149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13876.633258046873</v>
      </c>
      <c r="D44" s="148">
        <f t="shared" si="3"/>
        <v>6.6650495956036851E-2</v>
      </c>
      <c r="E44" s="147">
        <f t="shared" si="4"/>
        <v>1156.3861048372394</v>
      </c>
    </row>
    <row r="45" spans="2:11" ht="15.6" x14ac:dyDescent="0.3">
      <c r="B45" s="146">
        <v>14</v>
      </c>
      <c r="C45" s="149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13905.266378536238</v>
      </c>
      <c r="D45" s="148">
        <f t="shared" si="3"/>
        <v>6.6788022951663015E-2</v>
      </c>
      <c r="E45" s="147">
        <f t="shared" si="4"/>
        <v>1158.7721982113533</v>
      </c>
    </row>
    <row r="46" spans="2:11" ht="15.6" x14ac:dyDescent="0.3">
      <c r="B46" s="146">
        <v>15</v>
      </c>
      <c r="C46" s="149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13905.157608254827</v>
      </c>
      <c r="D46" s="148">
        <f t="shared" si="3"/>
        <v>6.6787500519955939E-2</v>
      </c>
      <c r="E46" s="147">
        <f t="shared" si="4"/>
        <v>1158.7631340212356</v>
      </c>
    </row>
    <row r="47" spans="2:11" ht="15.6" x14ac:dyDescent="0.3">
      <c r="B47" s="150" t="s">
        <v>152</v>
      </c>
      <c r="C47" s="151">
        <f>SUM(C32:C46)</f>
        <v>197533.96394708403</v>
      </c>
      <c r="D47" s="152"/>
      <c r="E47" s="153"/>
    </row>
    <row r="48" spans="2:11" ht="15.6" x14ac:dyDescent="0.3">
      <c r="B48" s="154" t="s">
        <v>21</v>
      </c>
      <c r="C48" s="155">
        <f>C11</f>
        <v>208200</v>
      </c>
      <c r="D48" s="152"/>
      <c r="E48" s="153"/>
    </row>
    <row r="49" spans="2:5" ht="15.6" x14ac:dyDescent="0.3">
      <c r="B49" s="154" t="s">
        <v>153</v>
      </c>
      <c r="C49" s="156">
        <f>C47/C48/15</f>
        <v>6.3251349326635939E-2</v>
      </c>
      <c r="D49" s="152"/>
      <c r="E49" s="153"/>
    </row>
    <row r="50" spans="2:5" ht="31.2" x14ac:dyDescent="0.3">
      <c r="B50" s="157" t="s">
        <v>154</v>
      </c>
      <c r="C50" s="236">
        <f>_xlfn.RRI(15,D32,D46)</f>
        <v>1.0901167428129188E-2</v>
      </c>
      <c r="D50" s="166"/>
      <c r="E50" s="167"/>
    </row>
  </sheetData>
  <hyperlinks>
    <hyperlink ref="G23" location="'Long term Result'!B38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  <hyperlink ref="I36" location="Outputs!A1" display="Back to Outputs" xr:uid="{6EB4798A-B8EE-42B0-BABE-DECA9B589460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5"/>
  </sheetPr>
  <dimension ref="A1:M44"/>
  <sheetViews>
    <sheetView workbookViewId="0">
      <selection activeCell="C28" sqref="C28"/>
    </sheetView>
  </sheetViews>
  <sheetFormatPr defaultColWidth="0" defaultRowHeight="14.4" zeroHeight="1" x14ac:dyDescent="0.3"/>
  <cols>
    <col min="1" max="1" width="4.21875" style="581" customWidth="1"/>
    <col min="2" max="2" width="23.6640625" style="581" customWidth="1"/>
    <col min="3" max="3" width="14.77734375" style="581" customWidth="1"/>
    <col min="4" max="5" width="10.33203125" style="581" customWidth="1"/>
    <col min="6" max="6" width="14" style="581" customWidth="1"/>
    <col min="7" max="7" width="17.109375" style="581" customWidth="1"/>
    <col min="8" max="8" width="26" style="581" customWidth="1"/>
    <col min="9" max="10" width="13.6640625" style="581" customWidth="1"/>
    <col min="11" max="11" width="13.77734375" style="581" customWidth="1"/>
    <col min="12" max="13" width="8.77734375" style="581" customWidth="1"/>
    <col min="14" max="16384" width="8.77734375" style="581" hidden="1"/>
  </cols>
  <sheetData>
    <row r="1" spans="1:11" ht="15" thickBot="1" x14ac:dyDescent="0.35">
      <c r="A1" s="626" t="s">
        <v>454</v>
      </c>
    </row>
    <row r="2" spans="1:11" ht="31.8" thickBot="1" x14ac:dyDescent="0.35">
      <c r="B2" s="582" t="s">
        <v>140</v>
      </c>
      <c r="C2" s="583" t="s">
        <v>149</v>
      </c>
      <c r="D2" s="583" t="s">
        <v>150</v>
      </c>
      <c r="E2" s="1030" t="s">
        <v>555</v>
      </c>
      <c r="F2" s="584" t="s">
        <v>151</v>
      </c>
      <c r="H2" s="585" t="s">
        <v>140</v>
      </c>
      <c r="I2" s="585" t="s">
        <v>149</v>
      </c>
      <c r="J2" s="585" t="s">
        <v>150</v>
      </c>
      <c r="K2" s="586" t="s">
        <v>151</v>
      </c>
    </row>
    <row r="3" spans="1:11" ht="15.6" x14ac:dyDescent="0.3">
      <c r="B3" s="587">
        <v>1</v>
      </c>
      <c r="C3" s="588">
        <f>'ROI details'!C5</f>
        <v>11818.039697682478</v>
      </c>
      <c r="D3" s="589">
        <f>C3/$C$39</f>
        <v>5.6762918816918723E-2</v>
      </c>
      <c r="E3" s="1027">
        <f>D3</f>
        <v>5.6762918816918723E-2</v>
      </c>
      <c r="F3" s="590">
        <f>C3/12</f>
        <v>984.83664147353977</v>
      </c>
      <c r="H3" s="591">
        <v>1</v>
      </c>
      <c r="I3" s="592" t="e">
        <f>'ROI Detail ARV'!C5</f>
        <v>#NUM!</v>
      </c>
      <c r="J3" s="593" t="e">
        <f>I3/$I$39</f>
        <v>#NUM!</v>
      </c>
      <c r="K3" s="592" t="e">
        <f>I3/12</f>
        <v>#NUM!</v>
      </c>
    </row>
    <row r="4" spans="1:11" ht="15.6" x14ac:dyDescent="0.3">
      <c r="B4" s="594">
        <v>2</v>
      </c>
      <c r="C4" s="595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12083.030261580127</v>
      </c>
      <c r="D4" s="593">
        <f t="shared" ref="D4:D36" si="0">C4/$C$39</f>
        <v>5.8035688095966029E-2</v>
      </c>
      <c r="E4" s="1028">
        <f>E3+D4</f>
        <v>0.11479860691288475</v>
      </c>
      <c r="F4" s="596">
        <f t="shared" ref="F4:F37" si="1">C4/12</f>
        <v>1006.9191884650105</v>
      </c>
      <c r="G4" s="1"/>
      <c r="H4" s="591">
        <v>2</v>
      </c>
      <c r="I4" s="595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J4" s="593" t="e">
        <f t="shared" ref="J4:J37" si="2">I4/$I$39</f>
        <v>#NUM!</v>
      </c>
      <c r="K4" s="592" t="e">
        <f t="shared" ref="K4:K37" si="3">I4/12</f>
        <v>#NUM!</v>
      </c>
    </row>
    <row r="5" spans="1:11" ht="15.6" x14ac:dyDescent="0.3">
      <c r="B5" s="597">
        <v>3</v>
      </c>
      <c r="C5" s="598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12334.690962187833</v>
      </c>
      <c r="D5" s="593">
        <f t="shared" si="0"/>
        <v>5.9244433055657221E-2</v>
      </c>
      <c r="E5" s="1028">
        <f t="shared" ref="E5:E32" si="4">E4+D5</f>
        <v>0.17404303996854198</v>
      </c>
      <c r="F5" s="599">
        <f t="shared" si="1"/>
        <v>1027.8909135156528</v>
      </c>
      <c r="G5" s="1"/>
      <c r="H5" s="600">
        <v>3</v>
      </c>
      <c r="I5" s="595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J5" s="593" t="e">
        <f t="shared" si="2"/>
        <v>#NUM!</v>
      </c>
      <c r="K5" s="601" t="e">
        <f t="shared" si="3"/>
        <v>#NUM!</v>
      </c>
    </row>
    <row r="6" spans="1:11" ht="15.6" x14ac:dyDescent="0.3">
      <c r="B6" s="594">
        <v>4</v>
      </c>
      <c r="C6" s="595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12572.037959768924</v>
      </c>
      <c r="D6" s="593">
        <f t="shared" si="0"/>
        <v>6.0384428240965057E-2</v>
      </c>
      <c r="E6" s="1028">
        <f t="shared" si="4"/>
        <v>0.23442746820950705</v>
      </c>
      <c r="F6" s="596">
        <f t="shared" si="1"/>
        <v>1047.6698299807438</v>
      </c>
      <c r="G6" s="1"/>
      <c r="H6" s="591">
        <v>4</v>
      </c>
      <c r="I6" s="595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J6" s="593" t="e">
        <f t="shared" si="2"/>
        <v>#NUM!</v>
      </c>
      <c r="K6" s="592" t="e">
        <f t="shared" si="3"/>
        <v>#NUM!</v>
      </c>
    </row>
    <row r="7" spans="1:11" ht="15.6" x14ac:dyDescent="0.3">
      <c r="B7" s="594">
        <v>5</v>
      </c>
      <c r="C7" s="595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12794.040123956904</v>
      </c>
      <c r="D7" s="593">
        <f t="shared" si="0"/>
        <v>6.145072105646928E-2</v>
      </c>
      <c r="E7" s="1028">
        <f t="shared" si="4"/>
        <v>0.29587818926597631</v>
      </c>
      <c r="F7" s="596">
        <f t="shared" si="1"/>
        <v>1066.1700103297419</v>
      </c>
      <c r="G7" s="1"/>
      <c r="H7" s="591">
        <v>5</v>
      </c>
      <c r="I7" s="595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J7" s="593" t="e">
        <f t="shared" si="2"/>
        <v>#NUM!</v>
      </c>
      <c r="K7" s="592" t="e">
        <f t="shared" si="3"/>
        <v>#NUM!</v>
      </c>
    </row>
    <row r="8" spans="1:11" ht="15.6" x14ac:dyDescent="0.3">
      <c r="B8" s="594">
        <v>6</v>
      </c>
      <c r="C8" s="595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12999.617024810119</v>
      </c>
      <c r="D8" s="593">
        <f t="shared" si="0"/>
        <v>6.2438122117243609E-2</v>
      </c>
      <c r="E8" s="1028">
        <f t="shared" si="4"/>
        <v>0.3583163113832199</v>
      </c>
      <c r="F8" s="596">
        <f t="shared" si="1"/>
        <v>1083.3014187341767</v>
      </c>
      <c r="G8" s="1"/>
      <c r="H8" s="591">
        <v>6</v>
      </c>
      <c r="I8" s="595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J8" s="593" t="e">
        <f t="shared" si="2"/>
        <v>#NUM!</v>
      </c>
      <c r="K8" s="592" t="e">
        <f t="shared" si="3"/>
        <v>#NUM!</v>
      </c>
    </row>
    <row r="9" spans="1:11" ht="15.6" x14ac:dyDescent="0.3">
      <c r="B9" s="594">
        <v>7</v>
      </c>
      <c r="C9" s="595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13187.636842757071</v>
      </c>
      <c r="D9" s="593">
        <f t="shared" si="0"/>
        <v>6.3341195210168441E-2</v>
      </c>
      <c r="E9" s="1028">
        <f t="shared" si="4"/>
        <v>0.42165750659338835</v>
      </c>
      <c r="F9" s="596">
        <f t="shared" si="1"/>
        <v>1098.9697368964225</v>
      </c>
      <c r="G9" s="1"/>
      <c r="H9" s="591">
        <v>7</v>
      </c>
      <c r="I9" s="595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J9" s="593" t="e">
        <f t="shared" si="2"/>
        <v>#NUM!</v>
      </c>
      <c r="K9" s="592" t="e">
        <f t="shared" si="3"/>
        <v>#NUM!</v>
      </c>
    </row>
    <row r="10" spans="1:11" ht="15.6" x14ac:dyDescent="0.3">
      <c r="B10" s="597">
        <v>8</v>
      </c>
      <c r="C10" s="595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13356.914194234043</v>
      </c>
      <c r="D10" s="593">
        <f t="shared" si="0"/>
        <v>6.41542468503076E-2</v>
      </c>
      <c r="E10" s="1028">
        <f t="shared" si="4"/>
        <v>0.48581175344369598</v>
      </c>
      <c r="F10" s="599">
        <f t="shared" si="1"/>
        <v>1113.0761828528368</v>
      </c>
      <c r="G10" s="1"/>
      <c r="H10" s="600">
        <v>8</v>
      </c>
      <c r="I10" s="595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J10" s="593" t="e">
        <f t="shared" si="2"/>
        <v>#NUM!</v>
      </c>
      <c r="K10" s="601" t="e">
        <f t="shared" si="3"/>
        <v>#NUM!</v>
      </c>
    </row>
    <row r="11" spans="1:11" ht="15.6" x14ac:dyDescent="0.3">
      <c r="B11" s="594">
        <v>9</v>
      </c>
      <c r="C11" s="595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13506.2078696928</v>
      </c>
      <c r="D11" s="593">
        <f t="shared" si="0"/>
        <v>6.4871315416391934E-2</v>
      </c>
      <c r="E11" s="1028">
        <f t="shared" si="4"/>
        <v>0.55068306886008789</v>
      </c>
      <c r="F11" s="596">
        <f t="shared" si="1"/>
        <v>1125.5173224744001</v>
      </c>
      <c r="G11" s="1"/>
      <c r="H11" s="591">
        <v>9</v>
      </c>
      <c r="I11" s="595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J11" s="593" t="e">
        <f t="shared" si="2"/>
        <v>#NUM!</v>
      </c>
      <c r="K11" s="592" t="e">
        <f t="shared" si="3"/>
        <v>#NUM!</v>
      </c>
    </row>
    <row r="12" spans="1:11" ht="15.6" x14ac:dyDescent="0.3">
      <c r="B12" s="594">
        <v>10</v>
      </c>
      <c r="C12" s="595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13634.218480525575</v>
      </c>
      <c r="D12" s="593">
        <f t="shared" si="0"/>
        <v>6.5486159848826012E-2</v>
      </c>
      <c r="E12" s="1028">
        <f t="shared" si="4"/>
        <v>0.61616922870891389</v>
      </c>
      <c r="F12" s="596">
        <f t="shared" si="1"/>
        <v>1136.1848733771312</v>
      </c>
      <c r="G12" s="1"/>
      <c r="H12" s="591">
        <v>10</v>
      </c>
      <c r="I12" s="595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J12" s="593" t="e">
        <f t="shared" si="2"/>
        <v>#NUM!</v>
      </c>
      <c r="K12" s="592" t="e">
        <f t="shared" si="3"/>
        <v>#NUM!</v>
      </c>
    </row>
    <row r="13" spans="1:11" ht="15.6" x14ac:dyDescent="0.3">
      <c r="B13" s="594">
        <v>11</v>
      </c>
      <c r="C13" s="595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13739.58601132167</v>
      </c>
      <c r="D13" s="593">
        <f t="shared" si="0"/>
        <v>6.5992247892995529E-2</v>
      </c>
      <c r="E13" s="1028">
        <f t="shared" si="4"/>
        <v>0.6821614766019094</v>
      </c>
      <c r="F13" s="596">
        <f t="shared" si="1"/>
        <v>1144.9655009434725</v>
      </c>
      <c r="G13" s="1"/>
      <c r="H13" s="591">
        <v>11</v>
      </c>
      <c r="I13" s="595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J13" s="593" t="e">
        <f t="shared" si="2"/>
        <v>#NUM!</v>
      </c>
      <c r="K13" s="592" t="e">
        <f t="shared" si="3"/>
        <v>#NUM!</v>
      </c>
    </row>
    <row r="14" spans="1:11" ht="15.6" x14ac:dyDescent="0.3">
      <c r="B14" s="594">
        <v>12</v>
      </c>
      <c r="C14" s="595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13820.887273728586</v>
      </c>
      <c r="D14" s="593">
        <f t="shared" si="0"/>
        <v>6.638274386997399E-2</v>
      </c>
      <c r="E14" s="1028">
        <f t="shared" si="4"/>
        <v>0.7485442204718834</v>
      </c>
      <c r="F14" s="596">
        <f t="shared" si="1"/>
        <v>1151.7406061440488</v>
      </c>
      <c r="G14" s="1"/>
      <c r="H14" s="591">
        <v>12</v>
      </c>
      <c r="I14" s="595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J14" s="593" t="e">
        <f t="shared" si="2"/>
        <v>#NUM!</v>
      </c>
      <c r="K14" s="592" t="e">
        <f t="shared" si="3"/>
        <v>#NUM!</v>
      </c>
    </row>
    <row r="15" spans="1:11" ht="15.6" x14ac:dyDescent="0.3">
      <c r="B15" s="594">
        <v>13</v>
      </c>
      <c r="C15" s="595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13876.633258046873</v>
      </c>
      <c r="D15" s="593">
        <f t="shared" si="0"/>
        <v>6.6650495956036851E-2</v>
      </c>
      <c r="E15" s="1028">
        <f t="shared" si="4"/>
        <v>0.8151947164279203</v>
      </c>
      <c r="F15" s="596">
        <f t="shared" si="1"/>
        <v>1156.3861048372394</v>
      </c>
      <c r="G15" s="1"/>
      <c r="H15" s="591">
        <v>13</v>
      </c>
      <c r="I15" s="595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J15" s="593" t="e">
        <f t="shared" si="2"/>
        <v>#NUM!</v>
      </c>
      <c r="K15" s="592" t="e">
        <f t="shared" si="3"/>
        <v>#NUM!</v>
      </c>
    </row>
    <row r="16" spans="1:11" ht="15.6" x14ac:dyDescent="0.3">
      <c r="B16" s="594">
        <v>14</v>
      </c>
      <c r="C16" s="595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13905.266378536238</v>
      </c>
      <c r="D16" s="593">
        <f t="shared" si="0"/>
        <v>6.6788022951663015E-2</v>
      </c>
      <c r="E16" s="1028">
        <f t="shared" si="4"/>
        <v>0.88198273937958327</v>
      </c>
      <c r="F16" s="596">
        <f t="shared" si="1"/>
        <v>1158.7721982113533</v>
      </c>
      <c r="G16" s="1"/>
      <c r="H16" s="591">
        <v>14</v>
      </c>
      <c r="I16" s="595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J16" s="593" t="e">
        <f t="shared" si="2"/>
        <v>#NUM!</v>
      </c>
      <c r="K16" s="592" t="e">
        <f t="shared" si="3"/>
        <v>#NUM!</v>
      </c>
    </row>
    <row r="17" spans="2:11" ht="15.6" x14ac:dyDescent="0.3">
      <c r="B17" s="594">
        <v>15</v>
      </c>
      <c r="C17" s="595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13905.157608254827</v>
      </c>
      <c r="D17" s="593">
        <f t="shared" si="0"/>
        <v>6.6787500519955939E-2</v>
      </c>
      <c r="E17" s="1028">
        <f t="shared" si="4"/>
        <v>0.94877023989953924</v>
      </c>
      <c r="F17" s="596">
        <f t="shared" si="1"/>
        <v>1158.7631340212356</v>
      </c>
      <c r="G17" s="1"/>
      <c r="H17" s="591">
        <v>15</v>
      </c>
      <c r="I17" s="595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J17" s="593" t="e">
        <f t="shared" si="2"/>
        <v>#NUM!</v>
      </c>
      <c r="K17" s="592" t="e">
        <f t="shared" si="3"/>
        <v>#NUM!</v>
      </c>
    </row>
    <row r="18" spans="2:11" ht="15.6" x14ac:dyDescent="0.3">
      <c r="B18" s="594">
        <v>16</v>
      </c>
      <c r="C18" s="595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13874.603499089724</v>
      </c>
      <c r="D18" s="593">
        <f t="shared" si="0"/>
        <v>6.6640746873629794E-2</v>
      </c>
      <c r="E18" s="1028">
        <f t="shared" si="4"/>
        <v>1.0154109867731691</v>
      </c>
      <c r="F18" s="596">
        <f t="shared" si="1"/>
        <v>1156.216958257477</v>
      </c>
      <c r="G18" s="1"/>
      <c r="H18" s="591">
        <v>16</v>
      </c>
      <c r="I18" s="595" t="e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#NUM!</v>
      </c>
      <c r="J18" s="593" t="e">
        <f t="shared" si="2"/>
        <v>#NUM!</v>
      </c>
      <c r="K18" s="592" t="e">
        <f t="shared" si="3"/>
        <v>#NUM!</v>
      </c>
    </row>
    <row r="19" spans="2:11" ht="15.6" x14ac:dyDescent="0.3">
      <c r="B19" s="594">
        <v>17</v>
      </c>
      <c r="C19" s="595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13811.823082469382</v>
      </c>
      <c r="D19" s="593">
        <f t="shared" si="0"/>
        <v>6.6339207888901935E-2</v>
      </c>
      <c r="E19" s="1028">
        <f t="shared" si="4"/>
        <v>1.0817501946620711</v>
      </c>
      <c r="F19" s="596">
        <f t="shared" si="1"/>
        <v>1150.9852568724484</v>
      </c>
      <c r="G19" s="1"/>
      <c r="H19" s="591">
        <v>17</v>
      </c>
      <c r="I19" s="595" t="e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#NUM!</v>
      </c>
      <c r="J19" s="593" t="e">
        <f t="shared" si="2"/>
        <v>#NUM!</v>
      </c>
      <c r="K19" s="592" t="e">
        <f t="shared" si="3"/>
        <v>#NUM!</v>
      </c>
    </row>
    <row r="20" spans="2:11" ht="15.6" x14ac:dyDescent="0.3">
      <c r="B20" s="594">
        <v>18</v>
      </c>
      <c r="C20" s="595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13714.954646071717</v>
      </c>
      <c r="D20" s="593">
        <f t="shared" si="0"/>
        <v>6.5873941623783461E-2</v>
      </c>
      <c r="E20" s="1028">
        <f t="shared" si="4"/>
        <v>1.1476241362858546</v>
      </c>
      <c r="F20" s="596">
        <f t="shared" si="1"/>
        <v>1142.9128871726432</v>
      </c>
      <c r="H20" s="591">
        <v>18</v>
      </c>
      <c r="I20" s="595" t="e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#NUM!</v>
      </c>
      <c r="J20" s="593" t="e">
        <f t="shared" si="2"/>
        <v>#NUM!</v>
      </c>
      <c r="K20" s="592" t="e">
        <f t="shared" si="3"/>
        <v>#NUM!</v>
      </c>
    </row>
    <row r="21" spans="2:11" s="606" customFormat="1" ht="15.6" x14ac:dyDescent="0.3">
      <c r="B21" s="602">
        <v>19</v>
      </c>
      <c r="C21" s="603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13582.052381660535</v>
      </c>
      <c r="D21" s="604">
        <f t="shared" si="0"/>
        <v>6.5235602217389693E-2</v>
      </c>
      <c r="E21" s="1028">
        <f t="shared" si="4"/>
        <v>1.2128597385032442</v>
      </c>
      <c r="F21" s="605">
        <f t="shared" si="1"/>
        <v>1131.8376984717113</v>
      </c>
      <c r="H21" s="591">
        <v>19</v>
      </c>
      <c r="I21" s="595" t="e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#NUM!</v>
      </c>
      <c r="J21" s="593" t="e">
        <f t="shared" si="2"/>
        <v>#NUM!</v>
      </c>
      <c r="K21" s="592" t="e">
        <f t="shared" si="3"/>
        <v>#NUM!</v>
      </c>
    </row>
    <row r="22" spans="2:11" ht="15.6" x14ac:dyDescent="0.3">
      <c r="B22" s="594">
        <v>20</v>
      </c>
      <c r="C22" s="595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13411.082898993081</v>
      </c>
      <c r="D22" s="593">
        <f t="shared" si="0"/>
        <v>6.4414423145980212E-2</v>
      </c>
      <c r="E22" s="1028">
        <f t="shared" si="4"/>
        <v>1.2772741616492245</v>
      </c>
      <c r="F22" s="596">
        <f t="shared" si="1"/>
        <v>1117.5902415827568</v>
      </c>
      <c r="H22" s="591">
        <v>20</v>
      </c>
      <c r="I22" s="595" t="e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#NUM!</v>
      </c>
      <c r="J22" s="593" t="e">
        <f t="shared" si="2"/>
        <v>#NUM!</v>
      </c>
      <c r="K22" s="592" t="e">
        <f t="shared" si="3"/>
        <v>#NUM!</v>
      </c>
    </row>
    <row r="23" spans="2:11" ht="15.6" x14ac:dyDescent="0.3">
      <c r="B23" s="594">
        <v>21</v>
      </c>
      <c r="C23" s="595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13199.921600544993</v>
      </c>
      <c r="D23" s="593">
        <f t="shared" si="0"/>
        <v>6.3400199810494676E-2</v>
      </c>
      <c r="E23" s="1028">
        <f t="shared" si="4"/>
        <v>1.3406743614597192</v>
      </c>
      <c r="F23" s="596">
        <f t="shared" si="1"/>
        <v>1099.9934667120826</v>
      </c>
      <c r="H23" s="591">
        <v>21</v>
      </c>
      <c r="I23" s="595" t="e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#NUM!</v>
      </c>
      <c r="J23" s="593" t="e">
        <f t="shared" si="2"/>
        <v>#NUM!</v>
      </c>
      <c r="K23" s="592" t="e">
        <f t="shared" si="3"/>
        <v>#NUM!</v>
      </c>
    </row>
    <row r="24" spans="2:11" ht="15.6" x14ac:dyDescent="0.3">
      <c r="B24" s="594">
        <v>22</v>
      </c>
      <c r="C24" s="595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12946.348911594716</v>
      </c>
      <c r="D24" s="593">
        <f t="shared" si="0"/>
        <v>6.2182271429369433E-2</v>
      </c>
      <c r="E24" s="1028">
        <f t="shared" si="4"/>
        <v>1.4028566328890886</v>
      </c>
      <c r="F24" s="596">
        <f t="shared" si="1"/>
        <v>1078.8624092995597</v>
      </c>
      <c r="H24" s="591">
        <v>22</v>
      </c>
      <c r="I24" s="595" t="e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#NUM!</v>
      </c>
      <c r="J24" s="593" t="e">
        <f t="shared" si="2"/>
        <v>#NUM!</v>
      </c>
      <c r="K24" s="592" t="e">
        <f t="shared" si="3"/>
        <v>#NUM!</v>
      </c>
    </row>
    <row r="25" spans="2:11" ht="15.6" x14ac:dyDescent="0.3">
      <c r="B25" s="594">
        <v>23</v>
      </c>
      <c r="C25" s="595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12648.046359997694</v>
      </c>
      <c r="D25" s="593">
        <f t="shared" si="0"/>
        <v>6.074950220940295E-2</v>
      </c>
      <c r="E25" s="1028">
        <f t="shared" si="4"/>
        <v>1.4636061350984915</v>
      </c>
      <c r="F25" s="596">
        <f t="shared" si="1"/>
        <v>1054.0038633331412</v>
      </c>
      <c r="H25" s="591">
        <v>23</v>
      </c>
      <c r="I25" s="595" t="e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#NUM!</v>
      </c>
      <c r="J25" s="593" t="e">
        <f t="shared" si="2"/>
        <v>#NUM!</v>
      </c>
      <c r="K25" s="592" t="e">
        <f t="shared" si="3"/>
        <v>#NUM!</v>
      </c>
    </row>
    <row r="26" spans="2:11" ht="15.6" x14ac:dyDescent="0.3">
      <c r="B26" s="594">
        <v>24</v>
      </c>
      <c r="C26" s="595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12302.592499759565</v>
      </c>
      <c r="D26" s="593">
        <f t="shared" si="0"/>
        <v>5.9090261766376391E-2</v>
      </c>
      <c r="E26" s="1028">
        <f t="shared" si="4"/>
        <v>1.5226963968648679</v>
      </c>
      <c r="F26" s="596">
        <f t="shared" si="1"/>
        <v>1025.2160416466304</v>
      </c>
      <c r="H26" s="591">
        <v>24</v>
      </c>
      <c r="I26" s="595" t="e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#NUM!</v>
      </c>
      <c r="J26" s="593" t="e">
        <f t="shared" si="2"/>
        <v>#NUM!</v>
      </c>
      <c r="K26" s="592" t="e">
        <f t="shared" si="3"/>
        <v>#NUM!</v>
      </c>
    </row>
    <row r="27" spans="2:11" ht="15.6" x14ac:dyDescent="0.3">
      <c r="B27" s="594">
        <v>25</v>
      </c>
      <c r="C27" s="595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11907.458672289569</v>
      </c>
      <c r="D27" s="593">
        <f t="shared" si="0"/>
        <v>5.7192404766040199E-2</v>
      </c>
      <c r="E27" s="1028">
        <f t="shared" si="4"/>
        <v>1.5798888016309081</v>
      </c>
      <c r="F27" s="596">
        <f t="shared" si="1"/>
        <v>992.2882226907974</v>
      </c>
      <c r="H27" s="591">
        <v>25</v>
      </c>
      <c r="I27" s="595" t="e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#NUM!</v>
      </c>
      <c r="J27" s="593" t="e">
        <f t="shared" si="2"/>
        <v>#NUM!</v>
      </c>
      <c r="K27" s="592" t="e">
        <f t="shared" si="3"/>
        <v>#NUM!</v>
      </c>
    </row>
    <row r="28" spans="2:11" ht="15.6" x14ac:dyDescent="0.3">
      <c r="B28" s="594">
        <v>26</v>
      </c>
      <c r="C28" s="595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11460.004598977044</v>
      </c>
      <c r="D28" s="593">
        <f t="shared" si="0"/>
        <v>5.5043249754932973E-2</v>
      </c>
      <c r="E28" s="1028">
        <f t="shared" si="4"/>
        <v>1.634932051385841</v>
      </c>
      <c r="F28" s="596">
        <f t="shared" si="1"/>
        <v>955.00038324808702</v>
      </c>
      <c r="H28" s="591">
        <v>26</v>
      </c>
      <c r="I28" s="595" t="e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#NUM!</v>
      </c>
      <c r="J28" s="593" t="e">
        <f t="shared" si="2"/>
        <v>#NUM!</v>
      </c>
      <c r="K28" s="592" t="e">
        <f t="shared" si="3"/>
        <v>#NUM!</v>
      </c>
    </row>
    <row r="29" spans="2:11" ht="15.6" x14ac:dyDescent="0.3">
      <c r="B29" s="594">
        <v>27</v>
      </c>
      <c r="C29" s="595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10957.473798487335</v>
      </c>
      <c r="D29" s="593">
        <f t="shared" si="0"/>
        <v>5.2629557149314769E-2</v>
      </c>
      <c r="E29" s="1028">
        <f t="shared" si="4"/>
        <v>1.6875616085351557</v>
      </c>
      <c r="F29" s="596">
        <f t="shared" si="1"/>
        <v>913.12281654061132</v>
      </c>
      <c r="H29" s="591">
        <v>27</v>
      </c>
      <c r="I29" s="595" t="e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#NUM!</v>
      </c>
      <c r="J29" s="593" t="e">
        <f t="shared" si="2"/>
        <v>#NUM!</v>
      </c>
      <c r="K29" s="592" t="e">
        <f t="shared" si="3"/>
        <v>#NUM!</v>
      </c>
    </row>
    <row r="30" spans="2:11" ht="15.6" x14ac:dyDescent="0.3">
      <c r="B30" s="594">
        <v>28</v>
      </c>
      <c r="C30" s="595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10396.98882191701</v>
      </c>
      <c r="D30" s="593">
        <f t="shared" si="0"/>
        <v>4.9937506349265179E-2</v>
      </c>
      <c r="E30" s="1028">
        <f t="shared" si="4"/>
        <v>1.7374991148844208</v>
      </c>
      <c r="F30" s="596">
        <f t="shared" si="1"/>
        <v>866.41573515975085</v>
      </c>
      <c r="H30" s="591">
        <v>28</v>
      </c>
      <c r="I30" s="595" t="e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#NUM!</v>
      </c>
      <c r="J30" s="593" t="e">
        <f t="shared" si="2"/>
        <v>#NUM!</v>
      </c>
      <c r="K30" s="592" t="e">
        <f t="shared" si="3"/>
        <v>#NUM!</v>
      </c>
    </row>
    <row r="31" spans="2:11" ht="15.6" x14ac:dyDescent="0.3">
      <c r="B31" s="594">
        <v>29</v>
      </c>
      <c r="C31" s="595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9775.5462986817874</v>
      </c>
      <c r="D31" s="593">
        <f t="shared" si="0"/>
        <v>4.6952671943716558E-2</v>
      </c>
      <c r="E31" s="1028">
        <f t="shared" si="4"/>
        <v>1.7844517868281373</v>
      </c>
      <c r="F31" s="596">
        <f t="shared" si="1"/>
        <v>814.62885822348233</v>
      </c>
      <c r="H31" s="591">
        <v>29</v>
      </c>
      <c r="I31" s="595" t="e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#NUM!</v>
      </c>
      <c r="J31" s="593" t="e">
        <f t="shared" si="2"/>
        <v>#NUM!</v>
      </c>
      <c r="K31" s="592" t="e">
        <f t="shared" si="3"/>
        <v>#NUM!</v>
      </c>
    </row>
    <row r="32" spans="2:11" ht="15.6" x14ac:dyDescent="0.3">
      <c r="B32" s="594">
        <v>30</v>
      </c>
      <c r="C32" s="595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9090.0117857336445</v>
      </c>
      <c r="D32" s="593">
        <f t="shared" si="0"/>
        <v>4.3659998970862847E-2</v>
      </c>
      <c r="E32" s="1028">
        <f t="shared" si="4"/>
        <v>1.8281117857990001</v>
      </c>
      <c r="F32" s="596">
        <f t="shared" si="1"/>
        <v>757.50098214447041</v>
      </c>
      <c r="H32" s="591">
        <v>30</v>
      </c>
      <c r="I32" s="595" t="e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#NUM!</v>
      </c>
      <c r="J32" s="593" t="e">
        <f t="shared" si="2"/>
        <v>#NUM!</v>
      </c>
      <c r="K32" s="592" t="e">
        <f t="shared" si="3"/>
        <v>#NUM!</v>
      </c>
    </row>
    <row r="33" spans="2:11" ht="15.6" x14ac:dyDescent="0.3">
      <c r="B33" s="594">
        <v>31</v>
      </c>
      <c r="C33" s="595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33962.985465323101</v>
      </c>
      <c r="D33" s="593">
        <f t="shared" si="0"/>
        <v>0.16312673134160952</v>
      </c>
      <c r="E33" s="1028"/>
      <c r="F33" s="596">
        <f t="shared" si="1"/>
        <v>2830.2487887769253</v>
      </c>
      <c r="H33" s="591">
        <v>31</v>
      </c>
      <c r="I33" s="595" t="e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#NUM!</v>
      </c>
      <c r="J33" s="593" t="e">
        <f t="shared" si="2"/>
        <v>#NUM!</v>
      </c>
      <c r="K33" s="592" t="e">
        <f t="shared" si="3"/>
        <v>#NUM!</v>
      </c>
    </row>
    <row r="34" spans="2:11" ht="15.6" x14ac:dyDescent="0.3">
      <c r="B34" s="594">
        <v>32</v>
      </c>
      <c r="C34" s="595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33139.312365882011</v>
      </c>
      <c r="D34" s="593">
        <f t="shared" si="0"/>
        <v>0.15917056852008651</v>
      </c>
      <c r="E34" s="1028"/>
      <c r="F34" s="596">
        <f t="shared" si="1"/>
        <v>2761.6093638235011</v>
      </c>
      <c r="H34" s="591">
        <v>32</v>
      </c>
      <c r="I34" s="595" t="e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#NUM!</v>
      </c>
      <c r="J34" s="593" t="e">
        <f t="shared" si="2"/>
        <v>#NUM!</v>
      </c>
      <c r="K34" s="592" t="e">
        <f t="shared" si="3"/>
        <v>#NUM!</v>
      </c>
    </row>
    <row r="35" spans="2:11" ht="15.6" x14ac:dyDescent="0.3">
      <c r="B35" s="594">
        <v>33</v>
      </c>
      <c r="C35" s="595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32241.302891315339</v>
      </c>
      <c r="D35" s="593">
        <f t="shared" si="0"/>
        <v>0.15485736259037147</v>
      </c>
      <c r="E35" s="1028"/>
      <c r="F35" s="596">
        <f t="shared" si="1"/>
        <v>2686.7752409429449</v>
      </c>
      <c r="H35" s="591">
        <v>33</v>
      </c>
      <c r="I35" s="595" t="e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#NUM!</v>
      </c>
      <c r="J35" s="593" t="e">
        <f t="shared" si="2"/>
        <v>#NUM!</v>
      </c>
      <c r="K35" s="592" t="e">
        <f t="shared" si="3"/>
        <v>#NUM!</v>
      </c>
    </row>
    <row r="36" spans="2:11" ht="15.6" x14ac:dyDescent="0.3">
      <c r="B36" s="594">
        <v>34</v>
      </c>
      <c r="C36" s="595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31265.242591964809</v>
      </c>
      <c r="D36" s="593">
        <f t="shared" si="0"/>
        <v>0.15016927277600772</v>
      </c>
      <c r="E36" s="1028"/>
      <c r="F36" s="596">
        <f t="shared" si="1"/>
        <v>2605.4368826637342</v>
      </c>
      <c r="H36" s="591">
        <v>34</v>
      </c>
      <c r="I36" s="595" t="e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#NUM!</v>
      </c>
      <c r="J36" s="593" t="e">
        <f t="shared" si="2"/>
        <v>#NUM!</v>
      </c>
      <c r="K36" s="592" t="e">
        <f t="shared" si="3"/>
        <v>#NUM!</v>
      </c>
    </row>
    <row r="37" spans="2:11" ht="16.2" thickBot="1" x14ac:dyDescent="0.35">
      <c r="B37" s="607">
        <v>35</v>
      </c>
      <c r="C37" s="608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30207.256961875915</v>
      </c>
      <c r="D37" s="609">
        <f>C37/$C$39</f>
        <v>0.14508768953830892</v>
      </c>
      <c r="E37" s="1029"/>
      <c r="F37" s="596">
        <f t="shared" si="1"/>
        <v>2517.2714134896596</v>
      </c>
      <c r="H37" s="591">
        <v>35</v>
      </c>
      <c r="I37" s="595" t="e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#NUM!</v>
      </c>
      <c r="J37" s="593" t="e">
        <f t="shared" si="2"/>
        <v>#NUM!</v>
      </c>
      <c r="K37" s="592" t="e">
        <f t="shared" si="3"/>
        <v>#NUM!</v>
      </c>
    </row>
    <row r="38" spans="2:11" ht="15.6" x14ac:dyDescent="0.3">
      <c r="B38" s="610" t="s">
        <v>152</v>
      </c>
      <c r="C38" s="611">
        <f>SUM(C3:C37)</f>
        <v>541428.97407971288</v>
      </c>
      <c r="H38" s="612" t="s">
        <v>152</v>
      </c>
      <c r="I38" s="613" t="e">
        <f>SUM(I3:I37)</f>
        <v>#NUM!</v>
      </c>
    </row>
    <row r="39" spans="2:11" ht="15.6" x14ac:dyDescent="0.3">
      <c r="B39" s="614" t="s">
        <v>21</v>
      </c>
      <c r="C39" s="615">
        <f>'ROI details'!C11</f>
        <v>208200</v>
      </c>
      <c r="H39" s="616" t="s">
        <v>21</v>
      </c>
      <c r="I39" s="617">
        <f>'ROI Detail ARV'!C11</f>
        <v>555950</v>
      </c>
    </row>
    <row r="40" spans="2:11" ht="15.6" x14ac:dyDescent="0.3">
      <c r="B40" s="614" t="s">
        <v>153</v>
      </c>
      <c r="C40" s="618">
        <f>C38/C39/35</f>
        <v>7.4300668873296685E-2</v>
      </c>
      <c r="H40" s="616" t="s">
        <v>153</v>
      </c>
      <c r="I40" s="619" t="e">
        <f>I38/I39/35</f>
        <v>#NUM!</v>
      </c>
    </row>
    <row r="41" spans="2:11" s="622" customFormat="1" ht="31.8" thickBot="1" x14ac:dyDescent="0.35">
      <c r="B41" s="620" t="s">
        <v>154</v>
      </c>
      <c r="C41" s="621">
        <f>RATE(34,,-C3,C37)</f>
        <v>2.7986072542957038E-2</v>
      </c>
      <c r="F41" s="623"/>
      <c r="H41" s="624" t="s">
        <v>154</v>
      </c>
      <c r="I41" s="625" t="e">
        <f>RATE(34,,-I3,I37)</f>
        <v>#NUM!</v>
      </c>
    </row>
    <row r="42" spans="2:11" x14ac:dyDescent="0.3"/>
    <row r="43" spans="2:11" x14ac:dyDescent="0.3"/>
    <row r="44" spans="2:11" x14ac:dyDescent="0.3"/>
  </sheetData>
  <sheetProtection algorithmName="SHA-512" hashValue="TqNWVzz9oMeW9s9c0kuK+hl32/9bjMx4xBWqWVhcDU4mLajtMZzuA3+ecijLgWOvR65rUwnqT4sfCsgycjzwHA==" saltValue="SDxXDk/h5NTNRoVDnRiEKw==" spinCount="100000" sheet="1" objects="1" scenarios="1"/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2" tint="-0.249977111117893"/>
  </sheetPr>
  <dimension ref="A1:I36"/>
  <sheetViews>
    <sheetView workbookViewId="0"/>
  </sheetViews>
  <sheetFormatPr defaultColWidth="0" defaultRowHeight="14.4" zeroHeight="1" x14ac:dyDescent="0.3"/>
  <cols>
    <col min="1" max="1" width="8.77734375" style="707" customWidth="1"/>
    <col min="2" max="2" width="28.44140625" style="853" customWidth="1"/>
    <col min="3" max="3" width="17.88671875" style="854" customWidth="1"/>
    <col min="4" max="4" width="25.5546875" style="853" customWidth="1"/>
    <col min="5" max="5" width="16" style="854" customWidth="1"/>
    <col min="6" max="6" width="12.77734375" style="855" customWidth="1"/>
    <col min="7" max="7" width="13.5546875" style="855" customWidth="1"/>
    <col min="8" max="8" width="26.33203125" style="707" customWidth="1"/>
    <col min="9" max="9" width="17.21875" style="707" hidden="1" customWidth="1"/>
    <col min="10" max="16384" width="8.77734375" style="707" hidden="1"/>
  </cols>
  <sheetData>
    <row r="1" spans="1:8" x14ac:dyDescent="0.3">
      <c r="A1" s="852" t="s">
        <v>454</v>
      </c>
    </row>
    <row r="2" spans="1:8" x14ac:dyDescent="0.3">
      <c r="B2" s="853" t="s">
        <v>324</v>
      </c>
    </row>
    <row r="3" spans="1:8" ht="15" thickBot="1" x14ac:dyDescent="0.35"/>
    <row r="4" spans="1:8" s="856" customFormat="1" ht="29.4" thickBot="1" x14ac:dyDescent="0.35">
      <c r="B4" s="857" t="s">
        <v>385</v>
      </c>
      <c r="C4" s="858">
        <f>'Mortgage payment schedule'!C3</f>
        <v>2135.4892544088129</v>
      </c>
      <c r="D4" s="857"/>
      <c r="E4" s="858"/>
      <c r="F4" s="859" t="s">
        <v>445</v>
      </c>
      <c r="G4" s="860" t="s">
        <v>446</v>
      </c>
      <c r="H4" s="707"/>
    </row>
    <row r="5" spans="1:8" x14ac:dyDescent="0.3">
      <c r="B5" s="861" t="s">
        <v>384</v>
      </c>
      <c r="C5" s="862">
        <f>SUM('Mortgage payment schedule'!E9:E20)</f>
        <v>6665.9948529308003</v>
      </c>
      <c r="D5" s="863" t="s">
        <v>415</v>
      </c>
      <c r="E5" s="862">
        <f>SUM('Mortgage payment schedule'!D9:D20)</f>
        <v>18959.876199974955</v>
      </c>
      <c r="F5" s="864">
        <f>C5/(C5+E5)</f>
        <v>0.26012754216894934</v>
      </c>
      <c r="G5" s="865">
        <f>C5/'ROI details'!$I$3</f>
        <v>3.2017266344528339E-2</v>
      </c>
    </row>
    <row r="6" spans="1:8" x14ac:dyDescent="0.3">
      <c r="B6" s="866" t="s">
        <v>386</v>
      </c>
      <c r="C6" s="867">
        <f>SUM('Mortgage payment schedule'!E21:E32)</f>
        <v>7042.0093599256234</v>
      </c>
      <c r="D6" s="868" t="s">
        <v>416</v>
      </c>
      <c r="E6" s="867">
        <f>SUM('Mortgage payment schedule'!D21:D32)</f>
        <v>18583.861692980132</v>
      </c>
      <c r="F6" s="869">
        <f t="shared" ref="F6:F34" si="0">C6/(C6+E6)</f>
        <v>0.27480078025004806</v>
      </c>
      <c r="G6" s="870">
        <f>C6/'ROI details'!$I$3</f>
        <v>3.382329183441702E-2</v>
      </c>
    </row>
    <row r="7" spans="1:8" x14ac:dyDescent="0.3">
      <c r="B7" s="866" t="s">
        <v>387</v>
      </c>
      <c r="C7" s="867">
        <f>SUM('Mortgage payment schedule'!E33:E44)</f>
        <v>7439.2340407339398</v>
      </c>
      <c r="D7" s="868" t="s">
        <v>417</v>
      </c>
      <c r="E7" s="867">
        <f>SUM('Mortgage payment schedule'!D33:D44)</f>
        <v>18186.637012171814</v>
      </c>
      <c r="F7" s="869">
        <f t="shared" si="0"/>
        <v>0.29030170429622898</v>
      </c>
      <c r="G7" s="870">
        <f>C7/'ROI details'!$I$3</f>
        <v>3.5731191357992027E-2</v>
      </c>
    </row>
    <row r="8" spans="1:8" x14ac:dyDescent="0.3">
      <c r="B8" s="866" t="s">
        <v>388</v>
      </c>
      <c r="C8" s="867">
        <f>SUM('Mortgage payment schedule'!E45:E56)</f>
        <v>7858.8653158789839</v>
      </c>
      <c r="D8" s="868" t="s">
        <v>418</v>
      </c>
      <c r="E8" s="867">
        <f>SUM('Mortgage payment schedule'!D45:D56)</f>
        <v>17767.005737026771</v>
      </c>
      <c r="F8" s="869">
        <f t="shared" si="0"/>
        <v>0.30667700230185369</v>
      </c>
      <c r="G8" s="870">
        <f>C8/'ROI details'!$I$3</f>
        <v>3.7746711411522499E-2</v>
      </c>
    </row>
    <row r="9" spans="1:8" x14ac:dyDescent="0.3">
      <c r="B9" s="866" t="s">
        <v>389</v>
      </c>
      <c r="C9" s="867">
        <f>SUM('Mortgage payment schedule'!E57:E68)</f>
        <v>8302.1670934058111</v>
      </c>
      <c r="D9" s="868" t="s">
        <v>419</v>
      </c>
      <c r="E9" s="867">
        <f>SUM('Mortgage payment schedule'!D57:D68)</f>
        <v>17323.703959499944</v>
      </c>
      <c r="F9" s="869">
        <f t="shared" si="0"/>
        <v>0.32397599583115111</v>
      </c>
      <c r="G9" s="870">
        <f>C9/'ROI details'!$I$3</f>
        <v>3.9875922638836749E-2</v>
      </c>
    </row>
    <row r="10" spans="1:8" x14ac:dyDescent="0.3">
      <c r="B10" s="866" t="s">
        <v>390</v>
      </c>
      <c r="C10" s="867">
        <f>SUM('Mortgage payment schedule'!E69:E80)</f>
        <v>8770.4745757080273</v>
      </c>
      <c r="D10" s="868" t="s">
        <v>420</v>
      </c>
      <c r="E10" s="867">
        <f>SUM('Mortgage payment schedule'!D69:D80)</f>
        <v>16855.396477197726</v>
      </c>
      <c r="F10" s="869">
        <f t="shared" si="0"/>
        <v>0.34225078857225932</v>
      </c>
      <c r="G10" s="870">
        <f>C10/'ROI details'!$I$3</f>
        <v>4.2125238115792635E-2</v>
      </c>
    </row>
    <row r="11" spans="1:8" x14ac:dyDescent="0.3">
      <c r="B11" s="866" t="s">
        <v>391</v>
      </c>
      <c r="C11" s="867">
        <f>SUM('Mortgage payment schedule'!E81:E92)</f>
        <v>9265.1982810894497</v>
      </c>
      <c r="D11" s="868" t="s">
        <v>421</v>
      </c>
      <c r="E11" s="867">
        <f>SUM('Mortgage payment schedule'!D81:D92)</f>
        <v>16360.672771816306</v>
      </c>
      <c r="F11" s="869">
        <f t="shared" si="0"/>
        <v>0.3615564232708825</v>
      </c>
      <c r="G11" s="870">
        <f>C11/'ROI details'!$I$3</f>
        <v>4.4501432666135682E-2</v>
      </c>
    </row>
    <row r="12" spans="1:8" x14ac:dyDescent="0.3">
      <c r="B12" s="866" t="s">
        <v>392</v>
      </c>
      <c r="C12" s="867">
        <f>SUM('Mortgage payment schedule'!E93:E104)</f>
        <v>9787.8282921734462</v>
      </c>
      <c r="D12" s="868" t="s">
        <v>422</v>
      </c>
      <c r="E12" s="867">
        <f>SUM('Mortgage payment schedule'!D93:D104)</f>
        <v>15838.042760732311</v>
      </c>
      <c r="F12" s="869">
        <f t="shared" si="0"/>
        <v>0.38195104751623998</v>
      </c>
      <c r="G12" s="870">
        <f>C12/'ROI details'!$I$3</f>
        <v>4.7011663266923374E-2</v>
      </c>
    </row>
    <row r="13" spans="1:8" x14ac:dyDescent="0.3">
      <c r="B13" s="866" t="s">
        <v>393</v>
      </c>
      <c r="C13" s="867">
        <f>SUM('Mortgage payment schedule'!E105:E116)</f>
        <v>10339.938743955956</v>
      </c>
      <c r="D13" s="868" t="s">
        <v>423</v>
      </c>
      <c r="E13" s="867">
        <f>SUM('Mortgage payment schedule'!D105:D116)</f>
        <v>15285.932308949799</v>
      </c>
      <c r="F13" s="869">
        <f t="shared" si="0"/>
        <v>0.40349608887864497</v>
      </c>
      <c r="G13" s="870">
        <f>C13/'ROI details'!$I$3</f>
        <v>4.9663490604975775E-2</v>
      </c>
    </row>
    <row r="14" spans="1:8" x14ac:dyDescent="0.3">
      <c r="B14" s="866" t="s">
        <v>394</v>
      </c>
      <c r="C14" s="867">
        <f>SUM('Mortgage payment schedule'!E117:E128)</f>
        <v>10923.192565020016</v>
      </c>
      <c r="D14" s="868" t="s">
        <v>424</v>
      </c>
      <c r="E14" s="867">
        <f>SUM('Mortgage payment schedule'!D117:D128)</f>
        <v>14702.678487885743</v>
      </c>
      <c r="F14" s="869">
        <f t="shared" si="0"/>
        <v>0.42625643992622125</v>
      </c>
      <c r="G14" s="870">
        <f>C14/'ROI details'!$I$3</f>
        <v>5.2464901849279613E-2</v>
      </c>
    </row>
    <row r="15" spans="1:8" x14ac:dyDescent="0.3">
      <c r="B15" s="866" t="s">
        <v>395</v>
      </c>
      <c r="C15" s="867">
        <f>SUM('Mortgage payment schedule'!E129:E140)</f>
        <v>11539.346486191982</v>
      </c>
      <c r="D15" s="868" t="s">
        <v>425</v>
      </c>
      <c r="E15" s="867">
        <f>SUM('Mortgage payment schedule'!D129:D140)</f>
        <v>14086.524566713775</v>
      </c>
      <c r="F15" s="869">
        <f t="shared" si="0"/>
        <v>0.45030065367801486</v>
      </c>
      <c r="G15" s="870">
        <f>C15/'ROI details'!$I$3</f>
        <v>5.5424334707934592E-2</v>
      </c>
    </row>
    <row r="16" spans="1:8" x14ac:dyDescent="0.3">
      <c r="B16" s="866" t="s">
        <v>396</v>
      </c>
      <c r="C16" s="867">
        <f>SUM('Mortgage payment schedule'!E141:E152)</f>
        <v>12190.256331725417</v>
      </c>
      <c r="D16" s="868" t="s">
        <v>426</v>
      </c>
      <c r="E16" s="867">
        <f>SUM('Mortgage payment schedule'!D141:D152)</f>
        <v>13435.614721180338</v>
      </c>
      <c r="F16" s="869">
        <f t="shared" si="0"/>
        <v>0.47570115008219965</v>
      </c>
      <c r="G16" s="870">
        <f>C16/'ROI details'!$I$3</f>
        <v>5.8550702842100948E-2</v>
      </c>
    </row>
    <row r="17" spans="2:7" x14ac:dyDescent="0.3">
      <c r="B17" s="866" t="s">
        <v>397</v>
      </c>
      <c r="C17" s="867">
        <f>SUM('Mortgage payment schedule'!E153:E164)</f>
        <v>12877.882608949276</v>
      </c>
      <c r="D17" s="868" t="s">
        <v>427</v>
      </c>
      <c r="E17" s="867">
        <f>SUM('Mortgage payment schedule'!D153:D164)</f>
        <v>12747.988443956483</v>
      </c>
      <c r="F17" s="869">
        <f t="shared" si="0"/>
        <v>0.50253443414127508</v>
      </c>
      <c r="G17" s="870">
        <f>C17/'ROI details'!$I$3</f>
        <v>6.1853422713493159E-2</v>
      </c>
    </row>
    <row r="18" spans="2:7" x14ac:dyDescent="0.3">
      <c r="B18" s="866" t="s">
        <v>398</v>
      </c>
      <c r="C18" s="867">
        <f>SUM('Mortgage payment schedule'!E165:E176)</f>
        <v>13604.296413216194</v>
      </c>
      <c r="D18" s="868" t="s">
        <v>428</v>
      </c>
      <c r="E18" s="867">
        <f>SUM('Mortgage payment schedule'!D165:D176)</f>
        <v>12021.574639689559</v>
      </c>
      <c r="F18" s="869">
        <f t="shared" si="0"/>
        <v>0.53088132634123997</v>
      </c>
      <c r="G18" s="870">
        <f>C18/'ROI details'!$I$3</f>
        <v>6.5342441946283358E-2</v>
      </c>
    </row>
    <row r="19" spans="2:7" x14ac:dyDescent="0.3">
      <c r="B19" s="866" t="s">
        <v>399</v>
      </c>
      <c r="C19" s="867">
        <f>SUM('Mortgage payment schedule'!E177:E188)</f>
        <v>14371.685665936333</v>
      </c>
      <c r="D19" s="868" t="s">
        <v>429</v>
      </c>
      <c r="E19" s="867">
        <f>SUM('Mortgage payment schedule'!D177:D188)</f>
        <v>11254.185386969421</v>
      </c>
      <c r="F19" s="869">
        <f t="shared" si="0"/>
        <v>0.56082720607878445</v>
      </c>
      <c r="G19" s="870">
        <f>C19/'ROI details'!$I$3</f>
        <v>6.9028269288839261E-2</v>
      </c>
    </row>
    <row r="20" spans="2:7" x14ac:dyDescent="0.3">
      <c r="B20" s="866" t="s">
        <v>400</v>
      </c>
      <c r="C20" s="867">
        <f>SUM('Mortgage payment schedule'!E189:E200)</f>
        <v>15182.361704485271</v>
      </c>
      <c r="D20" s="868" t="s">
        <v>430</v>
      </c>
      <c r="E20" s="867">
        <f>SUM('Mortgage payment schedule'!D189:D200)</f>
        <v>10443.509348420486</v>
      </c>
      <c r="F20" s="869">
        <f t="shared" si="0"/>
        <v>0.59246226881968644</v>
      </c>
      <c r="G20" s="870">
        <f>C20/'ROI details'!$I$3</f>
        <v>7.2922006265539241E-2</v>
      </c>
    </row>
    <row r="21" spans="2:7" x14ac:dyDescent="0.3">
      <c r="B21" s="866" t="s">
        <v>401</v>
      </c>
      <c r="C21" s="867">
        <f>SUM('Mortgage payment schedule'!E201:E212)</f>
        <v>16038.766243834571</v>
      </c>
      <c r="D21" s="868" t="s">
        <v>431</v>
      </c>
      <c r="E21" s="867">
        <f>SUM('Mortgage payment schedule'!D201:D212)</f>
        <v>9587.1048090711811</v>
      </c>
      <c r="F21" s="869">
        <f t="shared" si="0"/>
        <v>0.62588179776296482</v>
      </c>
      <c r="G21" s="870">
        <f>C21/'ROI details'!$I$3</f>
        <v>7.7035380613998894E-2</v>
      </c>
    </row>
    <row r="22" spans="2:7" x14ac:dyDescent="0.3">
      <c r="B22" s="866" t="s">
        <v>402</v>
      </c>
      <c r="C22" s="867">
        <f>SUM('Mortgage payment schedule'!E213:E224)</f>
        <v>16943.47873087303</v>
      </c>
      <c r="D22" s="868" t="s">
        <v>432</v>
      </c>
      <c r="E22" s="867">
        <f>SUM('Mortgage payment schedule'!D213:D224)</f>
        <v>8682.3923220327251</v>
      </c>
      <c r="F22" s="869">
        <f t="shared" si="0"/>
        <v>0.66118645082902594</v>
      </c>
      <c r="G22" s="870">
        <f>C22/'ROI details'!$I$3</f>
        <v>8.1380781608419939E-2</v>
      </c>
    </row>
    <row r="23" spans="2:7" x14ac:dyDescent="0.3">
      <c r="B23" s="866" t="s">
        <v>403</v>
      </c>
      <c r="C23" s="867">
        <f>SUM('Mortgage payment schedule'!E225:E236)</f>
        <v>17899.224113569409</v>
      </c>
      <c r="D23" s="868" t="s">
        <v>433</v>
      </c>
      <c r="E23" s="867">
        <f>SUM('Mortgage payment schedule'!D225:D236)</f>
        <v>7726.6469393363468</v>
      </c>
      <c r="F23" s="869">
        <f t="shared" si="0"/>
        <v>0.69848256383619745</v>
      </c>
      <c r="G23" s="870">
        <f>C23/'ROI details'!$I$3</f>
        <v>8.5971297375453462E-2</v>
      </c>
    </row>
    <row r="24" spans="2:7" x14ac:dyDescent="0.3">
      <c r="B24" s="866" t="s">
        <v>404</v>
      </c>
      <c r="C24" s="867">
        <f>SUM('Mortgage payment schedule'!E237:E248)</f>
        <v>18908.881048377043</v>
      </c>
      <c r="D24" s="868" t="s">
        <v>434</v>
      </c>
      <c r="E24" s="867">
        <f>SUM('Mortgage payment schedule'!D237:D248)</f>
        <v>6716.9900045287141</v>
      </c>
      <c r="F24" s="869">
        <f t="shared" si="0"/>
        <v>0.73788247077880054</v>
      </c>
      <c r="G24" s="870">
        <f>C24/'ROI details'!$I$3</f>
        <v>9.0820754314971386E-2</v>
      </c>
    </row>
    <row r="25" spans="2:7" x14ac:dyDescent="0.3">
      <c r="B25" s="866" t="s">
        <v>405</v>
      </c>
      <c r="C25" s="867">
        <f>SUM('Mortgage payment schedule'!E249:E260)</f>
        <v>19975.490570600588</v>
      </c>
      <c r="D25" s="868" t="s">
        <v>435</v>
      </c>
      <c r="E25" s="867">
        <f>SUM('Mortgage payment schedule'!D249:D260)</f>
        <v>5650.380482305166</v>
      </c>
      <c r="F25" s="869">
        <f t="shared" si="0"/>
        <v>0.77950484217142502</v>
      </c>
      <c r="G25" s="870">
        <f>C25/'ROI details'!$I$3</f>
        <v>9.5943758744479288E-2</v>
      </c>
    </row>
    <row r="26" spans="2:7" x14ac:dyDescent="0.3">
      <c r="B26" s="866" t="s">
        <v>406</v>
      </c>
      <c r="C26" s="867">
        <f>SUM('Mortgage payment schedule'!E261:E272)</f>
        <v>21102.265253839603</v>
      </c>
      <c r="D26" s="868" t="s">
        <v>436</v>
      </c>
      <c r="E26" s="867">
        <f>SUM('Mortgage payment schedule'!D261:D272)</f>
        <v>4523.6057990661502</v>
      </c>
      <c r="F26" s="869">
        <f t="shared" si="0"/>
        <v>0.82347504247847947</v>
      </c>
      <c r="G26" s="870">
        <f>C26/'ROI details'!$I$3</f>
        <v>0.10135574089260135</v>
      </c>
    </row>
    <row r="27" spans="2:7" x14ac:dyDescent="0.3">
      <c r="B27" s="866" t="s">
        <v>407</v>
      </c>
      <c r="C27" s="867">
        <f>SUM('Mortgage payment schedule'!E273:E284)</f>
        <v>22292.598886096726</v>
      </c>
      <c r="D27" s="868" t="s">
        <v>437</v>
      </c>
      <c r="E27" s="867">
        <f>SUM('Mortgage payment schedule'!D273:D284)</f>
        <v>3333.2721668090317</v>
      </c>
      <c r="F27" s="869">
        <f t="shared" si="0"/>
        <v>0.86992550770557842</v>
      </c>
      <c r="G27" s="870">
        <f>C27/'ROI details'!$I$3</f>
        <v>0.10707300137414374</v>
      </c>
    </row>
    <row r="28" spans="2:7" x14ac:dyDescent="0.3">
      <c r="B28" s="866" t="s">
        <v>408</v>
      </c>
      <c r="C28" s="867">
        <f>SUM('Mortgage payment schedule'!E285:E296)</f>
        <v>23550.076691694409</v>
      </c>
      <c r="D28" s="868" t="s">
        <v>438</v>
      </c>
      <c r="E28" s="867">
        <f>SUM('Mortgage payment schedule'!D285:D296)</f>
        <v>2075.7943612113463</v>
      </c>
      <c r="F28" s="869">
        <f t="shared" si="0"/>
        <v>0.91899614429005072</v>
      </c>
      <c r="G28" s="870">
        <f>C28/'ROI details'!$I$3</f>
        <v>0.11311276028671666</v>
      </c>
    </row>
    <row r="29" spans="2:7" x14ac:dyDescent="0.3">
      <c r="B29" s="866" t="s">
        <v>409</v>
      </c>
      <c r="C29" s="867">
        <f>SUM('Mortgage payment schedule'!E297:E308)</f>
        <v>24878.486129788042</v>
      </c>
      <c r="D29" s="868" t="s">
        <v>439</v>
      </c>
      <c r="E29" s="867">
        <f>SUM('Mortgage payment schedule'!D297:D308)</f>
        <v>747.38492311759774</v>
      </c>
      <c r="F29" s="869">
        <f t="shared" si="0"/>
        <v>0.97083475049200896</v>
      </c>
      <c r="G29" s="870">
        <f>C29/'ROI details'!$I$3</f>
        <v>0.11949320907679174</v>
      </c>
    </row>
    <row r="30" spans="2:7" x14ac:dyDescent="0.3">
      <c r="B30" s="866" t="s">
        <v>410</v>
      </c>
      <c r="C30" s="867">
        <f>SUM('Mortgage payment schedule'!E309:E320)</f>
        <v>0</v>
      </c>
      <c r="D30" s="868" t="s">
        <v>440</v>
      </c>
      <c r="E30" s="867">
        <f>SUM('Mortgage payment schedule'!D309:D320)</f>
        <v>0</v>
      </c>
      <c r="F30" s="869" t="e">
        <f t="shared" si="0"/>
        <v>#DIV/0!</v>
      </c>
      <c r="G30" s="870">
        <f>C30/'ROI details'!$I$3</f>
        <v>0</v>
      </c>
    </row>
    <row r="31" spans="2:7" x14ac:dyDescent="0.3">
      <c r="B31" s="866" t="s">
        <v>411</v>
      </c>
      <c r="C31" s="867">
        <f>SUM('Mortgage payment schedule'!E321:E332)</f>
        <v>0</v>
      </c>
      <c r="D31" s="868" t="s">
        <v>441</v>
      </c>
      <c r="E31" s="867">
        <f>SUM('Mortgage payment schedule'!D321:D332)</f>
        <v>0</v>
      </c>
      <c r="F31" s="869" t="e">
        <f t="shared" si="0"/>
        <v>#DIV/0!</v>
      </c>
      <c r="G31" s="870">
        <f>C31/'ROI details'!$I$3</f>
        <v>0</v>
      </c>
    </row>
    <row r="32" spans="2:7" x14ac:dyDescent="0.3">
      <c r="B32" s="866" t="s">
        <v>412</v>
      </c>
      <c r="C32" s="867">
        <f>SUM('Mortgage payment schedule'!E333:E344)</f>
        <v>0</v>
      </c>
      <c r="D32" s="868" t="s">
        <v>442</v>
      </c>
      <c r="E32" s="867">
        <f>SUM('Mortgage payment schedule'!D333:D344)</f>
        <v>0</v>
      </c>
      <c r="F32" s="869" t="e">
        <f t="shared" si="0"/>
        <v>#DIV/0!</v>
      </c>
      <c r="G32" s="870">
        <f>C32/'ROI details'!$I$3</f>
        <v>0</v>
      </c>
    </row>
    <row r="33" spans="2:7" x14ac:dyDescent="0.3">
      <c r="B33" s="866" t="s">
        <v>413</v>
      </c>
      <c r="C33" s="867">
        <f>SUM('Mortgage payment schedule'!E345:E356)</f>
        <v>0</v>
      </c>
      <c r="D33" s="868" t="s">
        <v>443</v>
      </c>
      <c r="E33" s="867">
        <f>SUM('Mortgage payment schedule'!D345:D356)</f>
        <v>0</v>
      </c>
      <c r="F33" s="869" t="e">
        <f t="shared" si="0"/>
        <v>#DIV/0!</v>
      </c>
      <c r="G33" s="870">
        <f>C33/'ROI details'!$I$3</f>
        <v>0</v>
      </c>
    </row>
    <row r="34" spans="2:7" ht="15" thickBot="1" x14ac:dyDescent="0.35">
      <c r="B34" s="871" t="s">
        <v>414</v>
      </c>
      <c r="C34" s="872">
        <f>SUM('Mortgage payment schedule'!E357:E368)</f>
        <v>0</v>
      </c>
      <c r="D34" s="873" t="s">
        <v>444</v>
      </c>
      <c r="E34" s="872">
        <f>SUM('Mortgage payment schedule'!D357:D368)</f>
        <v>0</v>
      </c>
      <c r="F34" s="874" t="e">
        <f t="shared" si="0"/>
        <v>#DIV/0!</v>
      </c>
      <c r="G34" s="875">
        <f>C34/'ROI details'!$I$3</f>
        <v>0</v>
      </c>
    </row>
    <row r="35" spans="2:7" x14ac:dyDescent="0.3"/>
    <row r="36" spans="2:7" x14ac:dyDescent="0.3"/>
  </sheetData>
  <sheetProtection algorithmName="SHA-512" hashValue="gZ5xanTBPaaYi4QwB53WWWSsgdvDJ7NWdVoF6Gh8GZsM83jGy+pYsaZ6FbaM+sEaqJWI9g3Y3400+s3j1ssRIw==" saltValue="BcPVzMaJaKbT6GpvuMZx+w==" spinCount="100000" sheet="1" objects="1" scenarios="1"/>
  <phoneticPr fontId="74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2D2C-4CC2-46C7-841A-DCE0542292E5}">
  <sheetPr>
    <tabColor theme="5"/>
  </sheetPr>
  <dimension ref="A1:C22"/>
  <sheetViews>
    <sheetView workbookViewId="0">
      <selection activeCell="C4" sqref="C4"/>
    </sheetView>
  </sheetViews>
  <sheetFormatPr defaultRowHeight="14.4" x14ac:dyDescent="0.3"/>
  <cols>
    <col min="2" max="2" width="23.6640625" customWidth="1"/>
    <col min="3" max="3" width="22.44140625" customWidth="1"/>
    <col min="4" max="4" width="21.5546875" customWidth="1"/>
  </cols>
  <sheetData>
    <row r="1" spans="1:3" ht="21" x14ac:dyDescent="0.4">
      <c r="A1" s="928" t="s">
        <v>535</v>
      </c>
    </row>
    <row r="2" spans="1:3" x14ac:dyDescent="0.3">
      <c r="A2" t="s">
        <v>140</v>
      </c>
      <c r="B2" t="s">
        <v>536</v>
      </c>
      <c r="C2" t="s">
        <v>537</v>
      </c>
    </row>
    <row r="3" spans="1:3" x14ac:dyDescent="0.3">
      <c r="A3">
        <v>1</v>
      </c>
      <c r="B3" s="929">
        <f>'ROI Number insert'!F41</f>
        <v>3180</v>
      </c>
      <c r="C3" s="929">
        <f>B3</f>
        <v>3180</v>
      </c>
    </row>
    <row r="4" spans="1:3" x14ac:dyDescent="0.3">
      <c r="A4">
        <v>2</v>
      </c>
      <c r="B4" s="930">
        <f>FV('ROI Number insert'!$F$8,RepairMentenance!A4,,-RepairMentenance!$B$3)</f>
        <v>3308.4719999999998</v>
      </c>
      <c r="C4" s="929">
        <f>B3+B4</f>
        <v>6488.4719999999998</v>
      </c>
    </row>
    <row r="5" spans="1:3" x14ac:dyDescent="0.3">
      <c r="A5">
        <v>3</v>
      </c>
      <c r="B5" s="930">
        <f>FV('ROI Number insert'!$F$8,RepairMentenance!A5,,-RepairMentenance!$B$3)</f>
        <v>3374.6414399999999</v>
      </c>
      <c r="C5" s="929">
        <f>C4+B5</f>
        <v>9863.1134399999992</v>
      </c>
    </row>
    <row r="6" spans="1:3" x14ac:dyDescent="0.3">
      <c r="A6">
        <v>4</v>
      </c>
      <c r="B6" s="930">
        <f>FV('ROI Number insert'!$F$8,RepairMentenance!A6,,-RepairMentenance!$B$3)</f>
        <v>3442.1342688</v>
      </c>
      <c r="C6" s="929">
        <f t="shared" ref="C6:C22" si="0">C5+B6</f>
        <v>13305.2477088</v>
      </c>
    </row>
    <row r="7" spans="1:3" x14ac:dyDescent="0.3">
      <c r="A7">
        <v>5</v>
      </c>
      <c r="B7" s="930">
        <f>FV('ROI Number insert'!$F$8,RepairMentenance!A7,,-RepairMentenance!$B$3)</f>
        <v>3510.9769541760002</v>
      </c>
      <c r="C7" s="929">
        <f t="shared" si="0"/>
        <v>16816.224662976001</v>
      </c>
    </row>
    <row r="8" spans="1:3" x14ac:dyDescent="0.3">
      <c r="A8">
        <v>6</v>
      </c>
      <c r="B8" s="930">
        <f>FV('ROI Number insert'!$F$8,RepairMentenance!A8,,-RepairMentenance!$B$3)</f>
        <v>3581.1964932595201</v>
      </c>
      <c r="C8" s="929">
        <f t="shared" si="0"/>
        <v>20397.421156235519</v>
      </c>
    </row>
    <row r="9" spans="1:3" x14ac:dyDescent="0.3">
      <c r="A9">
        <v>7</v>
      </c>
      <c r="B9" s="930">
        <f>FV('ROI Number insert'!$F$8,RepairMentenance!A9,,-RepairMentenance!$B$3)</f>
        <v>3652.82042312471</v>
      </c>
      <c r="C9" s="929">
        <f t="shared" si="0"/>
        <v>24050.24157936023</v>
      </c>
    </row>
    <row r="10" spans="1:3" x14ac:dyDescent="0.3">
      <c r="A10">
        <v>8</v>
      </c>
      <c r="B10" s="930">
        <f>FV('ROI Number insert'!$F$8,RepairMentenance!A10,,-RepairMentenance!$B$3)</f>
        <v>3725.8768315872044</v>
      </c>
      <c r="C10" s="929">
        <f t="shared" si="0"/>
        <v>27776.118410947434</v>
      </c>
    </row>
    <row r="11" spans="1:3" x14ac:dyDescent="0.3">
      <c r="A11">
        <v>9</v>
      </c>
      <c r="B11" s="930">
        <f>FV('ROI Number insert'!$F$8,RepairMentenance!A11,,-RepairMentenance!$B$3)</f>
        <v>3800.3943682189483</v>
      </c>
      <c r="C11" s="929">
        <f t="shared" si="0"/>
        <v>31576.512779166384</v>
      </c>
    </row>
    <row r="12" spans="1:3" x14ac:dyDescent="0.3">
      <c r="A12">
        <v>10</v>
      </c>
      <c r="B12" s="930">
        <f>FV('ROI Number insert'!$F$8,RepairMentenance!A12,,-RepairMentenance!$B$3)</f>
        <v>3876.4022555833276</v>
      </c>
      <c r="C12" s="929">
        <f t="shared" si="0"/>
        <v>35452.915034749713</v>
      </c>
    </row>
    <row r="13" spans="1:3" x14ac:dyDescent="0.3">
      <c r="A13">
        <v>11</v>
      </c>
      <c r="B13" s="930">
        <f>FV('ROI Number insert'!$F$8,RepairMentenance!A13,,-RepairMentenance!$B$3)</f>
        <v>3953.9303006949935</v>
      </c>
      <c r="C13" s="929">
        <f t="shared" si="0"/>
        <v>39406.845335444705</v>
      </c>
    </row>
    <row r="14" spans="1:3" x14ac:dyDescent="0.3">
      <c r="A14">
        <v>12</v>
      </c>
      <c r="B14" s="930">
        <f>FV('ROI Number insert'!$F$8,RepairMentenance!A14,,-RepairMentenance!$B$3)</f>
        <v>4033.0089067088938</v>
      </c>
      <c r="C14" s="929">
        <f t="shared" si="0"/>
        <v>43439.854242153597</v>
      </c>
    </row>
    <row r="15" spans="1:3" x14ac:dyDescent="0.3">
      <c r="A15">
        <v>13</v>
      </c>
      <c r="B15" s="930">
        <f>FV('ROI Number insert'!$F$8,RepairMentenance!A15,,-RepairMentenance!$B$3)</f>
        <v>4113.6690848430717</v>
      </c>
      <c r="C15" s="929">
        <f t="shared" si="0"/>
        <v>47553.52332699667</v>
      </c>
    </row>
    <row r="16" spans="1:3" x14ac:dyDescent="0.3">
      <c r="A16">
        <v>14</v>
      </c>
      <c r="B16" s="930">
        <f>FV('ROI Number insert'!$F$8,RepairMentenance!A16,,-RepairMentenance!$B$3)</f>
        <v>4195.9424665399338</v>
      </c>
      <c r="C16" s="929">
        <f t="shared" si="0"/>
        <v>51749.465793536605</v>
      </c>
    </row>
    <row r="17" spans="1:3" x14ac:dyDescent="0.3">
      <c r="A17">
        <v>15</v>
      </c>
      <c r="B17" s="930">
        <f>FV('ROI Number insert'!$F$8,RepairMentenance!A17,,-RepairMentenance!$B$3)</f>
        <v>4279.8613158707312</v>
      </c>
      <c r="C17" s="929">
        <f t="shared" si="0"/>
        <v>56029.327109407335</v>
      </c>
    </row>
    <row r="18" spans="1:3" x14ac:dyDescent="0.3">
      <c r="A18">
        <v>16</v>
      </c>
      <c r="B18" s="930">
        <f>FV('ROI Number insert'!$F$8,RepairMentenance!A18,,-RepairMentenance!$B$3)</f>
        <v>4365.4585421881466</v>
      </c>
      <c r="C18" s="929">
        <f t="shared" si="0"/>
        <v>60394.785651595485</v>
      </c>
    </row>
    <row r="19" spans="1:3" x14ac:dyDescent="0.3">
      <c r="A19">
        <v>17</v>
      </c>
      <c r="B19" s="930">
        <f>FV('ROI Number insert'!$F$8,RepairMentenance!A19,,-RepairMentenance!$B$3)</f>
        <v>4452.7677130319098</v>
      </c>
      <c r="C19" s="929">
        <f t="shared" si="0"/>
        <v>64847.553364627398</v>
      </c>
    </row>
    <row r="20" spans="1:3" x14ac:dyDescent="0.3">
      <c r="A20">
        <v>18</v>
      </c>
      <c r="B20" s="930">
        <f>FV('ROI Number insert'!$F$8,RepairMentenance!A20,,-RepairMentenance!$B$3)</f>
        <v>4541.8230672925474</v>
      </c>
      <c r="C20" s="929">
        <f t="shared" si="0"/>
        <v>69389.37643191994</v>
      </c>
    </row>
    <row r="21" spans="1:3" x14ac:dyDescent="0.3">
      <c r="A21">
        <v>19</v>
      </c>
      <c r="B21" s="930">
        <f>FV('ROI Number insert'!$F$8,RepairMentenance!A21,,-RepairMentenance!$B$3)</f>
        <v>4632.6595286383981</v>
      </c>
      <c r="C21" s="929">
        <f t="shared" si="0"/>
        <v>74022.035960558336</v>
      </c>
    </row>
    <row r="22" spans="1:3" x14ac:dyDescent="0.3">
      <c r="A22">
        <v>20</v>
      </c>
      <c r="B22" s="930">
        <f>FV('ROI Number insert'!$F$8,RepairMentenance!A22,,-RepairMentenance!$B$3)</f>
        <v>4725.312719211166</v>
      </c>
      <c r="C22" s="929">
        <f t="shared" si="0"/>
        <v>78747.348679769508</v>
      </c>
    </row>
  </sheetData>
  <sheetProtection algorithmName="SHA-512" hashValue="KgN3UjJg0J9lB22/EYt/7eB81BHNMPypHNfQ0s/hEYYg6hIL3OdQIz53uN2ZhhgulfZ2IDcrv6j62hasGMiEKA==" saltValue="hecYPhB+xUyA79e7kKp0jg==" spinCount="100000" sheet="1" objects="1" scenarios="1"/>
  <phoneticPr fontId="7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2" tint="-0.249977111117893"/>
  </sheetPr>
  <dimension ref="A1:I371"/>
  <sheetViews>
    <sheetView workbookViewId="0">
      <selection activeCell="G19" sqref="G19"/>
    </sheetView>
  </sheetViews>
  <sheetFormatPr defaultColWidth="0" defaultRowHeight="14.4" x14ac:dyDescent="0.3"/>
  <cols>
    <col min="1" max="1" width="13.77734375" style="581" customWidth="1"/>
    <col min="2" max="2" width="10.6640625" style="581" customWidth="1"/>
    <col min="3" max="3" width="12.21875" style="581" customWidth="1"/>
    <col min="4" max="4" width="16.21875" style="876" customWidth="1"/>
    <col min="5" max="5" width="16.6640625" style="876" customWidth="1"/>
    <col min="6" max="6" width="12.77734375" style="876" customWidth="1"/>
    <col min="7" max="7" width="16.109375" style="581" customWidth="1"/>
    <col min="8" max="8" width="8.77734375" style="581" customWidth="1"/>
    <col min="9" max="9" width="26.44140625" style="581" customWidth="1"/>
    <col min="10" max="16384" width="8.77734375" style="581" hidden="1"/>
  </cols>
  <sheetData>
    <row r="1" spans="1:9" x14ac:dyDescent="0.3">
      <c r="A1" s="626" t="s">
        <v>454</v>
      </c>
    </row>
    <row r="2" spans="1:9" ht="15.6" x14ac:dyDescent="0.3">
      <c r="A2" s="992" t="s">
        <v>109</v>
      </c>
      <c r="B2" s="992"/>
      <c r="C2" s="876">
        <f>'ROI Number insert'!F12</f>
        <v>347750</v>
      </c>
    </row>
    <row r="3" spans="1:9" ht="15.6" x14ac:dyDescent="0.3">
      <c r="A3" s="992" t="s">
        <v>161</v>
      </c>
      <c r="B3" s="992"/>
      <c r="C3" s="876">
        <f>'Mortgage Caculator'!C11</f>
        <v>2135.4892544088129</v>
      </c>
      <c r="I3" s="1"/>
    </row>
    <row r="4" spans="1:9" ht="15.6" x14ac:dyDescent="0.3">
      <c r="A4" s="992" t="s">
        <v>167</v>
      </c>
      <c r="B4" s="992"/>
      <c r="C4" s="877">
        <f>'ROI Number insert'!F5</f>
        <v>5.5E-2</v>
      </c>
      <c r="I4" s="1"/>
    </row>
    <row r="5" spans="1:9" ht="15.6" x14ac:dyDescent="0.3">
      <c r="A5" s="992" t="s">
        <v>168</v>
      </c>
      <c r="B5" s="992"/>
      <c r="C5" s="581">
        <f>'ROI Number insert'!F4</f>
        <v>25</v>
      </c>
      <c r="I5" s="1"/>
    </row>
    <row r="6" spans="1:9" ht="15.6" x14ac:dyDescent="0.3">
      <c r="A6" s="992" t="s">
        <v>169</v>
      </c>
      <c r="B6" s="992"/>
      <c r="C6" s="581">
        <f>'Mortgage Caculator'!C6</f>
        <v>12</v>
      </c>
      <c r="I6" s="1"/>
    </row>
    <row r="7" spans="1:9" ht="18" x14ac:dyDescent="0.35">
      <c r="A7" s="991" t="s">
        <v>170</v>
      </c>
      <c r="B7" s="991"/>
      <c r="C7" s="991"/>
      <c r="D7" s="991"/>
      <c r="E7" s="991"/>
      <c r="F7" s="991"/>
      <c r="G7" s="991"/>
      <c r="I7" s="1"/>
    </row>
    <row r="8" spans="1:9" s="880" customFormat="1" ht="31.2" x14ac:dyDescent="0.3">
      <c r="A8" s="878" t="s">
        <v>171</v>
      </c>
      <c r="B8" s="878" t="s">
        <v>172</v>
      </c>
      <c r="C8" s="878" t="s">
        <v>173</v>
      </c>
      <c r="D8" s="879" t="s">
        <v>174</v>
      </c>
      <c r="E8" s="879" t="s">
        <v>175</v>
      </c>
      <c r="F8" s="879" t="s">
        <v>176</v>
      </c>
      <c r="G8" s="878" t="s">
        <v>177</v>
      </c>
      <c r="I8" s="1"/>
    </row>
    <row r="9" spans="1:9" x14ac:dyDescent="0.3">
      <c r="B9" s="581">
        <v>0</v>
      </c>
      <c r="C9" s="876">
        <f>IF($C$3&lt;G9+(G9*($C$4/$C$6)),$C$3,G9+(G9*($C$4/$C$6)))</f>
        <v>2135.4892544088129</v>
      </c>
      <c r="D9" s="876">
        <f>G9*$C$4/$C$6</f>
        <v>1593.8541666666667</v>
      </c>
      <c r="E9" s="876">
        <f>C9-D9</f>
        <v>541.6350877421462</v>
      </c>
      <c r="G9" s="876">
        <f>C2</f>
        <v>347750</v>
      </c>
      <c r="I9" s="1"/>
    </row>
    <row r="10" spans="1:9" x14ac:dyDescent="0.3">
      <c r="B10" s="581">
        <v>1</v>
      </c>
      <c r="C10" s="876">
        <f t="shared" ref="C10:C73" si="0">IF($C$3&lt;G10+(G10*($C$4/$C$6)),$C$3,G10+(G10*($C$4/$C$6)))</f>
        <v>2135.4892544088129</v>
      </c>
      <c r="D10" s="876">
        <f t="shared" ref="D10:D73" si="1">G10*$C$4/$C$6</f>
        <v>1591.3716725145152</v>
      </c>
      <c r="E10" s="876">
        <f t="shared" ref="E10:E73" si="2">C10-D10</f>
        <v>544.1175818942977</v>
      </c>
      <c r="G10" s="876">
        <f>G9-E9-F9</f>
        <v>347208.36491225788</v>
      </c>
      <c r="I10" s="1"/>
    </row>
    <row r="11" spans="1:9" x14ac:dyDescent="0.3">
      <c r="B11" s="581">
        <v>2</v>
      </c>
      <c r="C11" s="876">
        <f t="shared" si="0"/>
        <v>2135.4892544088129</v>
      </c>
      <c r="D11" s="876">
        <f t="shared" si="1"/>
        <v>1588.8778002641666</v>
      </c>
      <c r="E11" s="876">
        <f t="shared" si="2"/>
        <v>546.61145414464636</v>
      </c>
      <c r="G11" s="876">
        <f t="shared" ref="G11:G74" si="3">G10-E10-F10</f>
        <v>346664.24733036361</v>
      </c>
      <c r="I11" s="1"/>
    </row>
    <row r="12" spans="1:9" x14ac:dyDescent="0.3">
      <c r="B12" s="581">
        <v>3</v>
      </c>
      <c r="C12" s="876">
        <f t="shared" si="0"/>
        <v>2135.4892544088129</v>
      </c>
      <c r="D12" s="876">
        <f t="shared" si="1"/>
        <v>1586.3724977660038</v>
      </c>
      <c r="E12" s="876">
        <f t="shared" si="2"/>
        <v>549.11675664280915</v>
      </c>
      <c r="G12" s="876">
        <f t="shared" si="3"/>
        <v>346117.63587621896</v>
      </c>
      <c r="I12" s="1"/>
    </row>
    <row r="13" spans="1:9" x14ac:dyDescent="0.3">
      <c r="B13" s="581">
        <v>4</v>
      </c>
      <c r="C13" s="876">
        <f t="shared" si="0"/>
        <v>2135.4892544088129</v>
      </c>
      <c r="D13" s="876">
        <f t="shared" si="1"/>
        <v>1583.8557126313908</v>
      </c>
      <c r="E13" s="876">
        <f t="shared" si="2"/>
        <v>551.63354177742212</v>
      </c>
      <c r="G13" s="876">
        <f t="shared" si="3"/>
        <v>345568.51911957614</v>
      </c>
      <c r="I13" s="1"/>
    </row>
    <row r="14" spans="1:9" x14ac:dyDescent="0.3">
      <c r="B14" s="581">
        <v>5</v>
      </c>
      <c r="C14" s="876">
        <f t="shared" si="0"/>
        <v>2135.4892544088129</v>
      </c>
      <c r="D14" s="876">
        <f t="shared" si="1"/>
        <v>1581.3273922315775</v>
      </c>
      <c r="E14" s="876">
        <f t="shared" si="2"/>
        <v>554.16186217723543</v>
      </c>
      <c r="G14" s="876">
        <f t="shared" si="3"/>
        <v>345016.8855777987</v>
      </c>
      <c r="I14" s="1"/>
    </row>
    <row r="15" spans="1:9" x14ac:dyDescent="0.3">
      <c r="B15" s="581">
        <v>6</v>
      </c>
      <c r="C15" s="876">
        <f t="shared" si="0"/>
        <v>2135.4892544088129</v>
      </c>
      <c r="D15" s="876">
        <f t="shared" si="1"/>
        <v>1578.7874836965984</v>
      </c>
      <c r="E15" s="876">
        <f t="shared" si="2"/>
        <v>556.70177071221451</v>
      </c>
      <c r="G15" s="876">
        <f t="shared" si="3"/>
        <v>344462.72371562145</v>
      </c>
      <c r="I15" s="1"/>
    </row>
    <row r="16" spans="1:9" x14ac:dyDescent="0.3">
      <c r="B16" s="581">
        <v>7</v>
      </c>
      <c r="C16" s="876">
        <f t="shared" si="0"/>
        <v>2135.4892544088129</v>
      </c>
      <c r="D16" s="876">
        <f t="shared" si="1"/>
        <v>1576.2359339141674</v>
      </c>
      <c r="E16" s="876">
        <f t="shared" si="2"/>
        <v>559.25332049464555</v>
      </c>
      <c r="G16" s="876">
        <f t="shared" si="3"/>
        <v>343906.02194490924</v>
      </c>
      <c r="I16" s="1"/>
    </row>
    <row r="17" spans="2:9" x14ac:dyDescent="0.3">
      <c r="B17" s="581">
        <v>8</v>
      </c>
      <c r="C17" s="876">
        <f t="shared" si="0"/>
        <v>2135.4892544088129</v>
      </c>
      <c r="D17" s="876">
        <f t="shared" si="1"/>
        <v>1573.6726895285667</v>
      </c>
      <c r="E17" s="876">
        <f t="shared" si="2"/>
        <v>561.81656488024623</v>
      </c>
      <c r="G17" s="876">
        <f t="shared" si="3"/>
        <v>343346.76862441457</v>
      </c>
      <c r="I17" s="1"/>
    </row>
    <row r="18" spans="2:9" x14ac:dyDescent="0.3">
      <c r="B18" s="581">
        <v>9</v>
      </c>
      <c r="C18" s="876">
        <f t="shared" si="0"/>
        <v>2135.4892544088129</v>
      </c>
      <c r="D18" s="876">
        <f t="shared" si="1"/>
        <v>1571.0976969395324</v>
      </c>
      <c r="E18" s="876">
        <f t="shared" si="2"/>
        <v>564.39155746928054</v>
      </c>
      <c r="G18" s="876">
        <f t="shared" si="3"/>
        <v>342784.95205953432</v>
      </c>
    </row>
    <row r="19" spans="2:9" x14ac:dyDescent="0.3">
      <c r="B19" s="581">
        <v>10</v>
      </c>
      <c r="C19" s="876">
        <f t="shared" si="0"/>
        <v>2135.4892544088129</v>
      </c>
      <c r="D19" s="876">
        <f t="shared" si="1"/>
        <v>1568.5109023011316</v>
      </c>
      <c r="E19" s="876">
        <f t="shared" si="2"/>
        <v>566.9783521076813</v>
      </c>
      <c r="G19" s="876">
        <f t="shared" si="3"/>
        <v>342220.56050206505</v>
      </c>
    </row>
    <row r="20" spans="2:9" x14ac:dyDescent="0.3">
      <c r="B20" s="581">
        <v>11</v>
      </c>
      <c r="C20" s="876">
        <f t="shared" si="0"/>
        <v>2135.4892544088129</v>
      </c>
      <c r="D20" s="876">
        <f t="shared" si="1"/>
        <v>1565.9122515206379</v>
      </c>
      <c r="E20" s="876">
        <f t="shared" si="2"/>
        <v>569.577002888175</v>
      </c>
      <c r="G20" s="876">
        <f t="shared" si="3"/>
        <v>341653.58214995736</v>
      </c>
    </row>
    <row r="21" spans="2:9" x14ac:dyDescent="0.3">
      <c r="B21" s="581">
        <v>12</v>
      </c>
      <c r="C21" s="876">
        <f t="shared" si="0"/>
        <v>2135.4892544088129</v>
      </c>
      <c r="D21" s="876">
        <f t="shared" si="1"/>
        <v>1563.3016902574002</v>
      </c>
      <c r="E21" s="876">
        <f t="shared" si="2"/>
        <v>572.18756415141274</v>
      </c>
      <c r="G21" s="876">
        <f t="shared" si="3"/>
        <v>341084.00514706917</v>
      </c>
    </row>
    <row r="22" spans="2:9" x14ac:dyDescent="0.3">
      <c r="B22" s="581">
        <v>13</v>
      </c>
      <c r="C22" s="876">
        <f t="shared" si="0"/>
        <v>2135.4892544088129</v>
      </c>
      <c r="D22" s="876">
        <f t="shared" si="1"/>
        <v>1560.6791639217063</v>
      </c>
      <c r="E22" s="876">
        <f t="shared" si="2"/>
        <v>574.81009048710666</v>
      </c>
      <c r="G22" s="876">
        <f t="shared" si="3"/>
        <v>340511.81758291775</v>
      </c>
    </row>
    <row r="23" spans="2:9" x14ac:dyDescent="0.3">
      <c r="B23" s="581">
        <v>14</v>
      </c>
      <c r="C23" s="876">
        <f t="shared" si="0"/>
        <v>2135.4892544088129</v>
      </c>
      <c r="D23" s="876">
        <f t="shared" si="1"/>
        <v>1558.0446176736405</v>
      </c>
      <c r="E23" s="876">
        <f t="shared" si="2"/>
        <v>577.44463673517248</v>
      </c>
      <c r="G23" s="876">
        <f t="shared" si="3"/>
        <v>339937.00749243062</v>
      </c>
    </row>
    <row r="24" spans="2:9" x14ac:dyDescent="0.3">
      <c r="B24" s="581">
        <v>15</v>
      </c>
      <c r="C24" s="876">
        <f t="shared" si="0"/>
        <v>2135.4892544088129</v>
      </c>
      <c r="D24" s="876">
        <f t="shared" si="1"/>
        <v>1555.3979964219373</v>
      </c>
      <c r="E24" s="876">
        <f t="shared" si="2"/>
        <v>580.09125798687569</v>
      </c>
      <c r="G24" s="876">
        <f t="shared" si="3"/>
        <v>339359.56285569543</v>
      </c>
    </row>
    <row r="25" spans="2:9" x14ac:dyDescent="0.3">
      <c r="B25" s="581">
        <v>16</v>
      </c>
      <c r="C25" s="876">
        <f t="shared" si="0"/>
        <v>2135.4892544088129</v>
      </c>
      <c r="D25" s="876">
        <f t="shared" si="1"/>
        <v>1552.7392448228309</v>
      </c>
      <c r="E25" s="876">
        <f t="shared" si="2"/>
        <v>582.75000958598207</v>
      </c>
      <c r="G25" s="876">
        <f t="shared" si="3"/>
        <v>338779.47159770853</v>
      </c>
    </row>
    <row r="26" spans="2:9" x14ac:dyDescent="0.3">
      <c r="B26" s="581">
        <v>17</v>
      </c>
      <c r="C26" s="876">
        <f t="shared" si="0"/>
        <v>2135.4892544088129</v>
      </c>
      <c r="D26" s="876">
        <f t="shared" si="1"/>
        <v>1550.068307278895</v>
      </c>
      <c r="E26" s="876">
        <f t="shared" si="2"/>
        <v>585.42094712991798</v>
      </c>
      <c r="G26" s="876">
        <f t="shared" si="3"/>
        <v>338196.72158812254</v>
      </c>
    </row>
    <row r="27" spans="2:9" x14ac:dyDescent="0.3">
      <c r="B27" s="581">
        <v>18</v>
      </c>
      <c r="C27" s="876">
        <f t="shared" si="0"/>
        <v>2135.4892544088129</v>
      </c>
      <c r="D27" s="876">
        <f t="shared" si="1"/>
        <v>1547.385127937883</v>
      </c>
      <c r="E27" s="876">
        <f t="shared" si="2"/>
        <v>588.10412647092994</v>
      </c>
      <c r="G27" s="876">
        <f t="shared" si="3"/>
        <v>337611.30064099265</v>
      </c>
    </row>
    <row r="28" spans="2:9" x14ac:dyDescent="0.3">
      <c r="B28" s="581">
        <v>19</v>
      </c>
      <c r="C28" s="876">
        <f t="shared" si="0"/>
        <v>2135.4892544088129</v>
      </c>
      <c r="D28" s="876">
        <f t="shared" si="1"/>
        <v>1544.689650691558</v>
      </c>
      <c r="E28" s="876">
        <f t="shared" si="2"/>
        <v>590.79960371725497</v>
      </c>
      <c r="G28" s="876">
        <f t="shared" si="3"/>
        <v>337023.19651452173</v>
      </c>
    </row>
    <row r="29" spans="2:9" x14ac:dyDescent="0.3">
      <c r="B29" s="581">
        <v>20</v>
      </c>
      <c r="C29" s="876">
        <f t="shared" si="0"/>
        <v>2135.4892544088129</v>
      </c>
      <c r="D29" s="876">
        <f t="shared" si="1"/>
        <v>1541.9818191745208</v>
      </c>
      <c r="E29" s="876">
        <f t="shared" si="2"/>
        <v>593.50743523429219</v>
      </c>
      <c r="G29" s="876">
        <f t="shared" si="3"/>
        <v>336432.3969108045</v>
      </c>
    </row>
    <row r="30" spans="2:9" x14ac:dyDescent="0.3">
      <c r="B30" s="581">
        <v>21</v>
      </c>
      <c r="C30" s="876">
        <f t="shared" si="0"/>
        <v>2135.4892544088129</v>
      </c>
      <c r="D30" s="876">
        <f t="shared" si="1"/>
        <v>1539.2615767630302</v>
      </c>
      <c r="E30" s="876">
        <f t="shared" si="2"/>
        <v>596.22767764578271</v>
      </c>
      <c r="G30" s="876">
        <f t="shared" si="3"/>
        <v>335838.88947557023</v>
      </c>
    </row>
    <row r="31" spans="2:9" x14ac:dyDescent="0.3">
      <c r="B31" s="581">
        <v>22</v>
      </c>
      <c r="C31" s="876">
        <f t="shared" si="0"/>
        <v>2135.4892544088129</v>
      </c>
      <c r="D31" s="876">
        <f t="shared" si="1"/>
        <v>1536.5288665738206</v>
      </c>
      <c r="E31" s="876">
        <f t="shared" si="2"/>
        <v>598.96038783499239</v>
      </c>
      <c r="G31" s="876">
        <f t="shared" si="3"/>
        <v>335242.66179792443</v>
      </c>
    </row>
    <row r="32" spans="2:9" x14ac:dyDescent="0.3">
      <c r="B32" s="581">
        <v>23</v>
      </c>
      <c r="C32" s="876">
        <f t="shared" si="0"/>
        <v>2135.4892544088129</v>
      </c>
      <c r="D32" s="876">
        <f t="shared" si="1"/>
        <v>1533.7836314629101</v>
      </c>
      <c r="E32" s="876">
        <f t="shared" si="2"/>
        <v>601.70562294590286</v>
      </c>
      <c r="G32" s="876">
        <f t="shared" si="3"/>
        <v>334643.70141008944</v>
      </c>
    </row>
    <row r="33" spans="2:7" x14ac:dyDescent="0.3">
      <c r="B33" s="581">
        <v>24</v>
      </c>
      <c r="C33" s="876">
        <f t="shared" si="0"/>
        <v>2135.4892544088129</v>
      </c>
      <c r="D33" s="876">
        <f t="shared" si="1"/>
        <v>1531.0258140244077</v>
      </c>
      <c r="E33" s="876">
        <f t="shared" si="2"/>
        <v>604.4634403844052</v>
      </c>
      <c r="G33" s="876">
        <f t="shared" si="3"/>
        <v>334041.99578714353</v>
      </c>
    </row>
    <row r="34" spans="2:7" x14ac:dyDescent="0.3">
      <c r="B34" s="581">
        <v>25</v>
      </c>
      <c r="C34" s="876">
        <f t="shared" si="0"/>
        <v>2135.4892544088129</v>
      </c>
      <c r="D34" s="876">
        <f t="shared" si="1"/>
        <v>1528.2553565893124</v>
      </c>
      <c r="E34" s="876">
        <f t="shared" si="2"/>
        <v>607.2338978195005</v>
      </c>
      <c r="G34" s="876">
        <f t="shared" si="3"/>
        <v>333437.53234675911</v>
      </c>
    </row>
    <row r="35" spans="2:7" x14ac:dyDescent="0.3">
      <c r="B35" s="581">
        <v>26</v>
      </c>
      <c r="C35" s="876">
        <f t="shared" si="0"/>
        <v>2135.4892544088129</v>
      </c>
      <c r="D35" s="876">
        <f t="shared" si="1"/>
        <v>1525.4722012243067</v>
      </c>
      <c r="E35" s="876">
        <f t="shared" si="2"/>
        <v>610.01705318450627</v>
      </c>
      <c r="G35" s="876">
        <f t="shared" si="3"/>
        <v>332830.29844893963</v>
      </c>
    </row>
    <row r="36" spans="2:7" x14ac:dyDescent="0.3">
      <c r="B36" s="581">
        <v>27</v>
      </c>
      <c r="C36" s="876">
        <f t="shared" si="0"/>
        <v>2135.4892544088129</v>
      </c>
      <c r="D36" s="876">
        <f t="shared" si="1"/>
        <v>1522.6762897305443</v>
      </c>
      <c r="E36" s="876">
        <f t="shared" si="2"/>
        <v>612.8129646782686</v>
      </c>
      <c r="G36" s="876">
        <f t="shared" si="3"/>
        <v>332220.28139575513</v>
      </c>
    </row>
    <row r="37" spans="2:7" x14ac:dyDescent="0.3">
      <c r="B37" s="581">
        <v>28</v>
      </c>
      <c r="C37" s="876">
        <f t="shared" si="0"/>
        <v>2135.4892544088129</v>
      </c>
      <c r="D37" s="876">
        <f t="shared" si="1"/>
        <v>1519.8675636424357</v>
      </c>
      <c r="E37" s="876">
        <f t="shared" si="2"/>
        <v>615.62169076637724</v>
      </c>
      <c r="G37" s="876">
        <f t="shared" si="3"/>
        <v>331607.46843107685</v>
      </c>
    </row>
    <row r="38" spans="2:7" x14ac:dyDescent="0.3">
      <c r="B38" s="581">
        <v>29</v>
      </c>
      <c r="C38" s="876">
        <f t="shared" si="0"/>
        <v>2135.4892544088129</v>
      </c>
      <c r="D38" s="876">
        <f t="shared" si="1"/>
        <v>1517.0459642264232</v>
      </c>
      <c r="E38" s="876">
        <f t="shared" si="2"/>
        <v>618.44329018238977</v>
      </c>
      <c r="G38" s="876">
        <f t="shared" si="3"/>
        <v>330991.84674031049</v>
      </c>
    </row>
    <row r="39" spans="2:7" x14ac:dyDescent="0.3">
      <c r="B39" s="581">
        <v>30</v>
      </c>
      <c r="C39" s="876">
        <f t="shared" si="0"/>
        <v>2135.4892544088129</v>
      </c>
      <c r="D39" s="876">
        <f t="shared" si="1"/>
        <v>1514.2114324797537</v>
      </c>
      <c r="E39" s="876">
        <f t="shared" si="2"/>
        <v>621.2778219290592</v>
      </c>
      <c r="G39" s="876">
        <f t="shared" si="3"/>
        <v>330373.4034501281</v>
      </c>
    </row>
    <row r="40" spans="2:7" x14ac:dyDescent="0.3">
      <c r="B40" s="581">
        <v>31</v>
      </c>
      <c r="C40" s="876">
        <f t="shared" si="0"/>
        <v>2135.4892544088129</v>
      </c>
      <c r="D40" s="876">
        <f t="shared" si="1"/>
        <v>1511.3639091292455</v>
      </c>
      <c r="E40" s="876">
        <f t="shared" si="2"/>
        <v>624.12534527956745</v>
      </c>
      <c r="G40" s="876">
        <f t="shared" si="3"/>
        <v>329752.12562819902</v>
      </c>
    </row>
    <row r="41" spans="2:7" x14ac:dyDescent="0.3">
      <c r="B41" s="581">
        <v>32</v>
      </c>
      <c r="C41" s="876">
        <f t="shared" si="0"/>
        <v>2135.4892544088129</v>
      </c>
      <c r="D41" s="876">
        <f t="shared" si="1"/>
        <v>1508.5033346300477</v>
      </c>
      <c r="E41" s="876">
        <f t="shared" si="2"/>
        <v>626.98591977876526</v>
      </c>
      <c r="G41" s="876">
        <f t="shared" si="3"/>
        <v>329128.00028291944</v>
      </c>
    </row>
    <row r="42" spans="2:7" x14ac:dyDescent="0.3">
      <c r="B42" s="581">
        <v>33</v>
      </c>
      <c r="C42" s="876">
        <f t="shared" si="0"/>
        <v>2135.4892544088129</v>
      </c>
      <c r="D42" s="876">
        <f t="shared" si="1"/>
        <v>1505.629649164395</v>
      </c>
      <c r="E42" s="876">
        <f t="shared" si="2"/>
        <v>629.85960524441793</v>
      </c>
      <c r="G42" s="876">
        <f t="shared" si="3"/>
        <v>328501.01436314068</v>
      </c>
    </row>
    <row r="43" spans="2:7" x14ac:dyDescent="0.3">
      <c r="B43" s="581">
        <v>34</v>
      </c>
      <c r="C43" s="876">
        <f t="shared" si="0"/>
        <v>2135.4892544088129</v>
      </c>
      <c r="D43" s="876">
        <f t="shared" si="1"/>
        <v>1502.7427926403579</v>
      </c>
      <c r="E43" s="876">
        <f t="shared" si="2"/>
        <v>632.74646176845499</v>
      </c>
      <c r="G43" s="876">
        <f t="shared" si="3"/>
        <v>327871.15475789626</v>
      </c>
    </row>
    <row r="44" spans="2:7" x14ac:dyDescent="0.3">
      <c r="B44" s="581">
        <v>35</v>
      </c>
      <c r="C44" s="876">
        <f t="shared" si="0"/>
        <v>2135.4892544088129</v>
      </c>
      <c r="D44" s="876">
        <f t="shared" si="1"/>
        <v>1499.8427046905856</v>
      </c>
      <c r="E44" s="876">
        <f t="shared" si="2"/>
        <v>635.64654971822733</v>
      </c>
      <c r="G44" s="876">
        <f t="shared" si="3"/>
        <v>327238.4082961278</v>
      </c>
    </row>
    <row r="45" spans="2:7" x14ac:dyDescent="0.3">
      <c r="B45" s="581">
        <v>36</v>
      </c>
      <c r="C45" s="876">
        <f t="shared" si="0"/>
        <v>2135.4892544088129</v>
      </c>
      <c r="D45" s="876">
        <f t="shared" si="1"/>
        <v>1496.929324671044</v>
      </c>
      <c r="E45" s="876">
        <f t="shared" si="2"/>
        <v>638.55992973776893</v>
      </c>
      <c r="G45" s="876">
        <f t="shared" si="3"/>
        <v>326602.76174640958</v>
      </c>
    </row>
    <row r="46" spans="2:7" x14ac:dyDescent="0.3">
      <c r="B46" s="581">
        <v>37</v>
      </c>
      <c r="C46" s="876">
        <f t="shared" si="0"/>
        <v>2135.4892544088129</v>
      </c>
      <c r="D46" s="876">
        <f t="shared" si="1"/>
        <v>1494.0025916597458</v>
      </c>
      <c r="E46" s="876">
        <f t="shared" si="2"/>
        <v>641.48666274906714</v>
      </c>
      <c r="G46" s="876">
        <f t="shared" si="3"/>
        <v>325964.20181667182</v>
      </c>
    </row>
    <row r="47" spans="2:7" x14ac:dyDescent="0.3">
      <c r="B47" s="581">
        <v>38</v>
      </c>
      <c r="C47" s="876">
        <f t="shared" si="0"/>
        <v>2135.4892544088129</v>
      </c>
      <c r="D47" s="876">
        <f t="shared" si="1"/>
        <v>1491.0624444554794</v>
      </c>
      <c r="E47" s="876">
        <f t="shared" si="2"/>
        <v>644.42680995333353</v>
      </c>
      <c r="G47" s="876">
        <f t="shared" si="3"/>
        <v>325322.71515392273</v>
      </c>
    </row>
    <row r="48" spans="2:7" x14ac:dyDescent="0.3">
      <c r="B48" s="581">
        <v>39</v>
      </c>
      <c r="C48" s="876">
        <f t="shared" si="0"/>
        <v>2135.4892544088129</v>
      </c>
      <c r="D48" s="876">
        <f t="shared" si="1"/>
        <v>1488.1088215765265</v>
      </c>
      <c r="E48" s="876">
        <f t="shared" si="2"/>
        <v>647.38043283228649</v>
      </c>
      <c r="G48" s="876">
        <f t="shared" si="3"/>
        <v>324678.28834396938</v>
      </c>
    </row>
    <row r="49" spans="2:7" x14ac:dyDescent="0.3">
      <c r="B49" s="581">
        <v>40</v>
      </c>
      <c r="C49" s="876">
        <f t="shared" si="0"/>
        <v>2135.4892544088129</v>
      </c>
      <c r="D49" s="876">
        <f t="shared" si="1"/>
        <v>1485.1416612593785</v>
      </c>
      <c r="E49" s="876">
        <f t="shared" si="2"/>
        <v>650.34759314943449</v>
      </c>
      <c r="G49" s="876">
        <f t="shared" si="3"/>
        <v>324030.9079111371</v>
      </c>
    </row>
    <row r="50" spans="2:7" x14ac:dyDescent="0.3">
      <c r="B50" s="581">
        <v>41</v>
      </c>
      <c r="C50" s="876">
        <f t="shared" si="0"/>
        <v>2135.4892544088129</v>
      </c>
      <c r="D50" s="876">
        <f t="shared" si="1"/>
        <v>1482.1609014574433</v>
      </c>
      <c r="E50" s="876">
        <f t="shared" si="2"/>
        <v>653.32835295136965</v>
      </c>
      <c r="G50" s="876">
        <f t="shared" si="3"/>
        <v>323380.56031798763</v>
      </c>
    </row>
    <row r="51" spans="2:7" x14ac:dyDescent="0.3">
      <c r="B51" s="581">
        <v>42</v>
      </c>
      <c r="C51" s="876">
        <f t="shared" si="0"/>
        <v>2135.4892544088129</v>
      </c>
      <c r="D51" s="876">
        <f t="shared" si="1"/>
        <v>1479.1664798397496</v>
      </c>
      <c r="E51" s="876">
        <f t="shared" si="2"/>
        <v>656.32277456906331</v>
      </c>
      <c r="G51" s="876">
        <f t="shared" si="3"/>
        <v>322727.23196503625</v>
      </c>
    </row>
    <row r="52" spans="2:7" x14ac:dyDescent="0.3">
      <c r="B52" s="581">
        <v>43</v>
      </c>
      <c r="C52" s="876">
        <f t="shared" si="0"/>
        <v>2135.4892544088129</v>
      </c>
      <c r="D52" s="876">
        <f t="shared" si="1"/>
        <v>1476.1583337896416</v>
      </c>
      <c r="E52" s="876">
        <f t="shared" si="2"/>
        <v>659.33092061917137</v>
      </c>
      <c r="G52" s="876">
        <f t="shared" si="3"/>
        <v>322070.90919046721</v>
      </c>
    </row>
    <row r="53" spans="2:7" x14ac:dyDescent="0.3">
      <c r="B53" s="581">
        <v>44</v>
      </c>
      <c r="C53" s="876">
        <f t="shared" si="0"/>
        <v>2135.4892544088129</v>
      </c>
      <c r="D53" s="876">
        <f t="shared" si="1"/>
        <v>1473.1364004034701</v>
      </c>
      <c r="E53" s="876">
        <f t="shared" si="2"/>
        <v>662.35285400534281</v>
      </c>
      <c r="G53" s="876">
        <f t="shared" si="3"/>
        <v>321411.57826984802</v>
      </c>
    </row>
    <row r="54" spans="2:7" x14ac:dyDescent="0.3">
      <c r="B54" s="581">
        <v>45</v>
      </c>
      <c r="C54" s="876">
        <f t="shared" si="0"/>
        <v>2135.4892544088129</v>
      </c>
      <c r="D54" s="876">
        <f t="shared" si="1"/>
        <v>1470.1006164892788</v>
      </c>
      <c r="E54" s="876">
        <f t="shared" si="2"/>
        <v>665.38863791953418</v>
      </c>
      <c r="G54" s="876">
        <f t="shared" si="3"/>
        <v>320749.22541584267</v>
      </c>
    </row>
    <row r="55" spans="2:7" x14ac:dyDescent="0.3">
      <c r="B55" s="581">
        <v>46</v>
      </c>
      <c r="C55" s="876">
        <f t="shared" si="0"/>
        <v>2135.4892544088129</v>
      </c>
      <c r="D55" s="876">
        <f t="shared" si="1"/>
        <v>1467.050918565481</v>
      </c>
      <c r="E55" s="876">
        <f t="shared" si="2"/>
        <v>668.43833584333197</v>
      </c>
      <c r="G55" s="876">
        <f t="shared" si="3"/>
        <v>320083.8367779231</v>
      </c>
    </row>
    <row r="56" spans="2:7" x14ac:dyDescent="0.3">
      <c r="B56" s="581">
        <v>47</v>
      </c>
      <c r="C56" s="876">
        <f t="shared" si="0"/>
        <v>2135.4892544088129</v>
      </c>
      <c r="D56" s="876">
        <f t="shared" si="1"/>
        <v>1463.9872428595324</v>
      </c>
      <c r="E56" s="876">
        <f t="shared" si="2"/>
        <v>671.5020115492805</v>
      </c>
      <c r="G56" s="876">
        <f t="shared" si="3"/>
        <v>319415.39844207978</v>
      </c>
    </row>
    <row r="57" spans="2:7" x14ac:dyDescent="0.3">
      <c r="B57" s="581">
        <v>48</v>
      </c>
      <c r="C57" s="876">
        <f t="shared" si="0"/>
        <v>2135.4892544088129</v>
      </c>
      <c r="D57" s="876">
        <f t="shared" si="1"/>
        <v>1460.9095253065982</v>
      </c>
      <c r="E57" s="876">
        <f t="shared" si="2"/>
        <v>674.57972910221474</v>
      </c>
      <c r="G57" s="876">
        <f t="shared" si="3"/>
        <v>318743.89643053053</v>
      </c>
    </row>
    <row r="58" spans="2:7" x14ac:dyDescent="0.3">
      <c r="B58" s="581">
        <v>49</v>
      </c>
      <c r="C58" s="876">
        <f t="shared" si="0"/>
        <v>2135.4892544088129</v>
      </c>
      <c r="D58" s="876">
        <f t="shared" si="1"/>
        <v>1457.8177015482131</v>
      </c>
      <c r="E58" s="876">
        <f t="shared" si="2"/>
        <v>677.67155286059983</v>
      </c>
      <c r="G58" s="876">
        <f t="shared" si="3"/>
        <v>318069.31670142832</v>
      </c>
    </row>
    <row r="59" spans="2:7" x14ac:dyDescent="0.3">
      <c r="B59" s="581">
        <v>50</v>
      </c>
      <c r="C59" s="876">
        <f t="shared" si="0"/>
        <v>2135.4892544088129</v>
      </c>
      <c r="D59" s="876">
        <f t="shared" si="1"/>
        <v>1454.7117069309354</v>
      </c>
      <c r="E59" s="876">
        <f t="shared" si="2"/>
        <v>680.77754747787753</v>
      </c>
      <c r="G59" s="876">
        <f t="shared" si="3"/>
        <v>317391.64514856774</v>
      </c>
    </row>
    <row r="60" spans="2:7" x14ac:dyDescent="0.3">
      <c r="B60" s="581">
        <v>51</v>
      </c>
      <c r="C60" s="876">
        <f t="shared" si="0"/>
        <v>2135.4892544088129</v>
      </c>
      <c r="D60" s="876">
        <f t="shared" si="1"/>
        <v>1451.5914765049954</v>
      </c>
      <c r="E60" s="876">
        <f t="shared" si="2"/>
        <v>683.89777790381754</v>
      </c>
      <c r="G60" s="876">
        <f t="shared" si="3"/>
        <v>316710.86760108988</v>
      </c>
    </row>
    <row r="61" spans="2:7" x14ac:dyDescent="0.3">
      <c r="B61" s="581">
        <v>52</v>
      </c>
      <c r="C61" s="876">
        <f t="shared" si="0"/>
        <v>2135.4892544088129</v>
      </c>
      <c r="D61" s="876">
        <f t="shared" si="1"/>
        <v>1448.4569450229362</v>
      </c>
      <c r="E61" s="876">
        <f t="shared" si="2"/>
        <v>687.03230938587672</v>
      </c>
      <c r="G61" s="876">
        <f t="shared" si="3"/>
        <v>316026.96982318605</v>
      </c>
    </row>
    <row r="62" spans="2:7" x14ac:dyDescent="0.3">
      <c r="B62" s="581">
        <v>53</v>
      </c>
      <c r="C62" s="876">
        <f t="shared" si="0"/>
        <v>2135.4892544088129</v>
      </c>
      <c r="D62" s="876">
        <f t="shared" si="1"/>
        <v>1445.308046938251</v>
      </c>
      <c r="E62" s="876">
        <f t="shared" si="2"/>
        <v>690.18120747056196</v>
      </c>
      <c r="G62" s="876">
        <f t="shared" si="3"/>
        <v>315339.93751380016</v>
      </c>
    </row>
    <row r="63" spans="2:7" x14ac:dyDescent="0.3">
      <c r="B63" s="581">
        <v>54</v>
      </c>
      <c r="C63" s="876">
        <f t="shared" si="0"/>
        <v>2135.4892544088129</v>
      </c>
      <c r="D63" s="876">
        <f t="shared" si="1"/>
        <v>1442.1447164040108</v>
      </c>
      <c r="E63" s="876">
        <f t="shared" si="2"/>
        <v>693.34453800480219</v>
      </c>
      <c r="G63" s="876">
        <f t="shared" si="3"/>
        <v>314649.75630632963</v>
      </c>
    </row>
    <row r="64" spans="2:7" x14ac:dyDescent="0.3">
      <c r="B64" s="581">
        <v>55</v>
      </c>
      <c r="C64" s="876">
        <f t="shared" si="0"/>
        <v>2135.4892544088129</v>
      </c>
      <c r="D64" s="876">
        <f t="shared" si="1"/>
        <v>1438.966887271489</v>
      </c>
      <c r="E64" s="876">
        <f t="shared" si="2"/>
        <v>696.52236713732395</v>
      </c>
      <c r="G64" s="876">
        <f t="shared" si="3"/>
        <v>313956.41176832485</v>
      </c>
    </row>
    <row r="65" spans="2:7" x14ac:dyDescent="0.3">
      <c r="B65" s="581">
        <v>56</v>
      </c>
      <c r="C65" s="876">
        <f t="shared" si="0"/>
        <v>2135.4892544088129</v>
      </c>
      <c r="D65" s="876">
        <f t="shared" si="1"/>
        <v>1435.7744930887764</v>
      </c>
      <c r="E65" s="876">
        <f t="shared" si="2"/>
        <v>699.71476132003659</v>
      </c>
      <c r="G65" s="876">
        <f t="shared" si="3"/>
        <v>313259.88940118754</v>
      </c>
    </row>
    <row r="66" spans="2:7" x14ac:dyDescent="0.3">
      <c r="B66" s="581">
        <v>57</v>
      </c>
      <c r="C66" s="876">
        <f t="shared" si="0"/>
        <v>2135.4892544088129</v>
      </c>
      <c r="D66" s="876">
        <f t="shared" si="1"/>
        <v>1432.5674670993928</v>
      </c>
      <c r="E66" s="876">
        <f t="shared" si="2"/>
        <v>702.9217873094201</v>
      </c>
      <c r="G66" s="876">
        <f t="shared" si="3"/>
        <v>312560.1746398675</v>
      </c>
    </row>
    <row r="67" spans="2:7" x14ac:dyDescent="0.3">
      <c r="B67" s="581">
        <v>58</v>
      </c>
      <c r="C67" s="876">
        <f t="shared" si="0"/>
        <v>2135.4892544088129</v>
      </c>
      <c r="D67" s="876">
        <f t="shared" si="1"/>
        <v>1429.3457422408912</v>
      </c>
      <c r="E67" s="876">
        <f t="shared" si="2"/>
        <v>706.1435121679217</v>
      </c>
      <c r="G67" s="876">
        <f t="shared" si="3"/>
        <v>311857.2528525581</v>
      </c>
    </row>
    <row r="68" spans="2:7" x14ac:dyDescent="0.3">
      <c r="B68" s="581">
        <v>59</v>
      </c>
      <c r="C68" s="876">
        <f t="shared" si="0"/>
        <v>2135.4892544088129</v>
      </c>
      <c r="D68" s="876">
        <f t="shared" si="1"/>
        <v>1426.1092511434551</v>
      </c>
      <c r="E68" s="876">
        <f t="shared" si="2"/>
        <v>709.3800032653578</v>
      </c>
      <c r="G68" s="876">
        <f t="shared" si="3"/>
        <v>311151.10934039019</v>
      </c>
    </row>
    <row r="69" spans="2:7" x14ac:dyDescent="0.3">
      <c r="B69" s="581">
        <v>60</v>
      </c>
      <c r="C69" s="876">
        <f t="shared" si="0"/>
        <v>2135.4892544088129</v>
      </c>
      <c r="D69" s="876">
        <f t="shared" si="1"/>
        <v>1422.8579261284888</v>
      </c>
      <c r="E69" s="876">
        <f t="shared" si="2"/>
        <v>712.63132828032417</v>
      </c>
      <c r="G69" s="876">
        <f t="shared" si="3"/>
        <v>310441.72933712485</v>
      </c>
    </row>
    <row r="70" spans="2:7" x14ac:dyDescent="0.3">
      <c r="B70" s="581">
        <v>61</v>
      </c>
      <c r="C70" s="876">
        <f t="shared" si="0"/>
        <v>2135.4892544088129</v>
      </c>
      <c r="D70" s="876">
        <f t="shared" si="1"/>
        <v>1419.5916992072041</v>
      </c>
      <c r="E70" s="876">
        <f t="shared" si="2"/>
        <v>715.89755520160884</v>
      </c>
      <c r="G70" s="876">
        <f t="shared" si="3"/>
        <v>309729.09800884454</v>
      </c>
    </row>
    <row r="71" spans="2:7" x14ac:dyDescent="0.3">
      <c r="B71" s="581">
        <v>62</v>
      </c>
      <c r="C71" s="876">
        <f t="shared" si="0"/>
        <v>2135.4892544088129</v>
      </c>
      <c r="D71" s="876">
        <f t="shared" si="1"/>
        <v>1416.3105020791966</v>
      </c>
      <c r="E71" s="876">
        <f t="shared" si="2"/>
        <v>719.17875232961637</v>
      </c>
      <c r="G71" s="876">
        <f t="shared" si="3"/>
        <v>309013.20045364293</v>
      </c>
    </row>
    <row r="72" spans="2:7" x14ac:dyDescent="0.3">
      <c r="B72" s="581">
        <v>63</v>
      </c>
      <c r="C72" s="876">
        <f t="shared" si="0"/>
        <v>2135.4892544088129</v>
      </c>
      <c r="D72" s="876">
        <f t="shared" si="1"/>
        <v>1413.0142661310194</v>
      </c>
      <c r="E72" s="876">
        <f t="shared" si="2"/>
        <v>722.4749882777935</v>
      </c>
      <c r="G72" s="876">
        <f t="shared" si="3"/>
        <v>308294.02170131332</v>
      </c>
    </row>
    <row r="73" spans="2:7" x14ac:dyDescent="0.3">
      <c r="B73" s="581">
        <v>64</v>
      </c>
      <c r="C73" s="876">
        <f t="shared" si="0"/>
        <v>2135.4892544088129</v>
      </c>
      <c r="D73" s="876">
        <f t="shared" si="1"/>
        <v>1409.7029224347464</v>
      </c>
      <c r="E73" s="876">
        <f t="shared" si="2"/>
        <v>725.78633197406657</v>
      </c>
      <c r="G73" s="876">
        <f t="shared" si="3"/>
        <v>307571.54671303555</v>
      </c>
    </row>
    <row r="74" spans="2:7" x14ac:dyDescent="0.3">
      <c r="B74" s="581">
        <v>65</v>
      </c>
      <c r="C74" s="876">
        <f t="shared" ref="C74:C137" si="4">IF($C$3&lt;G74+(G74*($C$4/$C$6)),$C$3,G74+(G74*($C$4/$C$6)))</f>
        <v>2135.4892544088129</v>
      </c>
      <c r="D74" s="876">
        <f t="shared" ref="D74:D137" si="5">G74*$C$4/$C$6</f>
        <v>1406.3764017465319</v>
      </c>
      <c r="E74" s="876">
        <f t="shared" ref="E74:E137" si="6">C74-D74</f>
        <v>729.11285266228106</v>
      </c>
      <c r="G74" s="876">
        <f t="shared" si="3"/>
        <v>306845.76038106147</v>
      </c>
    </row>
    <row r="75" spans="2:7" x14ac:dyDescent="0.3">
      <c r="B75" s="581">
        <v>66</v>
      </c>
      <c r="C75" s="876">
        <f t="shared" si="4"/>
        <v>2135.4892544088129</v>
      </c>
      <c r="D75" s="876">
        <f t="shared" si="5"/>
        <v>1403.034634505163</v>
      </c>
      <c r="E75" s="876">
        <f t="shared" si="6"/>
        <v>732.45461990364993</v>
      </c>
      <c r="G75" s="876">
        <f t="shared" ref="G75:G138" si="7">G74-E74-F74</f>
        <v>306116.64752839919</v>
      </c>
    </row>
    <row r="76" spans="2:7" x14ac:dyDescent="0.3">
      <c r="B76" s="581">
        <v>67</v>
      </c>
      <c r="C76" s="876">
        <f t="shared" si="4"/>
        <v>2135.4892544088129</v>
      </c>
      <c r="D76" s="876">
        <f t="shared" si="5"/>
        <v>1399.6775508306046</v>
      </c>
      <c r="E76" s="876">
        <f t="shared" si="6"/>
        <v>735.81170357820838</v>
      </c>
      <c r="G76" s="876">
        <f t="shared" si="7"/>
        <v>305384.19290849555</v>
      </c>
    </row>
    <row r="77" spans="2:7" x14ac:dyDescent="0.3">
      <c r="B77" s="581">
        <v>68</v>
      </c>
      <c r="C77" s="876">
        <f t="shared" si="4"/>
        <v>2135.4892544088129</v>
      </c>
      <c r="D77" s="876">
        <f t="shared" si="5"/>
        <v>1396.3050805225378</v>
      </c>
      <c r="E77" s="876">
        <f t="shared" si="6"/>
        <v>739.18417388627518</v>
      </c>
      <c r="G77" s="876">
        <f t="shared" si="7"/>
        <v>304648.38120491733</v>
      </c>
    </row>
    <row r="78" spans="2:7" x14ac:dyDescent="0.3">
      <c r="B78" s="581">
        <v>69</v>
      </c>
      <c r="C78" s="876">
        <f t="shared" si="4"/>
        <v>2135.4892544088129</v>
      </c>
      <c r="D78" s="876">
        <f t="shared" si="5"/>
        <v>1392.9171530588926</v>
      </c>
      <c r="E78" s="876">
        <f t="shared" si="6"/>
        <v>742.57210134992033</v>
      </c>
      <c r="G78" s="876">
        <f t="shared" si="7"/>
        <v>303909.19703103107</v>
      </c>
    </row>
    <row r="79" spans="2:7" x14ac:dyDescent="0.3">
      <c r="B79" s="581">
        <v>70</v>
      </c>
      <c r="C79" s="876">
        <f t="shared" si="4"/>
        <v>2135.4892544088129</v>
      </c>
      <c r="D79" s="876">
        <f t="shared" si="5"/>
        <v>1389.5136975943717</v>
      </c>
      <c r="E79" s="876">
        <f t="shared" si="6"/>
        <v>745.97555681444123</v>
      </c>
      <c r="G79" s="876">
        <f t="shared" si="7"/>
        <v>303166.62492968113</v>
      </c>
    </row>
    <row r="80" spans="2:7" x14ac:dyDescent="0.3">
      <c r="B80" s="581">
        <v>71</v>
      </c>
      <c r="C80" s="876">
        <f t="shared" si="4"/>
        <v>2135.4892544088129</v>
      </c>
      <c r="D80" s="876">
        <f t="shared" si="5"/>
        <v>1386.0946429589721</v>
      </c>
      <c r="E80" s="876">
        <f t="shared" si="6"/>
        <v>749.3946114498408</v>
      </c>
      <c r="G80" s="876">
        <f t="shared" si="7"/>
        <v>302420.64937286667</v>
      </c>
    </row>
    <row r="81" spans="2:7" x14ac:dyDescent="0.3">
      <c r="B81" s="581">
        <v>72</v>
      </c>
      <c r="C81" s="876">
        <f t="shared" si="4"/>
        <v>2135.4892544088129</v>
      </c>
      <c r="D81" s="876">
        <f t="shared" si="5"/>
        <v>1382.6599176564939</v>
      </c>
      <c r="E81" s="876">
        <f t="shared" si="6"/>
        <v>752.82933675231902</v>
      </c>
      <c r="G81" s="876">
        <f t="shared" si="7"/>
        <v>301671.25476141681</v>
      </c>
    </row>
    <row r="82" spans="2:7" x14ac:dyDescent="0.3">
      <c r="B82" s="581">
        <v>73</v>
      </c>
      <c r="C82" s="876">
        <f t="shared" si="4"/>
        <v>2135.4892544088129</v>
      </c>
      <c r="D82" s="876">
        <f t="shared" si="5"/>
        <v>1379.2094498630458</v>
      </c>
      <c r="E82" s="876">
        <f t="shared" si="6"/>
        <v>756.27980454576709</v>
      </c>
      <c r="G82" s="876">
        <f t="shared" si="7"/>
        <v>300918.42542466451</v>
      </c>
    </row>
    <row r="83" spans="2:7" x14ac:dyDescent="0.3">
      <c r="B83" s="581">
        <v>74</v>
      </c>
      <c r="C83" s="876">
        <f t="shared" si="4"/>
        <v>2135.4892544088129</v>
      </c>
      <c r="D83" s="876">
        <f t="shared" si="5"/>
        <v>1375.7431674255442</v>
      </c>
      <c r="E83" s="876">
        <f t="shared" si="6"/>
        <v>759.7460869832687</v>
      </c>
      <c r="G83" s="876">
        <f t="shared" si="7"/>
        <v>300162.14562011877</v>
      </c>
    </row>
    <row r="84" spans="2:7" x14ac:dyDescent="0.3">
      <c r="B84" s="581">
        <v>75</v>
      </c>
      <c r="C84" s="876">
        <f t="shared" si="4"/>
        <v>2135.4892544088129</v>
      </c>
      <c r="D84" s="876">
        <f t="shared" si="5"/>
        <v>1372.2609978602047</v>
      </c>
      <c r="E84" s="876">
        <f t="shared" si="6"/>
        <v>763.22825654860821</v>
      </c>
      <c r="G84" s="876">
        <f t="shared" si="7"/>
        <v>299402.39953313553</v>
      </c>
    </row>
    <row r="85" spans="2:7" x14ac:dyDescent="0.3">
      <c r="B85" s="581">
        <v>76</v>
      </c>
      <c r="C85" s="876">
        <f t="shared" si="4"/>
        <v>2135.4892544088129</v>
      </c>
      <c r="D85" s="876">
        <f t="shared" si="5"/>
        <v>1368.7628683510236</v>
      </c>
      <c r="E85" s="876">
        <f t="shared" si="6"/>
        <v>766.72638605778934</v>
      </c>
      <c r="G85" s="876">
        <f t="shared" si="7"/>
        <v>298639.17127658695</v>
      </c>
    </row>
    <row r="86" spans="2:7" x14ac:dyDescent="0.3">
      <c r="B86" s="581">
        <v>77</v>
      </c>
      <c r="C86" s="876">
        <f t="shared" si="4"/>
        <v>2135.4892544088129</v>
      </c>
      <c r="D86" s="876">
        <f t="shared" si="5"/>
        <v>1365.2487057482585</v>
      </c>
      <c r="E86" s="876">
        <f t="shared" si="6"/>
        <v>770.2405486605544</v>
      </c>
      <c r="G86" s="876">
        <f t="shared" si="7"/>
        <v>297872.44489052915</v>
      </c>
    </row>
    <row r="87" spans="2:7" x14ac:dyDescent="0.3">
      <c r="B87" s="581">
        <v>78</v>
      </c>
      <c r="C87" s="876">
        <f t="shared" si="4"/>
        <v>2135.4892544088129</v>
      </c>
      <c r="D87" s="876">
        <f t="shared" si="5"/>
        <v>1361.7184365668977</v>
      </c>
      <c r="E87" s="876">
        <f t="shared" si="6"/>
        <v>773.77081784191523</v>
      </c>
      <c r="G87" s="876">
        <f t="shared" si="7"/>
        <v>297102.20434186858</v>
      </c>
    </row>
    <row r="88" spans="2:7" x14ac:dyDescent="0.3">
      <c r="B88" s="581">
        <v>79</v>
      </c>
      <c r="C88" s="876">
        <f t="shared" si="4"/>
        <v>2135.4892544088129</v>
      </c>
      <c r="D88" s="876">
        <f t="shared" si="5"/>
        <v>1358.1719869851222</v>
      </c>
      <c r="E88" s="876">
        <f t="shared" si="6"/>
        <v>777.31726742369074</v>
      </c>
      <c r="G88" s="876">
        <f t="shared" si="7"/>
        <v>296328.43352402665</v>
      </c>
    </row>
    <row r="89" spans="2:7" x14ac:dyDescent="0.3">
      <c r="B89" s="581">
        <v>80</v>
      </c>
      <c r="C89" s="876">
        <f t="shared" si="4"/>
        <v>2135.4892544088129</v>
      </c>
      <c r="D89" s="876">
        <f t="shared" si="5"/>
        <v>1354.6092828427636</v>
      </c>
      <c r="E89" s="876">
        <f t="shared" si="6"/>
        <v>780.87997156604933</v>
      </c>
      <c r="G89" s="876">
        <f t="shared" si="7"/>
        <v>295551.11625660298</v>
      </c>
    </row>
    <row r="90" spans="2:7" x14ac:dyDescent="0.3">
      <c r="B90" s="581">
        <v>81</v>
      </c>
      <c r="C90" s="876">
        <f t="shared" si="4"/>
        <v>2135.4892544088129</v>
      </c>
      <c r="D90" s="876">
        <f t="shared" si="5"/>
        <v>1351.0302496397528</v>
      </c>
      <c r="E90" s="876">
        <f t="shared" si="6"/>
        <v>784.45900476906013</v>
      </c>
      <c r="G90" s="876">
        <f t="shared" si="7"/>
        <v>294770.23628503695</v>
      </c>
    </row>
    <row r="91" spans="2:7" x14ac:dyDescent="0.3">
      <c r="B91" s="581">
        <v>82</v>
      </c>
      <c r="C91" s="876">
        <f t="shared" si="4"/>
        <v>2135.4892544088129</v>
      </c>
      <c r="D91" s="876">
        <f t="shared" si="5"/>
        <v>1347.4348125345612</v>
      </c>
      <c r="E91" s="876">
        <f t="shared" si="6"/>
        <v>788.05444187425178</v>
      </c>
      <c r="G91" s="876">
        <f t="shared" si="7"/>
        <v>293985.77728026791</v>
      </c>
    </row>
    <row r="92" spans="2:7" x14ac:dyDescent="0.3">
      <c r="B92" s="581">
        <v>83</v>
      </c>
      <c r="C92" s="876">
        <f t="shared" si="4"/>
        <v>2135.4892544088129</v>
      </c>
      <c r="D92" s="876">
        <f t="shared" si="5"/>
        <v>1343.8228963426375</v>
      </c>
      <c r="E92" s="876">
        <f t="shared" si="6"/>
        <v>791.66635806617546</v>
      </c>
      <c r="G92" s="876">
        <f t="shared" si="7"/>
        <v>293197.72283839365</v>
      </c>
    </row>
    <row r="93" spans="2:7" x14ac:dyDescent="0.3">
      <c r="B93" s="581">
        <v>84</v>
      </c>
      <c r="C93" s="876">
        <f t="shared" si="4"/>
        <v>2135.4892544088129</v>
      </c>
      <c r="D93" s="876">
        <f t="shared" si="5"/>
        <v>1340.1944255348342</v>
      </c>
      <c r="E93" s="876">
        <f t="shared" si="6"/>
        <v>795.29482887397876</v>
      </c>
      <c r="G93" s="876">
        <f t="shared" si="7"/>
        <v>292406.05648032745</v>
      </c>
    </row>
    <row r="94" spans="2:7" x14ac:dyDescent="0.3">
      <c r="B94" s="581">
        <v>85</v>
      </c>
      <c r="C94" s="876">
        <f t="shared" si="4"/>
        <v>2135.4892544088129</v>
      </c>
      <c r="D94" s="876">
        <f t="shared" si="5"/>
        <v>1336.5493242358282</v>
      </c>
      <c r="E94" s="876">
        <f t="shared" si="6"/>
        <v>798.93993017298476</v>
      </c>
      <c r="G94" s="876">
        <f t="shared" si="7"/>
        <v>291610.76165145345</v>
      </c>
    </row>
    <row r="95" spans="2:7" x14ac:dyDescent="0.3">
      <c r="B95" s="581">
        <v>86</v>
      </c>
      <c r="C95" s="876">
        <f t="shared" si="4"/>
        <v>2135.4892544088129</v>
      </c>
      <c r="D95" s="876">
        <f t="shared" si="5"/>
        <v>1332.8875162225354</v>
      </c>
      <c r="E95" s="876">
        <f t="shared" si="6"/>
        <v>802.60173818627754</v>
      </c>
      <c r="G95" s="876">
        <f t="shared" si="7"/>
        <v>290811.82172128046</v>
      </c>
    </row>
    <row r="96" spans="2:7" x14ac:dyDescent="0.3">
      <c r="B96" s="581">
        <v>87</v>
      </c>
      <c r="C96" s="876">
        <f t="shared" si="4"/>
        <v>2135.4892544088129</v>
      </c>
      <c r="D96" s="876">
        <f t="shared" si="5"/>
        <v>1329.2089249225151</v>
      </c>
      <c r="E96" s="876">
        <f t="shared" si="6"/>
        <v>806.28032948629789</v>
      </c>
      <c r="G96" s="876">
        <f t="shared" si="7"/>
        <v>290009.2199830942</v>
      </c>
    </row>
    <row r="97" spans="2:7" x14ac:dyDescent="0.3">
      <c r="B97" s="581">
        <v>88</v>
      </c>
      <c r="C97" s="876">
        <f t="shared" si="4"/>
        <v>2135.4892544088129</v>
      </c>
      <c r="D97" s="876">
        <f t="shared" si="5"/>
        <v>1325.5134734123696</v>
      </c>
      <c r="E97" s="876">
        <f t="shared" si="6"/>
        <v>809.97578099644329</v>
      </c>
      <c r="G97" s="876">
        <f t="shared" si="7"/>
        <v>289202.9396536079</v>
      </c>
    </row>
    <row r="98" spans="2:7" x14ac:dyDescent="0.3">
      <c r="B98" s="581">
        <v>89</v>
      </c>
      <c r="C98" s="876">
        <f t="shared" si="4"/>
        <v>2135.4892544088129</v>
      </c>
      <c r="D98" s="876">
        <f t="shared" si="5"/>
        <v>1321.8010844161358</v>
      </c>
      <c r="E98" s="876">
        <f t="shared" si="6"/>
        <v>813.6881699926771</v>
      </c>
      <c r="G98" s="876">
        <f t="shared" si="7"/>
        <v>288392.96387261146</v>
      </c>
    </row>
    <row r="99" spans="2:7" x14ac:dyDescent="0.3">
      <c r="B99" s="581">
        <v>90</v>
      </c>
      <c r="C99" s="876">
        <f t="shared" si="4"/>
        <v>2135.4892544088129</v>
      </c>
      <c r="D99" s="876">
        <f t="shared" si="5"/>
        <v>1318.0716803036694</v>
      </c>
      <c r="E99" s="876">
        <f t="shared" si="6"/>
        <v>817.41757410514356</v>
      </c>
      <c r="G99" s="876">
        <f t="shared" si="7"/>
        <v>287579.27570261876</v>
      </c>
    </row>
    <row r="100" spans="2:7" x14ac:dyDescent="0.3">
      <c r="B100" s="581">
        <v>91</v>
      </c>
      <c r="C100" s="876">
        <f t="shared" si="4"/>
        <v>2135.4892544088129</v>
      </c>
      <c r="D100" s="876">
        <f t="shared" si="5"/>
        <v>1314.3251830890208</v>
      </c>
      <c r="E100" s="876">
        <f t="shared" si="6"/>
        <v>821.16407131979213</v>
      </c>
      <c r="G100" s="876">
        <f t="shared" si="7"/>
        <v>286761.85812851362</v>
      </c>
    </row>
    <row r="101" spans="2:7" x14ac:dyDescent="0.3">
      <c r="B101" s="581">
        <v>92</v>
      </c>
      <c r="C101" s="876">
        <f t="shared" si="4"/>
        <v>2135.4892544088129</v>
      </c>
      <c r="D101" s="876">
        <f t="shared" si="5"/>
        <v>1310.5615144288051</v>
      </c>
      <c r="E101" s="876">
        <f t="shared" si="6"/>
        <v>824.9277399800078</v>
      </c>
      <c r="G101" s="876">
        <f t="shared" si="7"/>
        <v>285940.69405719382</v>
      </c>
    </row>
    <row r="102" spans="2:7" x14ac:dyDescent="0.3">
      <c r="B102" s="581">
        <v>93</v>
      </c>
      <c r="C102" s="876">
        <f t="shared" si="4"/>
        <v>2135.4892544088129</v>
      </c>
      <c r="D102" s="876">
        <f t="shared" si="5"/>
        <v>1306.7805956205634</v>
      </c>
      <c r="E102" s="876">
        <f t="shared" si="6"/>
        <v>828.70865878824952</v>
      </c>
      <c r="G102" s="876">
        <f t="shared" si="7"/>
        <v>285115.76631721383</v>
      </c>
    </row>
    <row r="103" spans="2:7" x14ac:dyDescent="0.3">
      <c r="B103" s="581">
        <v>94</v>
      </c>
      <c r="C103" s="876">
        <f t="shared" si="4"/>
        <v>2135.4892544088129</v>
      </c>
      <c r="D103" s="876">
        <f t="shared" si="5"/>
        <v>1302.9823476011172</v>
      </c>
      <c r="E103" s="876">
        <f t="shared" si="6"/>
        <v>832.50690680769571</v>
      </c>
      <c r="G103" s="876">
        <f t="shared" si="7"/>
        <v>284287.05765842559</v>
      </c>
    </row>
    <row r="104" spans="2:7" x14ac:dyDescent="0.3">
      <c r="B104" s="581">
        <v>95</v>
      </c>
      <c r="C104" s="876">
        <f t="shared" si="4"/>
        <v>2135.4892544088129</v>
      </c>
      <c r="D104" s="876">
        <f t="shared" si="5"/>
        <v>1299.1666909449152</v>
      </c>
      <c r="E104" s="876">
        <f t="shared" si="6"/>
        <v>836.32256346389772</v>
      </c>
      <c r="G104" s="876">
        <f t="shared" si="7"/>
        <v>283454.55075161788</v>
      </c>
    </row>
    <row r="105" spans="2:7" x14ac:dyDescent="0.3">
      <c r="B105" s="581">
        <v>96</v>
      </c>
      <c r="C105" s="876">
        <f t="shared" si="4"/>
        <v>2135.4892544088129</v>
      </c>
      <c r="D105" s="876">
        <f t="shared" si="5"/>
        <v>1295.3335458623726</v>
      </c>
      <c r="E105" s="876">
        <f t="shared" si="6"/>
        <v>840.15570854644034</v>
      </c>
      <c r="G105" s="876">
        <f t="shared" si="7"/>
        <v>282618.228188154</v>
      </c>
    </row>
    <row r="106" spans="2:7" x14ac:dyDescent="0.3">
      <c r="B106" s="581">
        <v>97</v>
      </c>
      <c r="C106" s="876">
        <f t="shared" si="4"/>
        <v>2135.4892544088129</v>
      </c>
      <c r="D106" s="876">
        <f t="shared" si="5"/>
        <v>1291.4828321982011</v>
      </c>
      <c r="E106" s="876">
        <f t="shared" si="6"/>
        <v>844.00642221061185</v>
      </c>
      <c r="G106" s="876">
        <f t="shared" si="7"/>
        <v>281778.07247960754</v>
      </c>
    </row>
    <row r="107" spans="2:7" x14ac:dyDescent="0.3">
      <c r="B107" s="581">
        <v>98</v>
      </c>
      <c r="C107" s="876">
        <f t="shared" si="4"/>
        <v>2135.4892544088129</v>
      </c>
      <c r="D107" s="876">
        <f t="shared" si="5"/>
        <v>1287.6144694297359</v>
      </c>
      <c r="E107" s="876">
        <f t="shared" si="6"/>
        <v>847.87478497907705</v>
      </c>
      <c r="G107" s="876">
        <f t="shared" si="7"/>
        <v>280934.06605739694</v>
      </c>
    </row>
    <row r="108" spans="2:7" x14ac:dyDescent="0.3">
      <c r="B108" s="581">
        <v>99</v>
      </c>
      <c r="C108" s="876">
        <f t="shared" si="4"/>
        <v>2135.4892544088129</v>
      </c>
      <c r="D108" s="876">
        <f t="shared" si="5"/>
        <v>1283.7283766652483</v>
      </c>
      <c r="E108" s="876">
        <f t="shared" si="6"/>
        <v>851.76087774356461</v>
      </c>
      <c r="G108" s="876">
        <f t="shared" si="7"/>
        <v>280086.19127241784</v>
      </c>
    </row>
    <row r="109" spans="2:7" x14ac:dyDescent="0.3">
      <c r="B109" s="581">
        <v>100</v>
      </c>
      <c r="C109" s="876">
        <f t="shared" si="4"/>
        <v>2135.4892544088129</v>
      </c>
      <c r="D109" s="876">
        <f t="shared" si="5"/>
        <v>1279.8244726422572</v>
      </c>
      <c r="E109" s="876">
        <f t="shared" si="6"/>
        <v>855.66478176655573</v>
      </c>
      <c r="G109" s="876">
        <f t="shared" si="7"/>
        <v>279234.4303946743</v>
      </c>
    </row>
    <row r="110" spans="2:7" x14ac:dyDescent="0.3">
      <c r="B110" s="581">
        <v>101</v>
      </c>
      <c r="C110" s="876">
        <f t="shared" si="4"/>
        <v>2135.4892544088129</v>
      </c>
      <c r="D110" s="876">
        <f t="shared" si="5"/>
        <v>1275.9026757258273</v>
      </c>
      <c r="E110" s="876">
        <f t="shared" si="6"/>
        <v>859.58657868298565</v>
      </c>
      <c r="G110" s="876">
        <f t="shared" si="7"/>
        <v>278378.76561290777</v>
      </c>
    </row>
    <row r="111" spans="2:7" x14ac:dyDescent="0.3">
      <c r="B111" s="581">
        <v>102</v>
      </c>
      <c r="C111" s="876">
        <f t="shared" si="4"/>
        <v>2135.4892544088129</v>
      </c>
      <c r="D111" s="876">
        <f t="shared" si="5"/>
        <v>1271.9629039068634</v>
      </c>
      <c r="E111" s="876">
        <f t="shared" si="6"/>
        <v>863.52635050194954</v>
      </c>
      <c r="G111" s="876">
        <f t="shared" si="7"/>
        <v>277519.17903422477</v>
      </c>
    </row>
    <row r="112" spans="2:7" x14ac:dyDescent="0.3">
      <c r="B112" s="581">
        <v>103</v>
      </c>
      <c r="C112" s="876">
        <f t="shared" si="4"/>
        <v>2135.4892544088129</v>
      </c>
      <c r="D112" s="876">
        <f t="shared" si="5"/>
        <v>1268.0050748003964</v>
      </c>
      <c r="E112" s="876">
        <f t="shared" si="6"/>
        <v>867.48417960841653</v>
      </c>
      <c r="G112" s="876">
        <f t="shared" si="7"/>
        <v>276655.65268372284</v>
      </c>
    </row>
    <row r="113" spans="2:7" x14ac:dyDescent="0.3">
      <c r="B113" s="581">
        <v>104</v>
      </c>
      <c r="C113" s="876">
        <f t="shared" si="4"/>
        <v>2135.4892544088129</v>
      </c>
      <c r="D113" s="876">
        <f t="shared" si="5"/>
        <v>1264.029105643858</v>
      </c>
      <c r="E113" s="876">
        <f t="shared" si="6"/>
        <v>871.46014876495497</v>
      </c>
      <c r="G113" s="876">
        <f t="shared" si="7"/>
        <v>275788.16850411444</v>
      </c>
    </row>
    <row r="114" spans="2:7" x14ac:dyDescent="0.3">
      <c r="B114" s="581">
        <v>105</v>
      </c>
      <c r="C114" s="876">
        <f t="shared" si="4"/>
        <v>2135.4892544088129</v>
      </c>
      <c r="D114" s="876">
        <f t="shared" si="5"/>
        <v>1260.0349132953518</v>
      </c>
      <c r="E114" s="876">
        <f t="shared" si="6"/>
        <v>875.45434111346117</v>
      </c>
      <c r="G114" s="876">
        <f t="shared" si="7"/>
        <v>274916.70835534949</v>
      </c>
    </row>
    <row r="115" spans="2:7" x14ac:dyDescent="0.3">
      <c r="B115" s="581">
        <v>106</v>
      </c>
      <c r="C115" s="876">
        <f t="shared" si="4"/>
        <v>2135.4892544088129</v>
      </c>
      <c r="D115" s="876">
        <f t="shared" si="5"/>
        <v>1256.022414231915</v>
      </c>
      <c r="E115" s="876">
        <f t="shared" si="6"/>
        <v>879.4668401768979</v>
      </c>
      <c r="G115" s="876">
        <f t="shared" si="7"/>
        <v>274041.25401423604</v>
      </c>
    </row>
    <row r="116" spans="2:7" x14ac:dyDescent="0.3">
      <c r="B116" s="581">
        <v>107</v>
      </c>
      <c r="C116" s="876">
        <f t="shared" si="4"/>
        <v>2135.4892544088129</v>
      </c>
      <c r="D116" s="876">
        <f t="shared" si="5"/>
        <v>1251.9915245477712</v>
      </c>
      <c r="E116" s="876">
        <f t="shared" si="6"/>
        <v>883.49772986104176</v>
      </c>
      <c r="G116" s="876">
        <f t="shared" si="7"/>
        <v>273161.78717405914</v>
      </c>
    </row>
    <row r="117" spans="2:7" x14ac:dyDescent="0.3">
      <c r="B117" s="581">
        <v>108</v>
      </c>
      <c r="C117" s="876">
        <f t="shared" si="4"/>
        <v>2135.4892544088129</v>
      </c>
      <c r="D117" s="876">
        <f t="shared" si="5"/>
        <v>1247.9421599525745</v>
      </c>
      <c r="E117" s="876">
        <f t="shared" si="6"/>
        <v>887.54709445623848</v>
      </c>
      <c r="G117" s="876">
        <f t="shared" si="7"/>
        <v>272278.28944419808</v>
      </c>
    </row>
    <row r="118" spans="2:7" x14ac:dyDescent="0.3">
      <c r="B118" s="581">
        <v>109</v>
      </c>
      <c r="C118" s="876">
        <f t="shared" si="4"/>
        <v>2135.4892544088129</v>
      </c>
      <c r="D118" s="876">
        <f t="shared" si="5"/>
        <v>1243.8742357696503</v>
      </c>
      <c r="E118" s="876">
        <f t="shared" si="6"/>
        <v>891.6150186391626</v>
      </c>
      <c r="G118" s="876">
        <f t="shared" si="7"/>
        <v>271390.74234974186</v>
      </c>
    </row>
    <row r="119" spans="2:7" x14ac:dyDescent="0.3">
      <c r="B119" s="581">
        <v>110</v>
      </c>
      <c r="C119" s="876">
        <f t="shared" si="4"/>
        <v>2135.4892544088129</v>
      </c>
      <c r="D119" s="876">
        <f t="shared" si="5"/>
        <v>1239.7876669342206</v>
      </c>
      <c r="E119" s="876">
        <f t="shared" si="6"/>
        <v>895.70158747459232</v>
      </c>
      <c r="G119" s="876">
        <f t="shared" si="7"/>
        <v>270499.12733110267</v>
      </c>
    </row>
    <row r="120" spans="2:7" x14ac:dyDescent="0.3">
      <c r="B120" s="581">
        <v>111</v>
      </c>
      <c r="C120" s="876">
        <f t="shared" si="4"/>
        <v>2135.4892544088129</v>
      </c>
      <c r="D120" s="876">
        <f t="shared" si="5"/>
        <v>1235.6823679916286</v>
      </c>
      <c r="E120" s="876">
        <f t="shared" si="6"/>
        <v>899.80688641718439</v>
      </c>
      <c r="G120" s="876">
        <f t="shared" si="7"/>
        <v>269603.42574362806</v>
      </c>
    </row>
    <row r="121" spans="2:7" x14ac:dyDescent="0.3">
      <c r="B121" s="581">
        <v>112</v>
      </c>
      <c r="C121" s="876">
        <f t="shared" si="4"/>
        <v>2135.4892544088129</v>
      </c>
      <c r="D121" s="876">
        <f t="shared" si="5"/>
        <v>1231.5582530955496</v>
      </c>
      <c r="E121" s="876">
        <f t="shared" si="6"/>
        <v>903.93100131326332</v>
      </c>
      <c r="G121" s="876">
        <f t="shared" si="7"/>
        <v>268703.61885721085</v>
      </c>
    </row>
    <row r="122" spans="2:7" x14ac:dyDescent="0.3">
      <c r="B122" s="581">
        <v>113</v>
      </c>
      <c r="C122" s="876">
        <f t="shared" si="4"/>
        <v>2135.4892544088129</v>
      </c>
      <c r="D122" s="876">
        <f t="shared" si="5"/>
        <v>1227.4152360061973</v>
      </c>
      <c r="E122" s="876">
        <f t="shared" si="6"/>
        <v>908.07401840261559</v>
      </c>
      <c r="G122" s="876">
        <f t="shared" si="7"/>
        <v>267799.68785589759</v>
      </c>
    </row>
    <row r="123" spans="2:7" x14ac:dyDescent="0.3">
      <c r="B123" s="581">
        <v>114</v>
      </c>
      <c r="C123" s="876">
        <f t="shared" si="4"/>
        <v>2135.4892544088129</v>
      </c>
      <c r="D123" s="876">
        <f t="shared" si="5"/>
        <v>1223.2532300885186</v>
      </c>
      <c r="E123" s="876">
        <f t="shared" si="6"/>
        <v>912.23602432029429</v>
      </c>
      <c r="G123" s="876">
        <f t="shared" si="7"/>
        <v>266891.61383749498</v>
      </c>
    </row>
    <row r="124" spans="2:7" x14ac:dyDescent="0.3">
      <c r="B124" s="581">
        <v>115</v>
      </c>
      <c r="C124" s="876">
        <f t="shared" si="4"/>
        <v>2135.4892544088129</v>
      </c>
      <c r="D124" s="876">
        <f t="shared" si="5"/>
        <v>1219.0721483103839</v>
      </c>
      <c r="E124" s="876">
        <f t="shared" si="6"/>
        <v>916.41710609842903</v>
      </c>
      <c r="G124" s="876">
        <f t="shared" si="7"/>
        <v>265979.37781317468</v>
      </c>
    </row>
    <row r="125" spans="2:7" x14ac:dyDescent="0.3">
      <c r="B125" s="581">
        <v>116</v>
      </c>
      <c r="C125" s="876">
        <f t="shared" si="4"/>
        <v>2135.4892544088129</v>
      </c>
      <c r="D125" s="876">
        <f t="shared" si="5"/>
        <v>1214.8719032407662</v>
      </c>
      <c r="E125" s="876">
        <f t="shared" si="6"/>
        <v>920.61735116804675</v>
      </c>
      <c r="G125" s="876">
        <f t="shared" si="7"/>
        <v>265062.96070707624</v>
      </c>
    </row>
    <row r="126" spans="2:7" x14ac:dyDescent="0.3">
      <c r="B126" s="581">
        <v>117</v>
      </c>
      <c r="C126" s="876">
        <f t="shared" si="4"/>
        <v>2135.4892544088129</v>
      </c>
      <c r="D126" s="876">
        <f t="shared" si="5"/>
        <v>1210.6524070479124</v>
      </c>
      <c r="E126" s="876">
        <f t="shared" si="6"/>
        <v>924.83684736090049</v>
      </c>
      <c r="G126" s="876">
        <f t="shared" si="7"/>
        <v>264142.34335590817</v>
      </c>
    </row>
    <row r="127" spans="2:7" x14ac:dyDescent="0.3">
      <c r="B127" s="581">
        <v>118</v>
      </c>
      <c r="C127" s="876">
        <f t="shared" si="4"/>
        <v>2135.4892544088129</v>
      </c>
      <c r="D127" s="876">
        <f t="shared" si="5"/>
        <v>1206.4135714975084</v>
      </c>
      <c r="E127" s="876">
        <f t="shared" si="6"/>
        <v>929.07568291130451</v>
      </c>
      <c r="G127" s="876">
        <f t="shared" si="7"/>
        <v>263217.50650854729</v>
      </c>
    </row>
    <row r="128" spans="2:7" x14ac:dyDescent="0.3">
      <c r="B128" s="581">
        <v>119</v>
      </c>
      <c r="C128" s="876">
        <f t="shared" si="4"/>
        <v>2135.4892544088129</v>
      </c>
      <c r="D128" s="876">
        <f t="shared" si="5"/>
        <v>1202.1553079508315</v>
      </c>
      <c r="E128" s="876">
        <f t="shared" si="6"/>
        <v>933.33394645798148</v>
      </c>
      <c r="G128" s="876">
        <f t="shared" si="7"/>
        <v>262288.43082563597</v>
      </c>
    </row>
    <row r="129" spans="2:7" x14ac:dyDescent="0.3">
      <c r="B129" s="581">
        <v>120</v>
      </c>
      <c r="C129" s="876">
        <f t="shared" si="4"/>
        <v>2135.4892544088129</v>
      </c>
      <c r="D129" s="876">
        <f t="shared" si="5"/>
        <v>1197.8775273628992</v>
      </c>
      <c r="E129" s="876">
        <f t="shared" si="6"/>
        <v>937.61172704591377</v>
      </c>
      <c r="G129" s="876">
        <f t="shared" si="7"/>
        <v>261355.09687917799</v>
      </c>
    </row>
    <row r="130" spans="2:7" x14ac:dyDescent="0.3">
      <c r="B130" s="581">
        <v>121</v>
      </c>
      <c r="C130" s="876">
        <f t="shared" si="4"/>
        <v>2135.4892544088129</v>
      </c>
      <c r="D130" s="876">
        <f t="shared" si="5"/>
        <v>1193.5801402806053</v>
      </c>
      <c r="E130" s="876">
        <f t="shared" si="6"/>
        <v>941.90911412820765</v>
      </c>
      <c r="G130" s="876">
        <f t="shared" si="7"/>
        <v>260417.48515213208</v>
      </c>
    </row>
    <row r="131" spans="2:7" x14ac:dyDescent="0.3">
      <c r="B131" s="581">
        <v>122</v>
      </c>
      <c r="C131" s="876">
        <f t="shared" si="4"/>
        <v>2135.4892544088129</v>
      </c>
      <c r="D131" s="876">
        <f t="shared" si="5"/>
        <v>1189.263056840851</v>
      </c>
      <c r="E131" s="876">
        <f t="shared" si="6"/>
        <v>946.22619756796189</v>
      </c>
      <c r="G131" s="876">
        <f t="shared" si="7"/>
        <v>259475.57603800387</v>
      </c>
    </row>
    <row r="132" spans="2:7" x14ac:dyDescent="0.3">
      <c r="B132" s="581">
        <v>123</v>
      </c>
      <c r="C132" s="876">
        <f t="shared" si="4"/>
        <v>2135.4892544088129</v>
      </c>
      <c r="D132" s="876">
        <f t="shared" si="5"/>
        <v>1184.9261867686646</v>
      </c>
      <c r="E132" s="876">
        <f t="shared" si="6"/>
        <v>950.56306764014835</v>
      </c>
      <c r="G132" s="876">
        <f t="shared" si="7"/>
        <v>258529.3498404359</v>
      </c>
    </row>
    <row r="133" spans="2:7" x14ac:dyDescent="0.3">
      <c r="B133" s="581">
        <v>124</v>
      </c>
      <c r="C133" s="876">
        <f t="shared" si="4"/>
        <v>2135.4892544088129</v>
      </c>
      <c r="D133" s="876">
        <f t="shared" si="5"/>
        <v>1180.569439375314</v>
      </c>
      <c r="E133" s="876">
        <f t="shared" si="6"/>
        <v>954.91981503349894</v>
      </c>
      <c r="G133" s="876">
        <f t="shared" si="7"/>
        <v>257578.78677279575</v>
      </c>
    </row>
    <row r="134" spans="2:7" x14ac:dyDescent="0.3">
      <c r="B134" s="581">
        <v>125</v>
      </c>
      <c r="C134" s="876">
        <f t="shared" si="4"/>
        <v>2135.4892544088129</v>
      </c>
      <c r="D134" s="876">
        <f t="shared" si="5"/>
        <v>1176.1927235564103</v>
      </c>
      <c r="E134" s="876">
        <f t="shared" si="6"/>
        <v>959.29653085240261</v>
      </c>
      <c r="G134" s="876">
        <f t="shared" si="7"/>
        <v>256623.86695776225</v>
      </c>
    </row>
    <row r="135" spans="2:7" x14ac:dyDescent="0.3">
      <c r="B135" s="581">
        <v>126</v>
      </c>
      <c r="C135" s="876">
        <f t="shared" si="4"/>
        <v>2135.4892544088129</v>
      </c>
      <c r="D135" s="876">
        <f t="shared" si="5"/>
        <v>1171.7959477900033</v>
      </c>
      <c r="E135" s="876">
        <f t="shared" si="6"/>
        <v>963.69330661880963</v>
      </c>
      <c r="G135" s="876">
        <f t="shared" si="7"/>
        <v>255664.57042690984</v>
      </c>
    </row>
    <row r="136" spans="2:7" x14ac:dyDescent="0.3">
      <c r="B136" s="581">
        <v>127</v>
      </c>
      <c r="C136" s="876">
        <f t="shared" si="4"/>
        <v>2135.4892544088129</v>
      </c>
      <c r="D136" s="876">
        <f t="shared" si="5"/>
        <v>1167.3790201346671</v>
      </c>
      <c r="E136" s="876">
        <f t="shared" si="6"/>
        <v>968.1102342741458</v>
      </c>
      <c r="G136" s="876">
        <f t="shared" si="7"/>
        <v>254700.87712029103</v>
      </c>
    </row>
    <row r="137" spans="2:7" x14ac:dyDescent="0.3">
      <c r="B137" s="581">
        <v>128</v>
      </c>
      <c r="C137" s="876">
        <f t="shared" si="4"/>
        <v>2135.4892544088129</v>
      </c>
      <c r="D137" s="876">
        <f t="shared" si="5"/>
        <v>1162.9418482275773</v>
      </c>
      <c r="E137" s="876">
        <f t="shared" si="6"/>
        <v>972.5474061812356</v>
      </c>
      <c r="G137" s="876">
        <f t="shared" si="7"/>
        <v>253732.76688601688</v>
      </c>
    </row>
    <row r="138" spans="2:7" x14ac:dyDescent="0.3">
      <c r="B138" s="581">
        <v>129</v>
      </c>
      <c r="C138" s="876">
        <f t="shared" ref="C138:C201" si="8">IF($C$3&lt;G138+(G138*($C$4/$C$6)),$C$3,G138+(G138*($C$4/$C$6)))</f>
        <v>2135.4892544088129</v>
      </c>
      <c r="D138" s="876">
        <f t="shared" ref="D138:D201" si="9">G138*$C$4/$C$6</f>
        <v>1158.4843392825801</v>
      </c>
      <c r="E138" s="876">
        <f t="shared" ref="E138:E201" si="10">C138-D138</f>
        <v>977.00491512623285</v>
      </c>
      <c r="G138" s="876">
        <f t="shared" si="7"/>
        <v>252760.21947983565</v>
      </c>
    </row>
    <row r="139" spans="2:7" x14ac:dyDescent="0.3">
      <c r="B139" s="581">
        <v>130</v>
      </c>
      <c r="C139" s="876">
        <f t="shared" si="8"/>
        <v>2135.4892544088129</v>
      </c>
      <c r="D139" s="876">
        <f t="shared" si="9"/>
        <v>1154.0064000882514</v>
      </c>
      <c r="E139" s="876">
        <f t="shared" si="10"/>
        <v>981.4828543205615</v>
      </c>
      <c r="G139" s="876">
        <f t="shared" ref="G139:G202" si="11">G138-E138-F138</f>
        <v>251783.21456470943</v>
      </c>
    </row>
    <row r="140" spans="2:7" x14ac:dyDescent="0.3">
      <c r="B140" s="581">
        <v>131</v>
      </c>
      <c r="C140" s="876">
        <f t="shared" si="8"/>
        <v>2135.4892544088129</v>
      </c>
      <c r="D140" s="876">
        <f t="shared" si="9"/>
        <v>1149.5079370059491</v>
      </c>
      <c r="E140" s="876">
        <f t="shared" si="10"/>
        <v>985.98131740286385</v>
      </c>
      <c r="G140" s="876">
        <f t="shared" si="11"/>
        <v>250801.73171038888</v>
      </c>
    </row>
    <row r="141" spans="2:7" x14ac:dyDescent="0.3">
      <c r="B141" s="581">
        <v>132</v>
      </c>
      <c r="C141" s="876">
        <f t="shared" si="8"/>
        <v>2135.4892544088129</v>
      </c>
      <c r="D141" s="876">
        <f t="shared" si="9"/>
        <v>1144.9888559678527</v>
      </c>
      <c r="E141" s="876">
        <f t="shared" si="10"/>
        <v>990.50039844096023</v>
      </c>
      <c r="G141" s="876">
        <f t="shared" si="11"/>
        <v>249815.75039298602</v>
      </c>
    </row>
    <row r="142" spans="2:7" x14ac:dyDescent="0.3">
      <c r="B142" s="581">
        <v>133</v>
      </c>
      <c r="C142" s="876">
        <f t="shared" si="8"/>
        <v>2135.4892544088129</v>
      </c>
      <c r="D142" s="876">
        <f t="shared" si="9"/>
        <v>1140.4490624749983</v>
      </c>
      <c r="E142" s="876">
        <f t="shared" si="10"/>
        <v>995.04019193381464</v>
      </c>
      <c r="G142" s="876">
        <f t="shared" si="11"/>
        <v>248825.24999454507</v>
      </c>
    </row>
    <row r="143" spans="2:7" x14ac:dyDescent="0.3">
      <c r="B143" s="581">
        <v>134</v>
      </c>
      <c r="C143" s="876">
        <f t="shared" si="8"/>
        <v>2135.4892544088129</v>
      </c>
      <c r="D143" s="876">
        <f t="shared" si="9"/>
        <v>1135.8884615953016</v>
      </c>
      <c r="E143" s="876">
        <f t="shared" si="10"/>
        <v>999.60079281351136</v>
      </c>
      <c r="G143" s="876">
        <f t="shared" si="11"/>
        <v>247830.20980261127</v>
      </c>
    </row>
    <row r="144" spans="2:7" x14ac:dyDescent="0.3">
      <c r="B144" s="581">
        <v>135</v>
      </c>
      <c r="C144" s="876">
        <f t="shared" si="8"/>
        <v>2135.4892544088129</v>
      </c>
      <c r="D144" s="876">
        <f t="shared" si="9"/>
        <v>1131.3069579615731</v>
      </c>
      <c r="E144" s="876">
        <f t="shared" si="10"/>
        <v>1004.1822964472399</v>
      </c>
      <c r="G144" s="876">
        <f t="shared" si="11"/>
        <v>246830.60900979774</v>
      </c>
    </row>
    <row r="145" spans="2:7" x14ac:dyDescent="0.3">
      <c r="B145" s="581">
        <v>136</v>
      </c>
      <c r="C145" s="876">
        <f t="shared" si="8"/>
        <v>2135.4892544088129</v>
      </c>
      <c r="D145" s="876">
        <f t="shared" si="9"/>
        <v>1126.7044557695231</v>
      </c>
      <c r="E145" s="876">
        <f t="shared" si="10"/>
        <v>1008.7847986392899</v>
      </c>
      <c r="G145" s="876">
        <f t="shared" si="11"/>
        <v>245826.42671335049</v>
      </c>
    </row>
    <row r="146" spans="2:7" x14ac:dyDescent="0.3">
      <c r="B146" s="581">
        <v>137</v>
      </c>
      <c r="C146" s="876">
        <f t="shared" si="8"/>
        <v>2135.4892544088129</v>
      </c>
      <c r="D146" s="876">
        <f t="shared" si="9"/>
        <v>1122.0808587757597</v>
      </c>
      <c r="E146" s="876">
        <f t="shared" si="10"/>
        <v>1013.4083956330533</v>
      </c>
      <c r="G146" s="876">
        <f t="shared" si="11"/>
        <v>244817.64191471119</v>
      </c>
    </row>
    <row r="147" spans="2:7" x14ac:dyDescent="0.3">
      <c r="B147" s="581">
        <v>138</v>
      </c>
      <c r="C147" s="876">
        <f t="shared" si="8"/>
        <v>2135.4892544088129</v>
      </c>
      <c r="D147" s="876">
        <f t="shared" si="9"/>
        <v>1117.4360702957749</v>
      </c>
      <c r="E147" s="876">
        <f t="shared" si="10"/>
        <v>1018.053184113038</v>
      </c>
      <c r="G147" s="876">
        <f t="shared" si="11"/>
        <v>243804.23351907815</v>
      </c>
    </row>
    <row r="148" spans="2:7" x14ac:dyDescent="0.3">
      <c r="B148" s="581">
        <v>139</v>
      </c>
      <c r="C148" s="876">
        <f t="shared" si="8"/>
        <v>2135.4892544088129</v>
      </c>
      <c r="D148" s="876">
        <f t="shared" si="9"/>
        <v>1112.7699932019234</v>
      </c>
      <c r="E148" s="876">
        <f t="shared" si="10"/>
        <v>1022.7192612068895</v>
      </c>
      <c r="G148" s="876">
        <f t="shared" si="11"/>
        <v>242786.18033496512</v>
      </c>
    </row>
    <row r="149" spans="2:7" x14ac:dyDescent="0.3">
      <c r="B149" s="581">
        <v>140</v>
      </c>
      <c r="C149" s="876">
        <f t="shared" si="8"/>
        <v>2135.4892544088129</v>
      </c>
      <c r="D149" s="876">
        <f t="shared" si="9"/>
        <v>1108.0825299213918</v>
      </c>
      <c r="E149" s="876">
        <f t="shared" si="10"/>
        <v>1027.4067244874211</v>
      </c>
      <c r="G149" s="876">
        <f t="shared" si="11"/>
        <v>241763.46107375823</v>
      </c>
    </row>
    <row r="150" spans="2:7" x14ac:dyDescent="0.3">
      <c r="B150" s="581">
        <v>141</v>
      </c>
      <c r="C150" s="876">
        <f t="shared" si="8"/>
        <v>2135.4892544088129</v>
      </c>
      <c r="D150" s="876">
        <f t="shared" si="9"/>
        <v>1103.3735824341577</v>
      </c>
      <c r="E150" s="876">
        <f t="shared" si="10"/>
        <v>1032.1156719746552</v>
      </c>
      <c r="G150" s="876">
        <f t="shared" si="11"/>
        <v>240736.05434927079</v>
      </c>
    </row>
    <row r="151" spans="2:7" x14ac:dyDescent="0.3">
      <c r="B151" s="581">
        <v>142</v>
      </c>
      <c r="C151" s="876">
        <f t="shared" si="8"/>
        <v>2135.4892544088129</v>
      </c>
      <c r="D151" s="876">
        <f t="shared" si="9"/>
        <v>1098.6430522709406</v>
      </c>
      <c r="E151" s="876">
        <f t="shared" si="10"/>
        <v>1036.8462021378723</v>
      </c>
      <c r="G151" s="876">
        <f t="shared" si="11"/>
        <v>239703.93867729613</v>
      </c>
    </row>
    <row r="152" spans="2:7" x14ac:dyDescent="0.3">
      <c r="B152" s="581">
        <v>143</v>
      </c>
      <c r="C152" s="876">
        <f t="shared" si="8"/>
        <v>2135.4892544088129</v>
      </c>
      <c r="D152" s="876">
        <f t="shared" si="9"/>
        <v>1093.890840511142</v>
      </c>
      <c r="E152" s="876">
        <f t="shared" si="10"/>
        <v>1041.598413897671</v>
      </c>
      <c r="G152" s="876">
        <f t="shared" si="11"/>
        <v>238667.09247515825</v>
      </c>
    </row>
    <row r="153" spans="2:7" x14ac:dyDescent="0.3">
      <c r="B153" s="581">
        <v>144</v>
      </c>
      <c r="C153" s="876">
        <f t="shared" si="8"/>
        <v>2135.4892544088129</v>
      </c>
      <c r="D153" s="876">
        <f t="shared" si="9"/>
        <v>1089.1168477807776</v>
      </c>
      <c r="E153" s="876">
        <f t="shared" si="10"/>
        <v>1046.3724066280354</v>
      </c>
      <c r="G153" s="876">
        <f t="shared" si="11"/>
        <v>237625.49406126057</v>
      </c>
    </row>
    <row r="154" spans="2:7" x14ac:dyDescent="0.3">
      <c r="B154" s="581">
        <v>145</v>
      </c>
      <c r="C154" s="876">
        <f t="shared" si="8"/>
        <v>2135.4892544088129</v>
      </c>
      <c r="D154" s="876">
        <f t="shared" si="9"/>
        <v>1084.3209742503991</v>
      </c>
      <c r="E154" s="876">
        <f t="shared" si="10"/>
        <v>1051.1682801584138</v>
      </c>
      <c r="G154" s="876">
        <f t="shared" si="11"/>
        <v>236579.12165463253</v>
      </c>
    </row>
    <row r="155" spans="2:7" x14ac:dyDescent="0.3">
      <c r="B155" s="581">
        <v>146</v>
      </c>
      <c r="C155" s="876">
        <f t="shared" si="8"/>
        <v>2135.4892544088129</v>
      </c>
      <c r="D155" s="876">
        <f t="shared" si="9"/>
        <v>1079.5031196330062</v>
      </c>
      <c r="E155" s="876">
        <f t="shared" si="10"/>
        <v>1055.9861347758067</v>
      </c>
      <c r="G155" s="876">
        <f t="shared" si="11"/>
        <v>235527.95337447411</v>
      </c>
    </row>
    <row r="156" spans="2:7" x14ac:dyDescent="0.3">
      <c r="B156" s="581">
        <v>147</v>
      </c>
      <c r="C156" s="876">
        <f t="shared" si="8"/>
        <v>2135.4892544088129</v>
      </c>
      <c r="D156" s="876">
        <f t="shared" si="9"/>
        <v>1074.6631831819507</v>
      </c>
      <c r="E156" s="876">
        <f t="shared" si="10"/>
        <v>1060.8260712268623</v>
      </c>
      <c r="G156" s="876">
        <f t="shared" si="11"/>
        <v>234471.96723969831</v>
      </c>
    </row>
    <row r="157" spans="2:7" x14ac:dyDescent="0.3">
      <c r="B157" s="581">
        <v>148</v>
      </c>
      <c r="C157" s="876">
        <f t="shared" si="8"/>
        <v>2135.4892544088129</v>
      </c>
      <c r="D157" s="876">
        <f t="shared" si="9"/>
        <v>1069.8010636888275</v>
      </c>
      <c r="E157" s="876">
        <f t="shared" si="10"/>
        <v>1065.6881907199854</v>
      </c>
      <c r="G157" s="876">
        <f t="shared" si="11"/>
        <v>233411.14116847145</v>
      </c>
    </row>
    <row r="158" spans="2:7" x14ac:dyDescent="0.3">
      <c r="B158" s="581">
        <v>149</v>
      </c>
      <c r="C158" s="876">
        <f t="shared" si="8"/>
        <v>2135.4892544088129</v>
      </c>
      <c r="D158" s="876">
        <f t="shared" si="9"/>
        <v>1064.916659481361</v>
      </c>
      <c r="E158" s="876">
        <f t="shared" si="10"/>
        <v>1070.572594927452</v>
      </c>
      <c r="G158" s="876">
        <f t="shared" si="11"/>
        <v>232345.45297775147</v>
      </c>
    </row>
    <row r="159" spans="2:7" x14ac:dyDescent="0.3">
      <c r="B159" s="581">
        <v>150</v>
      </c>
      <c r="C159" s="876">
        <f t="shared" si="8"/>
        <v>2135.4892544088129</v>
      </c>
      <c r="D159" s="876">
        <f t="shared" si="9"/>
        <v>1060.0098684212769</v>
      </c>
      <c r="E159" s="876">
        <f t="shared" si="10"/>
        <v>1075.479385987536</v>
      </c>
      <c r="G159" s="876">
        <f t="shared" si="11"/>
        <v>231274.88038282402</v>
      </c>
    </row>
    <row r="160" spans="2:7" x14ac:dyDescent="0.3">
      <c r="B160" s="581">
        <v>151</v>
      </c>
      <c r="C160" s="876">
        <f t="shared" si="8"/>
        <v>2135.4892544088129</v>
      </c>
      <c r="D160" s="876">
        <f t="shared" si="9"/>
        <v>1055.0805879021673</v>
      </c>
      <c r="E160" s="876">
        <f t="shared" si="10"/>
        <v>1080.4086665066457</v>
      </c>
      <c r="G160" s="876">
        <f t="shared" si="11"/>
        <v>230199.40099683648</v>
      </c>
    </row>
    <row r="161" spans="2:7" x14ac:dyDescent="0.3">
      <c r="B161" s="581">
        <v>152</v>
      </c>
      <c r="C161" s="876">
        <f t="shared" si="8"/>
        <v>2135.4892544088129</v>
      </c>
      <c r="D161" s="876">
        <f t="shared" si="9"/>
        <v>1050.128714847345</v>
      </c>
      <c r="E161" s="876">
        <f t="shared" si="10"/>
        <v>1085.3605395614679</v>
      </c>
      <c r="G161" s="876">
        <f t="shared" si="11"/>
        <v>229118.99233032984</v>
      </c>
    </row>
    <row r="162" spans="2:7" x14ac:dyDescent="0.3">
      <c r="B162" s="581">
        <v>153</v>
      </c>
      <c r="C162" s="876">
        <f t="shared" si="8"/>
        <v>2135.4892544088129</v>
      </c>
      <c r="D162" s="876">
        <f t="shared" si="9"/>
        <v>1045.1541457076885</v>
      </c>
      <c r="E162" s="876">
        <f t="shared" si="10"/>
        <v>1090.3351087011245</v>
      </c>
      <c r="G162" s="876">
        <f t="shared" si="11"/>
        <v>228033.63179076838</v>
      </c>
    </row>
    <row r="163" spans="2:7" x14ac:dyDescent="0.3">
      <c r="B163" s="581">
        <v>154</v>
      </c>
      <c r="C163" s="876">
        <f t="shared" si="8"/>
        <v>2135.4892544088129</v>
      </c>
      <c r="D163" s="876">
        <f t="shared" si="9"/>
        <v>1040.1567764594749</v>
      </c>
      <c r="E163" s="876">
        <f t="shared" si="10"/>
        <v>1095.332477949338</v>
      </c>
      <c r="G163" s="876">
        <f t="shared" si="11"/>
        <v>226943.29668206727</v>
      </c>
    </row>
    <row r="164" spans="2:7" x14ac:dyDescent="0.3">
      <c r="B164" s="581">
        <v>155</v>
      </c>
      <c r="C164" s="876">
        <f t="shared" si="8"/>
        <v>2135.4892544088129</v>
      </c>
      <c r="D164" s="876">
        <f t="shared" si="9"/>
        <v>1035.1365026022072</v>
      </c>
      <c r="E164" s="876">
        <f t="shared" si="10"/>
        <v>1100.3527518066057</v>
      </c>
      <c r="G164" s="876">
        <f t="shared" si="11"/>
        <v>225847.96420411795</v>
      </c>
    </row>
    <row r="165" spans="2:7" x14ac:dyDescent="0.3">
      <c r="B165" s="581">
        <v>156</v>
      </c>
      <c r="C165" s="876">
        <f t="shared" si="8"/>
        <v>2135.4892544088129</v>
      </c>
      <c r="D165" s="876">
        <f t="shared" si="9"/>
        <v>1030.0932191564268</v>
      </c>
      <c r="E165" s="876">
        <f t="shared" si="10"/>
        <v>1105.3960352523861</v>
      </c>
      <c r="G165" s="876">
        <f t="shared" si="11"/>
        <v>224747.61145231134</v>
      </c>
    </row>
    <row r="166" spans="2:7" x14ac:dyDescent="0.3">
      <c r="B166" s="581">
        <v>157</v>
      </c>
      <c r="C166" s="876">
        <f t="shared" si="8"/>
        <v>2135.4892544088129</v>
      </c>
      <c r="D166" s="876">
        <f t="shared" si="9"/>
        <v>1025.0268206615203</v>
      </c>
      <c r="E166" s="876">
        <f t="shared" si="10"/>
        <v>1110.4624337472926</v>
      </c>
      <c r="G166" s="876">
        <f t="shared" si="11"/>
        <v>223642.21541705896</v>
      </c>
    </row>
    <row r="167" spans="2:7" x14ac:dyDescent="0.3">
      <c r="B167" s="581">
        <v>158</v>
      </c>
      <c r="C167" s="876">
        <f t="shared" si="8"/>
        <v>2135.4892544088129</v>
      </c>
      <c r="D167" s="876">
        <f t="shared" si="9"/>
        <v>1019.9372011735118</v>
      </c>
      <c r="E167" s="876">
        <f t="shared" si="10"/>
        <v>1115.5520532353012</v>
      </c>
      <c r="G167" s="876">
        <f t="shared" si="11"/>
        <v>222531.75298331166</v>
      </c>
    </row>
    <row r="168" spans="2:7" x14ac:dyDescent="0.3">
      <c r="B168" s="581">
        <v>159</v>
      </c>
      <c r="C168" s="876">
        <f t="shared" si="8"/>
        <v>2135.4892544088129</v>
      </c>
      <c r="D168" s="876">
        <f t="shared" si="9"/>
        <v>1014.82425426285</v>
      </c>
      <c r="E168" s="876">
        <f t="shared" si="10"/>
        <v>1120.6650001459629</v>
      </c>
      <c r="G168" s="876">
        <f t="shared" si="11"/>
        <v>221416.20093007636</v>
      </c>
    </row>
    <row r="169" spans="2:7" x14ac:dyDescent="0.3">
      <c r="B169" s="581">
        <v>160</v>
      </c>
      <c r="C169" s="876">
        <f t="shared" si="8"/>
        <v>2135.4892544088129</v>
      </c>
      <c r="D169" s="876">
        <f t="shared" si="9"/>
        <v>1009.6878730121811</v>
      </c>
      <c r="E169" s="876">
        <f t="shared" si="10"/>
        <v>1125.8013813966318</v>
      </c>
      <c r="G169" s="876">
        <f t="shared" si="11"/>
        <v>220295.5359299304</v>
      </c>
    </row>
    <row r="170" spans="2:7" x14ac:dyDescent="0.3">
      <c r="B170" s="581">
        <v>161</v>
      </c>
      <c r="C170" s="876">
        <f t="shared" si="8"/>
        <v>2135.4892544088129</v>
      </c>
      <c r="D170" s="876">
        <f t="shared" si="9"/>
        <v>1004.5279500141131</v>
      </c>
      <c r="E170" s="876">
        <f t="shared" si="10"/>
        <v>1130.9613043946997</v>
      </c>
      <c r="G170" s="876">
        <f t="shared" si="11"/>
        <v>219169.73454853377</v>
      </c>
    </row>
    <row r="171" spans="2:7" x14ac:dyDescent="0.3">
      <c r="B171" s="581">
        <v>162</v>
      </c>
      <c r="C171" s="876">
        <f t="shared" si="8"/>
        <v>2135.4892544088129</v>
      </c>
      <c r="D171" s="876">
        <f t="shared" si="9"/>
        <v>999.34437736897064</v>
      </c>
      <c r="E171" s="876">
        <f t="shared" si="10"/>
        <v>1136.1448770398424</v>
      </c>
      <c r="G171" s="876">
        <f t="shared" si="11"/>
        <v>218038.77324413907</v>
      </c>
    </row>
    <row r="172" spans="2:7" x14ac:dyDescent="0.3">
      <c r="B172" s="581">
        <v>163</v>
      </c>
      <c r="C172" s="876">
        <f t="shared" si="8"/>
        <v>2135.4892544088129</v>
      </c>
      <c r="D172" s="876">
        <f t="shared" si="9"/>
        <v>994.13704668253797</v>
      </c>
      <c r="E172" s="876">
        <f t="shared" si="10"/>
        <v>1141.3522077262751</v>
      </c>
      <c r="G172" s="876">
        <f t="shared" si="11"/>
        <v>216902.62836709921</v>
      </c>
    </row>
    <row r="173" spans="2:7" x14ac:dyDescent="0.3">
      <c r="B173" s="581">
        <v>164</v>
      </c>
      <c r="C173" s="876">
        <f t="shared" si="8"/>
        <v>2135.4892544088129</v>
      </c>
      <c r="D173" s="876">
        <f t="shared" si="9"/>
        <v>988.90584906379263</v>
      </c>
      <c r="E173" s="876">
        <f t="shared" si="10"/>
        <v>1146.5834053450203</v>
      </c>
      <c r="G173" s="876">
        <f t="shared" si="11"/>
        <v>215761.27615937294</v>
      </c>
    </row>
    <row r="174" spans="2:7" x14ac:dyDescent="0.3">
      <c r="B174" s="581">
        <v>165</v>
      </c>
      <c r="C174" s="876">
        <f t="shared" si="8"/>
        <v>2135.4892544088129</v>
      </c>
      <c r="D174" s="876">
        <f t="shared" si="9"/>
        <v>983.65067512262794</v>
      </c>
      <c r="E174" s="876">
        <f t="shared" si="10"/>
        <v>1151.838579286185</v>
      </c>
      <c r="G174" s="876">
        <f t="shared" si="11"/>
        <v>214614.69275402793</v>
      </c>
    </row>
    <row r="175" spans="2:7" x14ac:dyDescent="0.3">
      <c r="B175" s="581">
        <v>166</v>
      </c>
      <c r="C175" s="876">
        <f t="shared" si="8"/>
        <v>2135.4892544088129</v>
      </c>
      <c r="D175" s="876">
        <f t="shared" si="9"/>
        <v>978.37141496756624</v>
      </c>
      <c r="E175" s="876">
        <f t="shared" si="10"/>
        <v>1157.1178394412468</v>
      </c>
      <c r="G175" s="876">
        <f t="shared" si="11"/>
        <v>213462.85417474175</v>
      </c>
    </row>
    <row r="176" spans="2:7" x14ac:dyDescent="0.3">
      <c r="B176" s="581">
        <v>167</v>
      </c>
      <c r="C176" s="876">
        <f t="shared" si="8"/>
        <v>2135.4892544088129</v>
      </c>
      <c r="D176" s="876">
        <f t="shared" si="9"/>
        <v>973.06795820346053</v>
      </c>
      <c r="E176" s="876">
        <f t="shared" si="10"/>
        <v>1162.4212962053525</v>
      </c>
      <c r="G176" s="876">
        <f t="shared" si="11"/>
        <v>212305.73633530049</v>
      </c>
    </row>
    <row r="177" spans="2:7" x14ac:dyDescent="0.3">
      <c r="B177" s="581">
        <v>168</v>
      </c>
      <c r="C177" s="876">
        <f t="shared" si="8"/>
        <v>2135.4892544088129</v>
      </c>
      <c r="D177" s="876">
        <f t="shared" si="9"/>
        <v>967.74019392918615</v>
      </c>
      <c r="E177" s="876">
        <f t="shared" si="10"/>
        <v>1167.7490604796267</v>
      </c>
      <c r="G177" s="876">
        <f t="shared" si="11"/>
        <v>211143.31503909515</v>
      </c>
    </row>
    <row r="178" spans="2:7" x14ac:dyDescent="0.3">
      <c r="B178" s="581">
        <v>169</v>
      </c>
      <c r="C178" s="876">
        <f t="shared" si="8"/>
        <v>2135.4892544088129</v>
      </c>
      <c r="D178" s="876">
        <f t="shared" si="9"/>
        <v>962.38801073532113</v>
      </c>
      <c r="E178" s="876">
        <f t="shared" si="10"/>
        <v>1173.1012436734918</v>
      </c>
      <c r="G178" s="876">
        <f t="shared" si="11"/>
        <v>209975.56597861552</v>
      </c>
    </row>
    <row r="179" spans="2:7" x14ac:dyDescent="0.3">
      <c r="B179" s="581">
        <v>170</v>
      </c>
      <c r="C179" s="876">
        <f t="shared" si="8"/>
        <v>2135.4892544088129</v>
      </c>
      <c r="D179" s="876">
        <f t="shared" si="9"/>
        <v>957.01129670181763</v>
      </c>
      <c r="E179" s="876">
        <f t="shared" si="10"/>
        <v>1178.4779577069953</v>
      </c>
      <c r="G179" s="876">
        <f t="shared" si="11"/>
        <v>208802.46473494201</v>
      </c>
    </row>
    <row r="180" spans="2:7" x14ac:dyDescent="0.3">
      <c r="B180" s="581">
        <v>171</v>
      </c>
      <c r="C180" s="876">
        <f t="shared" si="8"/>
        <v>2135.4892544088129</v>
      </c>
      <c r="D180" s="876">
        <f t="shared" si="9"/>
        <v>951.6099393956606</v>
      </c>
      <c r="E180" s="876">
        <f t="shared" si="10"/>
        <v>1183.8793150131523</v>
      </c>
      <c r="G180" s="876">
        <f t="shared" si="11"/>
        <v>207623.98677723503</v>
      </c>
    </row>
    <row r="181" spans="2:7" x14ac:dyDescent="0.3">
      <c r="B181" s="581">
        <v>172</v>
      </c>
      <c r="C181" s="876">
        <f t="shared" si="8"/>
        <v>2135.4892544088129</v>
      </c>
      <c r="D181" s="876">
        <f t="shared" si="9"/>
        <v>946.18382586851692</v>
      </c>
      <c r="E181" s="876">
        <f t="shared" si="10"/>
        <v>1189.3054285402959</v>
      </c>
      <c r="G181" s="876">
        <f t="shared" si="11"/>
        <v>206440.10746222187</v>
      </c>
    </row>
    <row r="182" spans="2:7" x14ac:dyDescent="0.3">
      <c r="B182" s="581">
        <v>173</v>
      </c>
      <c r="C182" s="876">
        <f t="shared" si="8"/>
        <v>2135.4892544088129</v>
      </c>
      <c r="D182" s="876">
        <f t="shared" si="9"/>
        <v>940.73284265437394</v>
      </c>
      <c r="E182" s="876">
        <f t="shared" si="10"/>
        <v>1194.7564117544389</v>
      </c>
      <c r="G182" s="876">
        <f t="shared" si="11"/>
        <v>205250.80203368157</v>
      </c>
    </row>
    <row r="183" spans="2:7" x14ac:dyDescent="0.3">
      <c r="B183" s="581">
        <v>174</v>
      </c>
      <c r="C183" s="876">
        <f t="shared" si="8"/>
        <v>2135.4892544088129</v>
      </c>
      <c r="D183" s="876">
        <f t="shared" si="9"/>
        <v>935.25687576716598</v>
      </c>
      <c r="E183" s="876">
        <f t="shared" si="10"/>
        <v>1200.2323786416468</v>
      </c>
      <c r="G183" s="876">
        <f t="shared" si="11"/>
        <v>204056.04562192713</v>
      </c>
    </row>
    <row r="184" spans="2:7" x14ac:dyDescent="0.3">
      <c r="B184" s="581">
        <v>175</v>
      </c>
      <c r="C184" s="876">
        <f t="shared" si="8"/>
        <v>2135.4892544088129</v>
      </c>
      <c r="D184" s="876">
        <f t="shared" si="9"/>
        <v>929.75581069839188</v>
      </c>
      <c r="E184" s="876">
        <f t="shared" si="10"/>
        <v>1205.7334437104209</v>
      </c>
      <c r="G184" s="876">
        <f t="shared" si="11"/>
        <v>202855.81324328549</v>
      </c>
    </row>
    <row r="185" spans="2:7" x14ac:dyDescent="0.3">
      <c r="B185" s="581">
        <v>176</v>
      </c>
      <c r="C185" s="876">
        <f t="shared" si="8"/>
        <v>2135.4892544088129</v>
      </c>
      <c r="D185" s="876">
        <f t="shared" si="9"/>
        <v>924.22953241471907</v>
      </c>
      <c r="E185" s="876">
        <f t="shared" si="10"/>
        <v>1211.259721994094</v>
      </c>
      <c r="G185" s="876">
        <f t="shared" si="11"/>
        <v>201650.07979957506</v>
      </c>
    </row>
    <row r="186" spans="2:7" x14ac:dyDescent="0.3">
      <c r="B186" s="581">
        <v>177</v>
      </c>
      <c r="C186" s="876">
        <f t="shared" si="8"/>
        <v>2135.4892544088129</v>
      </c>
      <c r="D186" s="876">
        <f t="shared" si="9"/>
        <v>918.67792535557953</v>
      </c>
      <c r="E186" s="876">
        <f t="shared" si="10"/>
        <v>1216.8113290532333</v>
      </c>
      <c r="G186" s="876">
        <f t="shared" si="11"/>
        <v>200438.82007758098</v>
      </c>
    </row>
    <row r="187" spans="2:7" x14ac:dyDescent="0.3">
      <c r="B187" s="581">
        <v>178</v>
      </c>
      <c r="C187" s="876">
        <f t="shared" si="8"/>
        <v>2135.4892544088129</v>
      </c>
      <c r="D187" s="876">
        <f t="shared" si="9"/>
        <v>913.10087343075236</v>
      </c>
      <c r="E187" s="876">
        <f t="shared" si="10"/>
        <v>1222.3883809780605</v>
      </c>
      <c r="G187" s="876">
        <f t="shared" si="11"/>
        <v>199222.00874852776</v>
      </c>
    </row>
    <row r="188" spans="2:7" x14ac:dyDescent="0.3">
      <c r="B188" s="581">
        <v>179</v>
      </c>
      <c r="C188" s="876">
        <f t="shared" si="8"/>
        <v>2135.4892544088129</v>
      </c>
      <c r="D188" s="876">
        <f t="shared" si="9"/>
        <v>907.4982600179361</v>
      </c>
      <c r="E188" s="876">
        <f t="shared" si="10"/>
        <v>1227.9909943908769</v>
      </c>
      <c r="G188" s="876">
        <f t="shared" si="11"/>
        <v>197999.62036754971</v>
      </c>
    </row>
    <row r="189" spans="2:7" x14ac:dyDescent="0.3">
      <c r="B189" s="581">
        <v>180</v>
      </c>
      <c r="C189" s="876">
        <f t="shared" si="8"/>
        <v>2135.4892544088129</v>
      </c>
      <c r="D189" s="876">
        <f t="shared" si="9"/>
        <v>901.86996796031133</v>
      </c>
      <c r="E189" s="876">
        <f t="shared" si="10"/>
        <v>1233.6192864485015</v>
      </c>
      <c r="G189" s="876">
        <f t="shared" si="11"/>
        <v>196771.62937315882</v>
      </c>
    </row>
    <row r="190" spans="2:7" x14ac:dyDescent="0.3">
      <c r="B190" s="581">
        <v>181</v>
      </c>
      <c r="C190" s="876">
        <f t="shared" si="8"/>
        <v>2135.4892544088129</v>
      </c>
      <c r="D190" s="876">
        <f t="shared" si="9"/>
        <v>896.21587956408905</v>
      </c>
      <c r="E190" s="876">
        <f t="shared" si="10"/>
        <v>1239.273374844724</v>
      </c>
      <c r="G190" s="876">
        <f t="shared" si="11"/>
        <v>195538.01008671033</v>
      </c>
    </row>
    <row r="191" spans="2:7" x14ac:dyDescent="0.3">
      <c r="B191" s="581">
        <v>182</v>
      </c>
      <c r="C191" s="876">
        <f t="shared" si="8"/>
        <v>2135.4892544088129</v>
      </c>
      <c r="D191" s="876">
        <f t="shared" si="9"/>
        <v>890.5358765960508</v>
      </c>
      <c r="E191" s="876">
        <f t="shared" si="10"/>
        <v>1244.953377812762</v>
      </c>
      <c r="G191" s="876">
        <f t="shared" si="11"/>
        <v>194298.73671186561</v>
      </c>
    </row>
    <row r="192" spans="2:7" x14ac:dyDescent="0.3">
      <c r="B192" s="581">
        <v>183</v>
      </c>
      <c r="C192" s="876">
        <f t="shared" si="8"/>
        <v>2135.4892544088129</v>
      </c>
      <c r="D192" s="876">
        <f t="shared" si="9"/>
        <v>884.82984028107558</v>
      </c>
      <c r="E192" s="876">
        <f t="shared" si="10"/>
        <v>1250.6594141277374</v>
      </c>
      <c r="G192" s="876">
        <f t="shared" si="11"/>
        <v>193053.78333405286</v>
      </c>
    </row>
    <row r="193" spans="2:7" x14ac:dyDescent="0.3">
      <c r="B193" s="581">
        <v>184</v>
      </c>
      <c r="C193" s="876">
        <f t="shared" si="8"/>
        <v>2135.4892544088129</v>
      </c>
      <c r="D193" s="876">
        <f t="shared" si="9"/>
        <v>879.09765129965683</v>
      </c>
      <c r="E193" s="876">
        <f t="shared" si="10"/>
        <v>1256.3916031091562</v>
      </c>
      <c r="G193" s="876">
        <f t="shared" si="11"/>
        <v>191803.12391992513</v>
      </c>
    </row>
    <row r="194" spans="2:7" x14ac:dyDescent="0.3">
      <c r="B194" s="581">
        <v>185</v>
      </c>
      <c r="C194" s="876">
        <f t="shared" si="8"/>
        <v>2135.4892544088129</v>
      </c>
      <c r="D194" s="876">
        <f t="shared" si="9"/>
        <v>873.33918978540657</v>
      </c>
      <c r="E194" s="876">
        <f t="shared" si="10"/>
        <v>1262.1500646234063</v>
      </c>
      <c r="G194" s="876">
        <f t="shared" si="11"/>
        <v>190546.73231681596</v>
      </c>
    </row>
    <row r="195" spans="2:7" x14ac:dyDescent="0.3">
      <c r="B195" s="581">
        <v>186</v>
      </c>
      <c r="C195" s="876">
        <f t="shared" si="8"/>
        <v>2135.4892544088129</v>
      </c>
      <c r="D195" s="876">
        <f t="shared" si="9"/>
        <v>867.55433532254926</v>
      </c>
      <c r="E195" s="876">
        <f t="shared" si="10"/>
        <v>1267.9349190862636</v>
      </c>
      <c r="G195" s="876">
        <f t="shared" si="11"/>
        <v>189284.58225219254</v>
      </c>
    </row>
    <row r="196" spans="2:7" x14ac:dyDescent="0.3">
      <c r="B196" s="581">
        <v>187</v>
      </c>
      <c r="C196" s="876">
        <f t="shared" si="8"/>
        <v>2135.4892544088129</v>
      </c>
      <c r="D196" s="876">
        <f t="shared" si="9"/>
        <v>861.74296694340376</v>
      </c>
      <c r="E196" s="876">
        <f t="shared" si="10"/>
        <v>1273.7462874654093</v>
      </c>
      <c r="G196" s="876">
        <f t="shared" si="11"/>
        <v>188016.64733310629</v>
      </c>
    </row>
    <row r="197" spans="2:7" x14ac:dyDescent="0.3">
      <c r="B197" s="581">
        <v>188</v>
      </c>
      <c r="C197" s="876">
        <f t="shared" si="8"/>
        <v>2135.4892544088129</v>
      </c>
      <c r="D197" s="876">
        <f t="shared" si="9"/>
        <v>855.90496312585401</v>
      </c>
      <c r="E197" s="876">
        <f t="shared" si="10"/>
        <v>1279.5842912829589</v>
      </c>
      <c r="G197" s="876">
        <f t="shared" si="11"/>
        <v>186742.90104564087</v>
      </c>
    </row>
    <row r="198" spans="2:7" x14ac:dyDescent="0.3">
      <c r="B198" s="581">
        <v>189</v>
      </c>
      <c r="C198" s="876">
        <f t="shared" si="8"/>
        <v>2135.4892544088129</v>
      </c>
      <c r="D198" s="876">
        <f t="shared" si="9"/>
        <v>850.04020179080715</v>
      </c>
      <c r="E198" s="876">
        <f t="shared" si="10"/>
        <v>1285.4490526180057</v>
      </c>
      <c r="G198" s="876">
        <f t="shared" si="11"/>
        <v>185463.31675435792</v>
      </c>
    </row>
    <row r="199" spans="2:7" x14ac:dyDescent="0.3">
      <c r="B199" s="581">
        <v>190</v>
      </c>
      <c r="C199" s="876">
        <f t="shared" si="8"/>
        <v>2135.4892544088129</v>
      </c>
      <c r="D199" s="876">
        <f t="shared" si="9"/>
        <v>844.1485602996413</v>
      </c>
      <c r="E199" s="876">
        <f t="shared" si="10"/>
        <v>1291.3406941091716</v>
      </c>
      <c r="G199" s="876">
        <f t="shared" si="11"/>
        <v>184177.86770173992</v>
      </c>
    </row>
    <row r="200" spans="2:7" x14ac:dyDescent="0.3">
      <c r="B200" s="581">
        <v>191</v>
      </c>
      <c r="C200" s="876">
        <f t="shared" si="8"/>
        <v>2135.4892544088129</v>
      </c>
      <c r="D200" s="876">
        <f t="shared" si="9"/>
        <v>838.22991545164086</v>
      </c>
      <c r="E200" s="876">
        <f t="shared" si="10"/>
        <v>1297.2593389571721</v>
      </c>
      <c r="G200" s="876">
        <f t="shared" si="11"/>
        <v>182886.52700763074</v>
      </c>
    </row>
    <row r="201" spans="2:7" x14ac:dyDescent="0.3">
      <c r="B201" s="581">
        <v>192</v>
      </c>
      <c r="C201" s="876">
        <f t="shared" si="8"/>
        <v>2135.4892544088129</v>
      </c>
      <c r="D201" s="876">
        <f t="shared" si="9"/>
        <v>832.28414348142053</v>
      </c>
      <c r="E201" s="876">
        <f t="shared" si="10"/>
        <v>1303.2051109273925</v>
      </c>
      <c r="G201" s="876">
        <f t="shared" si="11"/>
        <v>181589.26766867356</v>
      </c>
    </row>
    <row r="202" spans="2:7" x14ac:dyDescent="0.3">
      <c r="B202" s="581">
        <v>193</v>
      </c>
      <c r="C202" s="876">
        <f t="shared" ref="C202:C265" si="12">IF($C$3&lt;G202+(G202*($C$4/$C$6)),$C$3,G202+(G202*($C$4/$C$6)))</f>
        <v>2135.4892544088129</v>
      </c>
      <c r="D202" s="876">
        <f t="shared" ref="D202:D265" si="13">G202*$C$4/$C$6</f>
        <v>826.31112005633656</v>
      </c>
      <c r="E202" s="876">
        <f t="shared" ref="E202:E265" si="14">C202-D202</f>
        <v>1309.1781343524763</v>
      </c>
      <c r="G202" s="876">
        <f t="shared" si="11"/>
        <v>180286.06255774616</v>
      </c>
    </row>
    <row r="203" spans="2:7" x14ac:dyDescent="0.3">
      <c r="B203" s="581">
        <v>194</v>
      </c>
      <c r="C203" s="876">
        <f t="shared" si="12"/>
        <v>2135.4892544088129</v>
      </c>
      <c r="D203" s="876">
        <f t="shared" si="13"/>
        <v>820.3107202738878</v>
      </c>
      <c r="E203" s="876">
        <f t="shared" si="14"/>
        <v>1315.178534134925</v>
      </c>
      <c r="G203" s="876">
        <f t="shared" ref="G203:G266" si="15">G202-E202-F202</f>
        <v>178976.8844233937</v>
      </c>
    </row>
    <row r="204" spans="2:7" x14ac:dyDescent="0.3">
      <c r="B204" s="581">
        <v>195</v>
      </c>
      <c r="C204" s="876">
        <f t="shared" si="12"/>
        <v>2135.4892544088129</v>
      </c>
      <c r="D204" s="876">
        <f t="shared" si="13"/>
        <v>814.28281865910276</v>
      </c>
      <c r="E204" s="876">
        <f t="shared" si="14"/>
        <v>1321.2064357497102</v>
      </c>
      <c r="G204" s="876">
        <f t="shared" si="15"/>
        <v>177661.70588925877</v>
      </c>
    </row>
    <row r="205" spans="2:7" x14ac:dyDescent="0.3">
      <c r="B205" s="581">
        <v>196</v>
      </c>
      <c r="C205" s="876">
        <f t="shared" si="12"/>
        <v>2135.4892544088129</v>
      </c>
      <c r="D205" s="876">
        <f t="shared" si="13"/>
        <v>808.22728916191647</v>
      </c>
      <c r="E205" s="876">
        <f t="shared" si="14"/>
        <v>1327.2619652468966</v>
      </c>
      <c r="G205" s="876">
        <f t="shared" si="15"/>
        <v>176340.49945350905</v>
      </c>
    </row>
    <row r="206" spans="2:7" x14ac:dyDescent="0.3">
      <c r="B206" s="581">
        <v>197</v>
      </c>
      <c r="C206" s="876">
        <f t="shared" si="12"/>
        <v>2135.4892544088129</v>
      </c>
      <c r="D206" s="876">
        <f t="shared" si="13"/>
        <v>802.14400515453497</v>
      </c>
      <c r="E206" s="876">
        <f t="shared" si="14"/>
        <v>1333.3452492542779</v>
      </c>
      <c r="G206" s="876">
        <f t="shared" si="15"/>
        <v>175013.23748826215</v>
      </c>
    </row>
    <row r="207" spans="2:7" x14ac:dyDescent="0.3">
      <c r="B207" s="581">
        <v>198</v>
      </c>
      <c r="C207" s="876">
        <f t="shared" si="12"/>
        <v>2135.4892544088129</v>
      </c>
      <c r="D207" s="876">
        <f t="shared" si="13"/>
        <v>796.03283942878613</v>
      </c>
      <c r="E207" s="876">
        <f t="shared" si="14"/>
        <v>1339.4564149800267</v>
      </c>
      <c r="G207" s="876">
        <f t="shared" si="15"/>
        <v>173679.89223900787</v>
      </c>
    </row>
    <row r="208" spans="2:7" x14ac:dyDescent="0.3">
      <c r="B208" s="581">
        <v>199</v>
      </c>
      <c r="C208" s="876">
        <f t="shared" si="12"/>
        <v>2135.4892544088129</v>
      </c>
      <c r="D208" s="876">
        <f t="shared" si="13"/>
        <v>789.89366419346095</v>
      </c>
      <c r="E208" s="876">
        <f t="shared" si="14"/>
        <v>1345.5955902153519</v>
      </c>
      <c r="G208" s="876">
        <f t="shared" si="15"/>
        <v>172340.43582402784</v>
      </c>
    </row>
    <row r="209" spans="2:7" x14ac:dyDescent="0.3">
      <c r="B209" s="581">
        <v>200</v>
      </c>
      <c r="C209" s="876">
        <f t="shared" si="12"/>
        <v>2135.4892544088129</v>
      </c>
      <c r="D209" s="876">
        <f t="shared" si="13"/>
        <v>783.72635107164058</v>
      </c>
      <c r="E209" s="876">
        <f t="shared" si="14"/>
        <v>1351.7629033371722</v>
      </c>
      <c r="G209" s="876">
        <f t="shared" si="15"/>
        <v>170994.84023381249</v>
      </c>
    </row>
    <row r="210" spans="2:7" x14ac:dyDescent="0.3">
      <c r="B210" s="581">
        <v>201</v>
      </c>
      <c r="C210" s="876">
        <f t="shared" si="12"/>
        <v>2135.4892544088129</v>
      </c>
      <c r="D210" s="876">
        <f t="shared" si="13"/>
        <v>777.53077109801188</v>
      </c>
      <c r="E210" s="876">
        <f t="shared" si="14"/>
        <v>1357.9584833108011</v>
      </c>
      <c r="G210" s="876">
        <f t="shared" si="15"/>
        <v>169643.07733047532</v>
      </c>
    </row>
    <row r="211" spans="2:7" x14ac:dyDescent="0.3">
      <c r="B211" s="581">
        <v>202</v>
      </c>
      <c r="C211" s="876">
        <f t="shared" si="12"/>
        <v>2135.4892544088129</v>
      </c>
      <c r="D211" s="876">
        <f t="shared" si="13"/>
        <v>771.30679471617077</v>
      </c>
      <c r="E211" s="876">
        <f t="shared" si="14"/>
        <v>1364.1824596926422</v>
      </c>
      <c r="G211" s="876">
        <f t="shared" si="15"/>
        <v>168285.11884716453</v>
      </c>
    </row>
    <row r="212" spans="2:7" x14ac:dyDescent="0.3">
      <c r="B212" s="581">
        <v>203</v>
      </c>
      <c r="C212" s="876">
        <f t="shared" si="12"/>
        <v>2135.4892544088129</v>
      </c>
      <c r="D212" s="876">
        <f t="shared" si="13"/>
        <v>765.0542917759127</v>
      </c>
      <c r="E212" s="876">
        <f t="shared" si="14"/>
        <v>1370.4349626329004</v>
      </c>
      <c r="G212" s="876">
        <f t="shared" si="15"/>
        <v>166920.93638747188</v>
      </c>
    </row>
    <row r="213" spans="2:7" x14ac:dyDescent="0.3">
      <c r="B213" s="581">
        <v>204</v>
      </c>
      <c r="C213" s="876">
        <f t="shared" si="12"/>
        <v>2135.4892544088129</v>
      </c>
      <c r="D213" s="876">
        <f t="shared" si="13"/>
        <v>758.77313153051216</v>
      </c>
      <c r="E213" s="876">
        <f t="shared" si="14"/>
        <v>1376.7161228783007</v>
      </c>
      <c r="G213" s="876">
        <f t="shared" si="15"/>
        <v>165550.50142483899</v>
      </c>
    </row>
    <row r="214" spans="2:7" x14ac:dyDescent="0.3">
      <c r="B214" s="581">
        <v>205</v>
      </c>
      <c r="C214" s="876">
        <f t="shared" si="12"/>
        <v>2135.4892544088129</v>
      </c>
      <c r="D214" s="876">
        <f t="shared" si="13"/>
        <v>752.46318263398643</v>
      </c>
      <c r="E214" s="876">
        <f t="shared" si="14"/>
        <v>1383.0260717748265</v>
      </c>
      <c r="G214" s="876">
        <f t="shared" si="15"/>
        <v>164173.78530196068</v>
      </c>
    </row>
    <row r="215" spans="2:7" x14ac:dyDescent="0.3">
      <c r="B215" s="581">
        <v>206</v>
      </c>
      <c r="C215" s="876">
        <f t="shared" si="12"/>
        <v>2135.4892544088129</v>
      </c>
      <c r="D215" s="876">
        <f t="shared" si="13"/>
        <v>746.12431313835179</v>
      </c>
      <c r="E215" s="876">
        <f t="shared" si="14"/>
        <v>1389.3649412704613</v>
      </c>
      <c r="G215" s="876">
        <f t="shared" si="15"/>
        <v>162790.75923018585</v>
      </c>
    </row>
    <row r="216" spans="2:7" x14ac:dyDescent="0.3">
      <c r="B216" s="581">
        <v>207</v>
      </c>
      <c r="C216" s="876">
        <f t="shared" si="12"/>
        <v>2135.4892544088129</v>
      </c>
      <c r="D216" s="876">
        <f t="shared" si="13"/>
        <v>739.75639049086215</v>
      </c>
      <c r="E216" s="876">
        <f t="shared" si="14"/>
        <v>1395.7328639179509</v>
      </c>
      <c r="G216" s="876">
        <f t="shared" si="15"/>
        <v>161401.39428891538</v>
      </c>
    </row>
    <row r="217" spans="2:7" x14ac:dyDescent="0.3">
      <c r="B217" s="581">
        <v>208</v>
      </c>
      <c r="C217" s="876">
        <f t="shared" si="12"/>
        <v>2135.4892544088129</v>
      </c>
      <c r="D217" s="876">
        <f t="shared" si="13"/>
        <v>733.35928153123825</v>
      </c>
      <c r="E217" s="876">
        <f t="shared" si="14"/>
        <v>1402.1299728775748</v>
      </c>
      <c r="G217" s="876">
        <f t="shared" si="15"/>
        <v>160005.66142499744</v>
      </c>
    </row>
    <row r="218" spans="2:7" x14ac:dyDescent="0.3">
      <c r="B218" s="581">
        <v>209</v>
      </c>
      <c r="C218" s="876">
        <f t="shared" si="12"/>
        <v>2135.4892544088129</v>
      </c>
      <c r="D218" s="876">
        <f t="shared" si="13"/>
        <v>726.93285248888276</v>
      </c>
      <c r="E218" s="876">
        <f t="shared" si="14"/>
        <v>1408.5564019199301</v>
      </c>
      <c r="G218" s="876">
        <f t="shared" si="15"/>
        <v>158603.53145211987</v>
      </c>
    </row>
    <row r="219" spans="2:7" x14ac:dyDescent="0.3">
      <c r="B219" s="581">
        <v>210</v>
      </c>
      <c r="C219" s="876">
        <f t="shared" si="12"/>
        <v>2135.4892544088129</v>
      </c>
      <c r="D219" s="876">
        <f t="shared" si="13"/>
        <v>720.47696898008314</v>
      </c>
      <c r="E219" s="876">
        <f t="shared" si="14"/>
        <v>1415.0122854287297</v>
      </c>
      <c r="G219" s="876">
        <f t="shared" si="15"/>
        <v>157194.97505019995</v>
      </c>
    </row>
    <row r="220" spans="2:7" x14ac:dyDescent="0.3">
      <c r="B220" s="581">
        <v>211</v>
      </c>
      <c r="C220" s="876">
        <f t="shared" si="12"/>
        <v>2135.4892544088129</v>
      </c>
      <c r="D220" s="876">
        <f t="shared" si="13"/>
        <v>713.9914960052015</v>
      </c>
      <c r="E220" s="876">
        <f t="shared" si="14"/>
        <v>1421.4977584036114</v>
      </c>
      <c r="G220" s="876">
        <f t="shared" si="15"/>
        <v>155779.96276477122</v>
      </c>
    </row>
    <row r="221" spans="2:7" x14ac:dyDescent="0.3">
      <c r="B221" s="581">
        <v>212</v>
      </c>
      <c r="C221" s="876">
        <f t="shared" si="12"/>
        <v>2135.4892544088129</v>
      </c>
      <c r="D221" s="876">
        <f t="shared" si="13"/>
        <v>707.47629794585146</v>
      </c>
      <c r="E221" s="876">
        <f t="shared" si="14"/>
        <v>1428.0129564629615</v>
      </c>
      <c r="G221" s="876">
        <f t="shared" si="15"/>
        <v>154358.46500636759</v>
      </c>
    </row>
    <row r="222" spans="2:7" x14ac:dyDescent="0.3">
      <c r="B222" s="581">
        <v>213</v>
      </c>
      <c r="C222" s="876">
        <f t="shared" si="12"/>
        <v>2135.4892544088129</v>
      </c>
      <c r="D222" s="876">
        <f t="shared" si="13"/>
        <v>700.93123856206284</v>
      </c>
      <c r="E222" s="876">
        <f t="shared" si="14"/>
        <v>1434.5580158467501</v>
      </c>
      <c r="G222" s="876">
        <f t="shared" si="15"/>
        <v>152930.45204990462</v>
      </c>
    </row>
    <row r="223" spans="2:7" x14ac:dyDescent="0.3">
      <c r="B223" s="581">
        <v>214</v>
      </c>
      <c r="C223" s="876">
        <f t="shared" si="12"/>
        <v>2135.4892544088129</v>
      </c>
      <c r="D223" s="876">
        <f t="shared" si="13"/>
        <v>694.35618098943178</v>
      </c>
      <c r="E223" s="876">
        <f t="shared" si="14"/>
        <v>1441.1330734193812</v>
      </c>
      <c r="G223" s="876">
        <f t="shared" si="15"/>
        <v>151495.89403405786</v>
      </c>
    </row>
    <row r="224" spans="2:7" x14ac:dyDescent="0.3">
      <c r="B224" s="581">
        <v>215</v>
      </c>
      <c r="C224" s="876">
        <f t="shared" si="12"/>
        <v>2135.4892544088129</v>
      </c>
      <c r="D224" s="876">
        <f t="shared" si="13"/>
        <v>687.75098773625962</v>
      </c>
      <c r="E224" s="876">
        <f t="shared" si="14"/>
        <v>1447.7382666725534</v>
      </c>
      <c r="G224" s="876">
        <f t="shared" si="15"/>
        <v>150054.76096063846</v>
      </c>
    </row>
    <row r="225" spans="2:7" x14ac:dyDescent="0.3">
      <c r="B225" s="581">
        <v>216</v>
      </c>
      <c r="C225" s="876">
        <f t="shared" si="12"/>
        <v>2135.4892544088129</v>
      </c>
      <c r="D225" s="876">
        <f t="shared" si="13"/>
        <v>681.11552068067704</v>
      </c>
      <c r="E225" s="876">
        <f t="shared" si="14"/>
        <v>1454.3737337281359</v>
      </c>
      <c r="G225" s="876">
        <f t="shared" si="15"/>
        <v>148607.0226939659</v>
      </c>
    </row>
    <row r="226" spans="2:7" x14ac:dyDescent="0.3">
      <c r="B226" s="581">
        <v>217</v>
      </c>
      <c r="C226" s="876">
        <f t="shared" si="12"/>
        <v>2135.4892544088129</v>
      </c>
      <c r="D226" s="876">
        <f t="shared" si="13"/>
        <v>674.44964106775649</v>
      </c>
      <c r="E226" s="876">
        <f t="shared" si="14"/>
        <v>1461.0396133410563</v>
      </c>
      <c r="G226" s="876">
        <f t="shared" si="15"/>
        <v>147152.64896023777</v>
      </c>
    </row>
    <row r="227" spans="2:7" x14ac:dyDescent="0.3">
      <c r="B227" s="581">
        <v>218</v>
      </c>
      <c r="C227" s="876">
        <f t="shared" si="12"/>
        <v>2135.4892544088129</v>
      </c>
      <c r="D227" s="876">
        <f t="shared" si="13"/>
        <v>667.75320950660989</v>
      </c>
      <c r="E227" s="876">
        <f t="shared" si="14"/>
        <v>1467.736044902203</v>
      </c>
      <c r="G227" s="876">
        <f t="shared" si="15"/>
        <v>145691.6093468967</v>
      </c>
    </row>
    <row r="228" spans="2:7" x14ac:dyDescent="0.3">
      <c r="B228" s="581">
        <v>219</v>
      </c>
      <c r="C228" s="876">
        <f t="shared" si="12"/>
        <v>2135.4892544088129</v>
      </c>
      <c r="D228" s="876">
        <f t="shared" si="13"/>
        <v>661.02608596747473</v>
      </c>
      <c r="E228" s="876">
        <f t="shared" si="14"/>
        <v>1474.4631684413382</v>
      </c>
      <c r="G228" s="876">
        <f t="shared" si="15"/>
        <v>144223.87330199449</v>
      </c>
    </row>
    <row r="229" spans="2:7" x14ac:dyDescent="0.3">
      <c r="B229" s="581">
        <v>220</v>
      </c>
      <c r="C229" s="876">
        <f t="shared" si="12"/>
        <v>2135.4892544088129</v>
      </c>
      <c r="D229" s="876">
        <f t="shared" si="13"/>
        <v>654.26812977878524</v>
      </c>
      <c r="E229" s="876">
        <f t="shared" si="14"/>
        <v>1481.2211246300276</v>
      </c>
      <c r="G229" s="876">
        <f t="shared" si="15"/>
        <v>142749.41013355314</v>
      </c>
    </row>
    <row r="230" spans="2:7" x14ac:dyDescent="0.3">
      <c r="B230" s="581">
        <v>221</v>
      </c>
      <c r="C230" s="876">
        <f t="shared" si="12"/>
        <v>2135.4892544088129</v>
      </c>
      <c r="D230" s="876">
        <f t="shared" si="13"/>
        <v>647.479199624231</v>
      </c>
      <c r="E230" s="876">
        <f t="shared" si="14"/>
        <v>1488.0100547845818</v>
      </c>
      <c r="G230" s="876">
        <f t="shared" si="15"/>
        <v>141268.18900892313</v>
      </c>
    </row>
    <row r="231" spans="2:7" x14ac:dyDescent="0.3">
      <c r="B231" s="581">
        <v>222</v>
      </c>
      <c r="C231" s="876">
        <f t="shared" si="12"/>
        <v>2135.4892544088129</v>
      </c>
      <c r="D231" s="876">
        <f t="shared" si="13"/>
        <v>640.65915353980165</v>
      </c>
      <c r="E231" s="876">
        <f t="shared" si="14"/>
        <v>1494.8301008690114</v>
      </c>
      <c r="G231" s="876">
        <f t="shared" si="15"/>
        <v>139780.17895413854</v>
      </c>
    </row>
    <row r="232" spans="2:7" x14ac:dyDescent="0.3">
      <c r="B232" s="581">
        <v>223</v>
      </c>
      <c r="C232" s="876">
        <f t="shared" si="12"/>
        <v>2135.4892544088129</v>
      </c>
      <c r="D232" s="876">
        <f t="shared" si="13"/>
        <v>633.80784891081873</v>
      </c>
      <c r="E232" s="876">
        <f t="shared" si="14"/>
        <v>1501.6814054979941</v>
      </c>
      <c r="G232" s="876">
        <f t="shared" si="15"/>
        <v>138285.34885326953</v>
      </c>
    </row>
    <row r="233" spans="2:7" x14ac:dyDescent="0.3">
      <c r="B233" s="581">
        <v>224</v>
      </c>
      <c r="C233" s="876">
        <f t="shared" si="12"/>
        <v>2135.4892544088129</v>
      </c>
      <c r="D233" s="876">
        <f t="shared" si="13"/>
        <v>626.92514246895291</v>
      </c>
      <c r="E233" s="876">
        <f t="shared" si="14"/>
        <v>1508.5641119398601</v>
      </c>
      <c r="G233" s="876">
        <f t="shared" si="15"/>
        <v>136783.66744777153</v>
      </c>
    </row>
    <row r="234" spans="2:7" x14ac:dyDescent="0.3">
      <c r="B234" s="581">
        <v>225</v>
      </c>
      <c r="C234" s="876">
        <f t="shared" si="12"/>
        <v>2135.4892544088129</v>
      </c>
      <c r="D234" s="876">
        <f t="shared" si="13"/>
        <v>620.01089028922843</v>
      </c>
      <c r="E234" s="876">
        <f t="shared" si="14"/>
        <v>1515.4783641195845</v>
      </c>
      <c r="G234" s="876">
        <f t="shared" si="15"/>
        <v>135275.10333583166</v>
      </c>
    </row>
    <row r="235" spans="2:7" x14ac:dyDescent="0.3">
      <c r="B235" s="581">
        <v>226</v>
      </c>
      <c r="C235" s="876">
        <f t="shared" si="12"/>
        <v>2135.4892544088129</v>
      </c>
      <c r="D235" s="876">
        <f t="shared" si="13"/>
        <v>613.06494778701369</v>
      </c>
      <c r="E235" s="876">
        <f t="shared" si="14"/>
        <v>1522.4243066217991</v>
      </c>
      <c r="G235" s="876">
        <f t="shared" si="15"/>
        <v>133759.62497171207</v>
      </c>
    </row>
    <row r="236" spans="2:7" x14ac:dyDescent="0.3">
      <c r="B236" s="581">
        <v>227</v>
      </c>
      <c r="C236" s="876">
        <f t="shared" si="12"/>
        <v>2135.4892544088129</v>
      </c>
      <c r="D236" s="876">
        <f t="shared" si="13"/>
        <v>606.087169714997</v>
      </c>
      <c r="E236" s="876">
        <f t="shared" si="14"/>
        <v>1529.4020846938161</v>
      </c>
      <c r="G236" s="876">
        <f t="shared" si="15"/>
        <v>132237.20066509026</v>
      </c>
    </row>
    <row r="237" spans="2:7" x14ac:dyDescent="0.3">
      <c r="B237" s="581">
        <v>228</v>
      </c>
      <c r="C237" s="876">
        <f t="shared" si="12"/>
        <v>2135.4892544088129</v>
      </c>
      <c r="D237" s="876">
        <f t="shared" si="13"/>
        <v>599.07741016015041</v>
      </c>
      <c r="E237" s="876">
        <f t="shared" si="14"/>
        <v>1536.4118442486624</v>
      </c>
      <c r="G237" s="876">
        <f t="shared" si="15"/>
        <v>130707.79858039644</v>
      </c>
    </row>
    <row r="238" spans="2:7" x14ac:dyDescent="0.3">
      <c r="B238" s="581">
        <v>229</v>
      </c>
      <c r="C238" s="876">
        <f t="shared" si="12"/>
        <v>2135.4892544088129</v>
      </c>
      <c r="D238" s="876">
        <f t="shared" si="13"/>
        <v>592.03552254067733</v>
      </c>
      <c r="E238" s="876">
        <f t="shared" si="14"/>
        <v>1543.4537318681355</v>
      </c>
      <c r="G238" s="876">
        <f t="shared" si="15"/>
        <v>129171.38673614778</v>
      </c>
    </row>
    <row r="239" spans="2:7" x14ac:dyDescent="0.3">
      <c r="B239" s="581">
        <v>230</v>
      </c>
      <c r="C239" s="876">
        <f t="shared" si="12"/>
        <v>2135.4892544088129</v>
      </c>
      <c r="D239" s="876">
        <f t="shared" si="13"/>
        <v>584.96135960294839</v>
      </c>
      <c r="E239" s="876">
        <f t="shared" si="14"/>
        <v>1550.5278948058644</v>
      </c>
      <c r="G239" s="876">
        <f t="shared" si="15"/>
        <v>127627.93300427964</v>
      </c>
    </row>
    <row r="240" spans="2:7" x14ac:dyDescent="0.3">
      <c r="B240" s="581">
        <v>231</v>
      </c>
      <c r="C240" s="876">
        <f t="shared" si="12"/>
        <v>2135.4892544088129</v>
      </c>
      <c r="D240" s="876">
        <f t="shared" si="13"/>
        <v>577.85477341842136</v>
      </c>
      <c r="E240" s="876">
        <f t="shared" si="14"/>
        <v>1557.6344809903917</v>
      </c>
      <c r="G240" s="876">
        <f t="shared" si="15"/>
        <v>126077.40510947377</v>
      </c>
    </row>
    <row r="241" spans="2:7" x14ac:dyDescent="0.3">
      <c r="B241" s="581">
        <v>232</v>
      </c>
      <c r="C241" s="876">
        <f t="shared" si="12"/>
        <v>2135.4892544088129</v>
      </c>
      <c r="D241" s="876">
        <f t="shared" si="13"/>
        <v>570.7156153805488</v>
      </c>
      <c r="E241" s="876">
        <f t="shared" si="14"/>
        <v>1564.7736390282641</v>
      </c>
      <c r="G241" s="876">
        <f t="shared" si="15"/>
        <v>124519.77062848337</v>
      </c>
    </row>
    <row r="242" spans="2:7" x14ac:dyDescent="0.3">
      <c r="B242" s="581">
        <v>233</v>
      </c>
      <c r="C242" s="876">
        <f t="shared" si="12"/>
        <v>2135.4892544088129</v>
      </c>
      <c r="D242" s="876">
        <f t="shared" si="13"/>
        <v>563.54373620166928</v>
      </c>
      <c r="E242" s="876">
        <f t="shared" si="14"/>
        <v>1571.9455182071438</v>
      </c>
      <c r="G242" s="876">
        <f t="shared" si="15"/>
        <v>122954.9969894551</v>
      </c>
    </row>
    <row r="243" spans="2:7" x14ac:dyDescent="0.3">
      <c r="B243" s="581">
        <v>234</v>
      </c>
      <c r="C243" s="876">
        <f t="shared" si="12"/>
        <v>2135.4892544088129</v>
      </c>
      <c r="D243" s="876">
        <f t="shared" si="13"/>
        <v>556.33898590988645</v>
      </c>
      <c r="E243" s="876">
        <f t="shared" si="14"/>
        <v>1579.1502684989264</v>
      </c>
      <c r="G243" s="876">
        <f t="shared" si="15"/>
        <v>121383.05147124796</v>
      </c>
    </row>
    <row r="244" spans="2:7" x14ac:dyDescent="0.3">
      <c r="B244" s="581">
        <v>235</v>
      </c>
      <c r="C244" s="876">
        <f t="shared" si="12"/>
        <v>2135.4892544088129</v>
      </c>
      <c r="D244" s="876">
        <f t="shared" si="13"/>
        <v>549.1012138459331</v>
      </c>
      <c r="E244" s="876">
        <f t="shared" si="14"/>
        <v>1586.3880405628797</v>
      </c>
      <c r="G244" s="876">
        <f t="shared" si="15"/>
        <v>119803.90120274904</v>
      </c>
    </row>
    <row r="245" spans="2:7" x14ac:dyDescent="0.3">
      <c r="B245" s="581">
        <v>236</v>
      </c>
      <c r="C245" s="876">
        <f t="shared" si="12"/>
        <v>2135.4892544088129</v>
      </c>
      <c r="D245" s="876">
        <f t="shared" si="13"/>
        <v>541.8302686600199</v>
      </c>
      <c r="E245" s="876">
        <f t="shared" si="14"/>
        <v>1593.6589857487929</v>
      </c>
      <c r="G245" s="876">
        <f t="shared" si="15"/>
        <v>118217.51316218617</v>
      </c>
    </row>
    <row r="246" spans="2:7" x14ac:dyDescent="0.3">
      <c r="B246" s="581">
        <v>237</v>
      </c>
      <c r="C246" s="876">
        <f t="shared" si="12"/>
        <v>2135.4892544088129</v>
      </c>
      <c r="D246" s="876">
        <f t="shared" si="13"/>
        <v>534.52599830867132</v>
      </c>
      <c r="E246" s="876">
        <f t="shared" si="14"/>
        <v>1600.9632561001417</v>
      </c>
      <c r="G246" s="876">
        <f t="shared" si="15"/>
        <v>116623.85417643737</v>
      </c>
    </row>
    <row r="247" spans="2:7" x14ac:dyDescent="0.3">
      <c r="B247" s="581">
        <v>238</v>
      </c>
      <c r="C247" s="876">
        <f t="shared" si="12"/>
        <v>2135.4892544088129</v>
      </c>
      <c r="D247" s="876">
        <f t="shared" si="13"/>
        <v>527.18825005154565</v>
      </c>
      <c r="E247" s="876">
        <f t="shared" si="14"/>
        <v>1608.3010043572672</v>
      </c>
      <c r="G247" s="876">
        <f t="shared" si="15"/>
        <v>115022.89092033723</v>
      </c>
    </row>
    <row r="248" spans="2:7" x14ac:dyDescent="0.3">
      <c r="B248" s="581">
        <v>239</v>
      </c>
      <c r="C248" s="876">
        <f t="shared" si="12"/>
        <v>2135.4892544088129</v>
      </c>
      <c r="D248" s="876">
        <f t="shared" si="13"/>
        <v>519.8168704482415</v>
      </c>
      <c r="E248" s="876">
        <f t="shared" si="14"/>
        <v>1615.6723839605716</v>
      </c>
      <c r="G248" s="876">
        <f t="shared" si="15"/>
        <v>113414.58991597996</v>
      </c>
    </row>
    <row r="249" spans="2:7" x14ac:dyDescent="0.3">
      <c r="B249" s="581">
        <v>240</v>
      </c>
      <c r="C249" s="876">
        <f t="shared" si="12"/>
        <v>2135.4892544088129</v>
      </c>
      <c r="D249" s="876">
        <f t="shared" si="13"/>
        <v>512.41170535508888</v>
      </c>
      <c r="E249" s="876">
        <f t="shared" si="14"/>
        <v>1623.0775490537239</v>
      </c>
      <c r="G249" s="876">
        <f t="shared" si="15"/>
        <v>111798.91753201939</v>
      </c>
    </row>
    <row r="250" spans="2:7" x14ac:dyDescent="0.3">
      <c r="B250" s="581">
        <v>241</v>
      </c>
      <c r="C250" s="876">
        <f t="shared" si="12"/>
        <v>2135.4892544088129</v>
      </c>
      <c r="D250" s="876">
        <f t="shared" si="13"/>
        <v>504.97259992192602</v>
      </c>
      <c r="E250" s="876">
        <f t="shared" si="14"/>
        <v>1630.5166544868869</v>
      </c>
      <c r="G250" s="876">
        <f t="shared" si="15"/>
        <v>110175.83998296567</v>
      </c>
    </row>
    <row r="251" spans="2:7" x14ac:dyDescent="0.3">
      <c r="B251" s="581">
        <v>242</v>
      </c>
      <c r="C251" s="876">
        <f t="shared" si="12"/>
        <v>2135.4892544088129</v>
      </c>
      <c r="D251" s="876">
        <f t="shared" si="13"/>
        <v>497.49939858886114</v>
      </c>
      <c r="E251" s="876">
        <f t="shared" si="14"/>
        <v>1637.9898558199518</v>
      </c>
      <c r="G251" s="876">
        <f t="shared" si="15"/>
        <v>108545.32332847879</v>
      </c>
    </row>
    <row r="252" spans="2:7" x14ac:dyDescent="0.3">
      <c r="B252" s="581">
        <v>243</v>
      </c>
      <c r="C252" s="876">
        <f t="shared" si="12"/>
        <v>2135.4892544088129</v>
      </c>
      <c r="D252" s="876">
        <f t="shared" si="13"/>
        <v>489.99194508301963</v>
      </c>
      <c r="E252" s="876">
        <f t="shared" si="14"/>
        <v>1645.4973093257934</v>
      </c>
      <c r="G252" s="876">
        <f t="shared" si="15"/>
        <v>106907.33347265884</v>
      </c>
    </row>
    <row r="253" spans="2:7" x14ac:dyDescent="0.3">
      <c r="B253" s="581">
        <v>244</v>
      </c>
      <c r="C253" s="876">
        <f t="shared" si="12"/>
        <v>2135.4892544088129</v>
      </c>
      <c r="D253" s="876">
        <f t="shared" si="13"/>
        <v>482.45008241527648</v>
      </c>
      <c r="E253" s="876">
        <f t="shared" si="14"/>
        <v>1653.0391719935365</v>
      </c>
      <c r="G253" s="876">
        <f t="shared" si="15"/>
        <v>105261.83616333305</v>
      </c>
    </row>
    <row r="254" spans="2:7" x14ac:dyDescent="0.3">
      <c r="B254" s="581">
        <v>245</v>
      </c>
      <c r="C254" s="876">
        <f t="shared" si="12"/>
        <v>2135.4892544088129</v>
      </c>
      <c r="D254" s="876">
        <f t="shared" si="13"/>
        <v>474.87365287697276</v>
      </c>
      <c r="E254" s="876">
        <f t="shared" si="14"/>
        <v>1660.6156015318402</v>
      </c>
      <c r="G254" s="876">
        <f t="shared" si="15"/>
        <v>103608.79699133951</v>
      </c>
    </row>
    <row r="255" spans="2:7" x14ac:dyDescent="0.3">
      <c r="B255" s="581">
        <v>246</v>
      </c>
      <c r="C255" s="876">
        <f t="shared" si="12"/>
        <v>2135.4892544088129</v>
      </c>
      <c r="D255" s="876">
        <f t="shared" si="13"/>
        <v>467.26249803661852</v>
      </c>
      <c r="E255" s="876">
        <f t="shared" si="14"/>
        <v>1668.2267563721944</v>
      </c>
      <c r="G255" s="876">
        <f t="shared" si="15"/>
        <v>101948.18138980767</v>
      </c>
    </row>
    <row r="256" spans="2:7" x14ac:dyDescent="0.3">
      <c r="B256" s="581">
        <v>247</v>
      </c>
      <c r="C256" s="876">
        <f t="shared" si="12"/>
        <v>2135.4892544088129</v>
      </c>
      <c r="D256" s="876">
        <f t="shared" si="13"/>
        <v>459.61645873657926</v>
      </c>
      <c r="E256" s="876">
        <f t="shared" si="14"/>
        <v>1675.8727956722337</v>
      </c>
      <c r="G256" s="876">
        <f t="shared" si="15"/>
        <v>100279.95463343547</v>
      </c>
    </row>
    <row r="257" spans="2:7" x14ac:dyDescent="0.3">
      <c r="B257" s="581">
        <v>248</v>
      </c>
      <c r="C257" s="876">
        <f t="shared" si="12"/>
        <v>2135.4892544088129</v>
      </c>
      <c r="D257" s="876">
        <f t="shared" si="13"/>
        <v>451.93537508974822</v>
      </c>
      <c r="E257" s="876">
        <f t="shared" si="14"/>
        <v>1683.5538793190647</v>
      </c>
      <c r="G257" s="876">
        <f t="shared" si="15"/>
        <v>98604.081837763239</v>
      </c>
    </row>
    <row r="258" spans="2:7" x14ac:dyDescent="0.3">
      <c r="B258" s="581">
        <v>249</v>
      </c>
      <c r="C258" s="876">
        <f t="shared" si="12"/>
        <v>2135.4892544088129</v>
      </c>
      <c r="D258" s="876">
        <f t="shared" si="13"/>
        <v>444.21908647620245</v>
      </c>
      <c r="E258" s="876">
        <f t="shared" si="14"/>
        <v>1691.2701679326105</v>
      </c>
      <c r="G258" s="876">
        <f t="shared" si="15"/>
        <v>96920.527958444174</v>
      </c>
    </row>
    <row r="259" spans="2:7" x14ac:dyDescent="0.3">
      <c r="B259" s="581">
        <v>250</v>
      </c>
      <c r="C259" s="876">
        <f t="shared" si="12"/>
        <v>2135.4892544088129</v>
      </c>
      <c r="D259" s="876">
        <f t="shared" si="13"/>
        <v>436.46743153984465</v>
      </c>
      <c r="E259" s="876">
        <f t="shared" si="14"/>
        <v>1699.0218228689682</v>
      </c>
      <c r="G259" s="876">
        <f t="shared" si="15"/>
        <v>95229.257790511561</v>
      </c>
    </row>
    <row r="260" spans="2:7" x14ac:dyDescent="0.3">
      <c r="B260" s="581">
        <v>251</v>
      </c>
      <c r="C260" s="876">
        <f t="shared" si="12"/>
        <v>2135.4892544088129</v>
      </c>
      <c r="D260" s="876">
        <f t="shared" si="13"/>
        <v>428.68024818502857</v>
      </c>
      <c r="E260" s="876">
        <f t="shared" si="14"/>
        <v>1706.8090062237843</v>
      </c>
      <c r="G260" s="876">
        <f t="shared" si="15"/>
        <v>93530.235967642599</v>
      </c>
    </row>
    <row r="261" spans="2:7" x14ac:dyDescent="0.3">
      <c r="B261" s="581">
        <v>252</v>
      </c>
      <c r="C261" s="876">
        <f t="shared" si="12"/>
        <v>2135.4892544088129</v>
      </c>
      <c r="D261" s="876">
        <f t="shared" si="13"/>
        <v>420.85737357316953</v>
      </c>
      <c r="E261" s="876">
        <f t="shared" si="14"/>
        <v>1714.6318808356434</v>
      </c>
      <c r="G261" s="876">
        <f t="shared" si="15"/>
        <v>91823.426961418809</v>
      </c>
    </row>
    <row r="262" spans="2:7" x14ac:dyDescent="0.3">
      <c r="B262" s="581">
        <v>253</v>
      </c>
      <c r="C262" s="876">
        <f t="shared" si="12"/>
        <v>2135.4892544088129</v>
      </c>
      <c r="D262" s="876">
        <f t="shared" si="13"/>
        <v>412.99864411933953</v>
      </c>
      <c r="E262" s="876">
        <f t="shared" si="14"/>
        <v>1722.4906102894734</v>
      </c>
      <c r="G262" s="876">
        <f t="shared" si="15"/>
        <v>90108.795080583164</v>
      </c>
    </row>
    <row r="263" spans="2:7" x14ac:dyDescent="0.3">
      <c r="B263" s="581">
        <v>254</v>
      </c>
      <c r="C263" s="876">
        <f t="shared" si="12"/>
        <v>2135.4892544088129</v>
      </c>
      <c r="D263" s="876">
        <f t="shared" si="13"/>
        <v>405.10389548884609</v>
      </c>
      <c r="E263" s="876">
        <f t="shared" si="14"/>
        <v>1730.3853589199668</v>
      </c>
      <c r="G263" s="876">
        <f t="shared" si="15"/>
        <v>88386.30447029369</v>
      </c>
    </row>
    <row r="264" spans="2:7" x14ac:dyDescent="0.3">
      <c r="B264" s="581">
        <v>255</v>
      </c>
      <c r="C264" s="876">
        <f t="shared" si="12"/>
        <v>2135.4892544088129</v>
      </c>
      <c r="D264" s="876">
        <f t="shared" si="13"/>
        <v>397.17296259379623</v>
      </c>
      <c r="E264" s="876">
        <f t="shared" si="14"/>
        <v>1738.3162918150167</v>
      </c>
      <c r="G264" s="876">
        <f t="shared" si="15"/>
        <v>86655.919111373718</v>
      </c>
    </row>
    <row r="265" spans="2:7" x14ac:dyDescent="0.3">
      <c r="B265" s="581">
        <v>256</v>
      </c>
      <c r="C265" s="876">
        <f t="shared" si="12"/>
        <v>2135.4892544088129</v>
      </c>
      <c r="D265" s="876">
        <f t="shared" si="13"/>
        <v>389.20567958964403</v>
      </c>
      <c r="E265" s="876">
        <f t="shared" si="14"/>
        <v>1746.283574819169</v>
      </c>
      <c r="G265" s="876">
        <f t="shared" si="15"/>
        <v>84917.602819558699</v>
      </c>
    </row>
    <row r="266" spans="2:7" x14ac:dyDescent="0.3">
      <c r="B266" s="581">
        <v>257</v>
      </c>
      <c r="C266" s="876">
        <f t="shared" ref="C266:C329" si="16">IF($C$3&lt;G266+(G266*($C$4/$C$6)),$C$3,G266+(G266*($C$4/$C$6)))</f>
        <v>2135.4892544088129</v>
      </c>
      <c r="D266" s="876">
        <f t="shared" ref="D266:D329" si="17">G266*$C$4/$C$6</f>
        <v>381.20187987172284</v>
      </c>
      <c r="E266" s="876">
        <f t="shared" ref="E266:E329" si="18">C266-D266</f>
        <v>1754.28737453709</v>
      </c>
      <c r="G266" s="876">
        <f t="shared" si="15"/>
        <v>83171.319244739527</v>
      </c>
    </row>
    <row r="267" spans="2:7" x14ac:dyDescent="0.3">
      <c r="B267" s="581">
        <v>258</v>
      </c>
      <c r="C267" s="876">
        <f t="shared" si="16"/>
        <v>2135.4892544088129</v>
      </c>
      <c r="D267" s="876">
        <f t="shared" si="17"/>
        <v>373.16139607176115</v>
      </c>
      <c r="E267" s="876">
        <f t="shared" si="18"/>
        <v>1762.3278583370518</v>
      </c>
      <c r="G267" s="876">
        <f t="shared" ref="G267:G330" si="19">G266-E266-F266</f>
        <v>81417.031870202438</v>
      </c>
    </row>
    <row r="268" spans="2:7" x14ac:dyDescent="0.3">
      <c r="B268" s="581">
        <v>259</v>
      </c>
      <c r="C268" s="876">
        <f t="shared" si="16"/>
        <v>2135.4892544088129</v>
      </c>
      <c r="D268" s="876">
        <f t="shared" si="17"/>
        <v>365.08406005438297</v>
      </c>
      <c r="E268" s="876">
        <f t="shared" si="18"/>
        <v>1770.40519435443</v>
      </c>
      <c r="G268" s="876">
        <f t="shared" si="19"/>
        <v>79654.704011865382</v>
      </c>
    </row>
    <row r="269" spans="2:7" x14ac:dyDescent="0.3">
      <c r="B269" s="581">
        <v>260</v>
      </c>
      <c r="C269" s="876">
        <f t="shared" si="16"/>
        <v>2135.4892544088129</v>
      </c>
      <c r="D269" s="876">
        <f t="shared" si="17"/>
        <v>356.96970291359185</v>
      </c>
      <c r="E269" s="876">
        <f t="shared" si="18"/>
        <v>1778.5195514952211</v>
      </c>
      <c r="G269" s="876">
        <f t="shared" si="19"/>
        <v>77884.298817510949</v>
      </c>
    </row>
    <row r="270" spans="2:7" x14ac:dyDescent="0.3">
      <c r="B270" s="581">
        <v>261</v>
      </c>
      <c r="C270" s="876">
        <f t="shared" si="16"/>
        <v>2135.4892544088129</v>
      </c>
      <c r="D270" s="876">
        <f t="shared" si="17"/>
        <v>348.81815496923878</v>
      </c>
      <c r="E270" s="876">
        <f t="shared" si="18"/>
        <v>1786.6710994395742</v>
      </c>
      <c r="G270" s="876">
        <f t="shared" si="19"/>
        <v>76105.779266015728</v>
      </c>
    </row>
    <row r="271" spans="2:7" x14ac:dyDescent="0.3">
      <c r="B271" s="581">
        <v>262</v>
      </c>
      <c r="C271" s="876">
        <f t="shared" si="16"/>
        <v>2135.4892544088129</v>
      </c>
      <c r="D271" s="876">
        <f t="shared" si="17"/>
        <v>340.6292457634741</v>
      </c>
      <c r="E271" s="876">
        <f t="shared" si="18"/>
        <v>1794.8600086453389</v>
      </c>
      <c r="G271" s="876">
        <f t="shared" si="19"/>
        <v>74319.108166576159</v>
      </c>
    </row>
    <row r="272" spans="2:7" x14ac:dyDescent="0.3">
      <c r="B272" s="581">
        <v>263</v>
      </c>
      <c r="C272" s="876">
        <f t="shared" si="16"/>
        <v>2135.4892544088129</v>
      </c>
      <c r="D272" s="876">
        <f t="shared" si="17"/>
        <v>332.40280405718295</v>
      </c>
      <c r="E272" s="876">
        <f t="shared" si="18"/>
        <v>1803.08645035163</v>
      </c>
      <c r="G272" s="876">
        <f t="shared" si="19"/>
        <v>72524.248157930822</v>
      </c>
    </row>
    <row r="273" spans="2:7" x14ac:dyDescent="0.3">
      <c r="B273" s="581">
        <v>264</v>
      </c>
      <c r="C273" s="876">
        <f t="shared" si="16"/>
        <v>2135.4892544088129</v>
      </c>
      <c r="D273" s="876">
        <f t="shared" si="17"/>
        <v>324.1386578264046</v>
      </c>
      <c r="E273" s="876">
        <f t="shared" si="18"/>
        <v>1811.3505965824083</v>
      </c>
      <c r="G273" s="876">
        <f t="shared" si="19"/>
        <v>70721.161707579187</v>
      </c>
    </row>
    <row r="274" spans="2:7" x14ac:dyDescent="0.3">
      <c r="B274" s="581">
        <v>265</v>
      </c>
      <c r="C274" s="876">
        <f t="shared" si="16"/>
        <v>2135.4892544088129</v>
      </c>
      <c r="D274" s="876">
        <f t="shared" si="17"/>
        <v>315.83663425873522</v>
      </c>
      <c r="E274" s="876">
        <f t="shared" si="18"/>
        <v>1819.6526201500778</v>
      </c>
      <c r="G274" s="876">
        <f t="shared" si="19"/>
        <v>68909.811110996772</v>
      </c>
    </row>
    <row r="275" spans="2:7" x14ac:dyDescent="0.3">
      <c r="B275" s="581">
        <v>266</v>
      </c>
      <c r="C275" s="876">
        <f t="shared" si="16"/>
        <v>2135.4892544088129</v>
      </c>
      <c r="D275" s="876">
        <f t="shared" si="17"/>
        <v>307.49655974971398</v>
      </c>
      <c r="E275" s="876">
        <f t="shared" si="18"/>
        <v>1827.992694659099</v>
      </c>
      <c r="G275" s="876">
        <f t="shared" si="19"/>
        <v>67090.15849084669</v>
      </c>
    </row>
    <row r="276" spans="2:7" x14ac:dyDescent="0.3">
      <c r="B276" s="581">
        <v>267</v>
      </c>
      <c r="C276" s="876">
        <f t="shared" si="16"/>
        <v>2135.4892544088129</v>
      </c>
      <c r="D276" s="876">
        <f t="shared" si="17"/>
        <v>299.11825989919311</v>
      </c>
      <c r="E276" s="876">
        <f t="shared" si="18"/>
        <v>1836.3709945096198</v>
      </c>
      <c r="G276" s="876">
        <f t="shared" si="19"/>
        <v>65262.16579618759</v>
      </c>
    </row>
    <row r="277" spans="2:7" x14ac:dyDescent="0.3">
      <c r="B277" s="581">
        <v>268</v>
      </c>
      <c r="C277" s="876">
        <f t="shared" si="16"/>
        <v>2135.4892544088129</v>
      </c>
      <c r="D277" s="876">
        <f t="shared" si="17"/>
        <v>290.70155950769066</v>
      </c>
      <c r="E277" s="876">
        <f t="shared" si="18"/>
        <v>1844.7876949011222</v>
      </c>
      <c r="G277" s="876">
        <f t="shared" si="19"/>
        <v>63425.79480167797</v>
      </c>
    </row>
    <row r="278" spans="2:7" x14ac:dyDescent="0.3">
      <c r="B278" s="581">
        <v>269</v>
      </c>
      <c r="C278" s="876">
        <f t="shared" si="16"/>
        <v>2135.4892544088129</v>
      </c>
      <c r="D278" s="876">
        <f t="shared" si="17"/>
        <v>282.24628257272724</v>
      </c>
      <c r="E278" s="876">
        <f t="shared" si="18"/>
        <v>1853.2429718360856</v>
      </c>
      <c r="G278" s="876">
        <f t="shared" si="19"/>
        <v>61581.007106776851</v>
      </c>
    </row>
    <row r="279" spans="2:7" x14ac:dyDescent="0.3">
      <c r="B279" s="581">
        <v>270</v>
      </c>
      <c r="C279" s="876">
        <f t="shared" si="16"/>
        <v>2135.4892544088129</v>
      </c>
      <c r="D279" s="876">
        <f t="shared" si="17"/>
        <v>273.75225228514518</v>
      </c>
      <c r="E279" s="876">
        <f t="shared" si="18"/>
        <v>1861.7370021236677</v>
      </c>
      <c r="G279" s="876">
        <f t="shared" si="19"/>
        <v>59727.764134940764</v>
      </c>
    </row>
    <row r="280" spans="2:7" x14ac:dyDescent="0.3">
      <c r="B280" s="581">
        <v>271</v>
      </c>
      <c r="C280" s="876">
        <f t="shared" si="16"/>
        <v>2135.4892544088129</v>
      </c>
      <c r="D280" s="876">
        <f t="shared" si="17"/>
        <v>265.21929102541168</v>
      </c>
      <c r="E280" s="876">
        <f t="shared" si="18"/>
        <v>1870.2699633834013</v>
      </c>
      <c r="G280" s="876">
        <f t="shared" si="19"/>
        <v>57866.027132817093</v>
      </c>
    </row>
    <row r="281" spans="2:7" x14ac:dyDescent="0.3">
      <c r="B281" s="581">
        <v>272</v>
      </c>
      <c r="C281" s="876">
        <f t="shared" si="16"/>
        <v>2135.4892544088129</v>
      </c>
      <c r="D281" s="876">
        <f t="shared" si="17"/>
        <v>256.64722035990445</v>
      </c>
      <c r="E281" s="876">
        <f t="shared" si="18"/>
        <v>1878.8420340489085</v>
      </c>
      <c r="G281" s="876">
        <f t="shared" si="19"/>
        <v>55995.757169433695</v>
      </c>
    </row>
    <row r="282" spans="2:7" x14ac:dyDescent="0.3">
      <c r="B282" s="581">
        <v>273</v>
      </c>
      <c r="C282" s="876">
        <f t="shared" si="16"/>
        <v>2135.4892544088129</v>
      </c>
      <c r="D282" s="876">
        <f t="shared" si="17"/>
        <v>248.03586103718024</v>
      </c>
      <c r="E282" s="876">
        <f t="shared" si="18"/>
        <v>1887.4533933716327</v>
      </c>
      <c r="G282" s="876">
        <f t="shared" si="19"/>
        <v>54116.915135384785</v>
      </c>
    </row>
    <row r="283" spans="2:7" x14ac:dyDescent="0.3">
      <c r="B283" s="581">
        <v>274</v>
      </c>
      <c r="C283" s="876">
        <f t="shared" si="16"/>
        <v>2135.4892544088129</v>
      </c>
      <c r="D283" s="876">
        <f t="shared" si="17"/>
        <v>239.38503298422697</v>
      </c>
      <c r="E283" s="876">
        <f t="shared" si="18"/>
        <v>1896.1042214245861</v>
      </c>
      <c r="G283" s="876">
        <f t="shared" si="19"/>
        <v>52229.461742013154</v>
      </c>
    </row>
    <row r="284" spans="2:7" x14ac:dyDescent="0.3">
      <c r="B284" s="581">
        <v>275</v>
      </c>
      <c r="C284" s="876">
        <f t="shared" si="16"/>
        <v>2135.4892544088129</v>
      </c>
      <c r="D284" s="876">
        <f t="shared" si="17"/>
        <v>230.69455530269761</v>
      </c>
      <c r="E284" s="876">
        <f t="shared" si="18"/>
        <v>1904.7946991061153</v>
      </c>
      <c r="G284" s="876">
        <f t="shared" si="19"/>
        <v>50333.357520588572</v>
      </c>
    </row>
    <row r="285" spans="2:7" x14ac:dyDescent="0.3">
      <c r="B285" s="581">
        <v>276</v>
      </c>
      <c r="C285" s="876">
        <f t="shared" si="16"/>
        <v>2135.4892544088129</v>
      </c>
      <c r="D285" s="876">
        <f t="shared" si="17"/>
        <v>221.96424626512791</v>
      </c>
      <c r="E285" s="876">
        <f t="shared" si="18"/>
        <v>1913.525008143685</v>
      </c>
      <c r="G285" s="876">
        <f t="shared" si="19"/>
        <v>48428.562821482454</v>
      </c>
    </row>
    <row r="286" spans="2:7" x14ac:dyDescent="0.3">
      <c r="B286" s="581">
        <v>277</v>
      </c>
      <c r="C286" s="876">
        <f t="shared" si="16"/>
        <v>2135.4892544088129</v>
      </c>
      <c r="D286" s="876">
        <f t="shared" si="17"/>
        <v>213.19392331113602</v>
      </c>
      <c r="E286" s="876">
        <f t="shared" si="18"/>
        <v>1922.2953310976768</v>
      </c>
      <c r="G286" s="876">
        <f t="shared" si="19"/>
        <v>46515.037813338771</v>
      </c>
    </row>
    <row r="287" spans="2:7" x14ac:dyDescent="0.3">
      <c r="B287" s="581">
        <v>278</v>
      </c>
      <c r="C287" s="876">
        <f t="shared" si="16"/>
        <v>2135.4892544088129</v>
      </c>
      <c r="D287" s="876">
        <f t="shared" si="17"/>
        <v>204.38340304360506</v>
      </c>
      <c r="E287" s="876">
        <f t="shared" si="18"/>
        <v>1931.1058513652079</v>
      </c>
      <c r="G287" s="876">
        <f t="shared" si="19"/>
        <v>44592.742482241098</v>
      </c>
    </row>
    <row r="288" spans="2:7" x14ac:dyDescent="0.3">
      <c r="B288" s="581">
        <v>279</v>
      </c>
      <c r="C288" s="876">
        <f t="shared" si="16"/>
        <v>2135.4892544088129</v>
      </c>
      <c r="D288" s="876">
        <f t="shared" si="17"/>
        <v>195.53250122484781</v>
      </c>
      <c r="E288" s="876">
        <f t="shared" si="18"/>
        <v>1939.9567531839652</v>
      </c>
      <c r="G288" s="876">
        <f t="shared" si="19"/>
        <v>42661.636630875888</v>
      </c>
    </row>
    <row r="289" spans="2:7" x14ac:dyDescent="0.3">
      <c r="B289" s="581">
        <v>280</v>
      </c>
      <c r="C289" s="876">
        <f t="shared" si="16"/>
        <v>2135.4892544088129</v>
      </c>
      <c r="D289" s="876">
        <f t="shared" si="17"/>
        <v>186.64103277275467</v>
      </c>
      <c r="E289" s="876">
        <f t="shared" si="18"/>
        <v>1948.8482216360583</v>
      </c>
      <c r="G289" s="876">
        <f t="shared" si="19"/>
        <v>40721.679877691924</v>
      </c>
    </row>
    <row r="290" spans="2:7" x14ac:dyDescent="0.3">
      <c r="B290" s="581">
        <v>281</v>
      </c>
      <c r="C290" s="876">
        <f t="shared" si="16"/>
        <v>2135.4892544088129</v>
      </c>
      <c r="D290" s="876">
        <f t="shared" si="17"/>
        <v>177.70881175692273</v>
      </c>
      <c r="E290" s="876">
        <f t="shared" si="18"/>
        <v>1957.7804426518901</v>
      </c>
      <c r="G290" s="876">
        <f t="shared" si="19"/>
        <v>38772.831656055867</v>
      </c>
    </row>
    <row r="291" spans="2:7" x14ac:dyDescent="0.3">
      <c r="B291" s="581">
        <v>282</v>
      </c>
      <c r="C291" s="876">
        <f t="shared" si="16"/>
        <v>2135.4892544088129</v>
      </c>
      <c r="D291" s="876">
        <f t="shared" si="17"/>
        <v>168.73565139476821</v>
      </c>
      <c r="E291" s="876">
        <f t="shared" si="18"/>
        <v>1966.7536030140448</v>
      </c>
      <c r="G291" s="876">
        <f t="shared" si="19"/>
        <v>36815.051213403975</v>
      </c>
    </row>
    <row r="292" spans="2:7" x14ac:dyDescent="0.3">
      <c r="B292" s="581">
        <v>283</v>
      </c>
      <c r="C292" s="876">
        <f t="shared" si="16"/>
        <v>2135.4892544088129</v>
      </c>
      <c r="D292" s="876">
        <f t="shared" si="17"/>
        <v>159.72136404762048</v>
      </c>
      <c r="E292" s="876">
        <f t="shared" si="18"/>
        <v>1975.7678903611925</v>
      </c>
      <c r="G292" s="876">
        <f t="shared" si="19"/>
        <v>34848.297610389927</v>
      </c>
    </row>
    <row r="293" spans="2:7" x14ac:dyDescent="0.3">
      <c r="B293" s="581">
        <v>284</v>
      </c>
      <c r="C293" s="876">
        <f t="shared" si="16"/>
        <v>2135.4892544088129</v>
      </c>
      <c r="D293" s="876">
        <f t="shared" si="17"/>
        <v>150.66576121679836</v>
      </c>
      <c r="E293" s="876">
        <f t="shared" si="18"/>
        <v>1984.8234931920147</v>
      </c>
      <c r="G293" s="876">
        <f t="shared" si="19"/>
        <v>32872.529720028731</v>
      </c>
    </row>
    <row r="294" spans="2:7" x14ac:dyDescent="0.3">
      <c r="B294" s="581">
        <v>285</v>
      </c>
      <c r="C294" s="876">
        <f t="shared" si="16"/>
        <v>2135.4892544088129</v>
      </c>
      <c r="D294" s="876">
        <f t="shared" si="17"/>
        <v>141.56865353966828</v>
      </c>
      <c r="E294" s="876">
        <f t="shared" si="18"/>
        <v>1993.9206008691447</v>
      </c>
      <c r="G294" s="876">
        <f t="shared" si="19"/>
        <v>30887.706226836715</v>
      </c>
    </row>
    <row r="295" spans="2:7" x14ac:dyDescent="0.3">
      <c r="B295" s="581">
        <v>286</v>
      </c>
      <c r="C295" s="876">
        <f t="shared" si="16"/>
        <v>2135.4892544088129</v>
      </c>
      <c r="D295" s="876">
        <f t="shared" si="17"/>
        <v>132.42985078568469</v>
      </c>
      <c r="E295" s="876">
        <f t="shared" si="18"/>
        <v>2003.0594036231282</v>
      </c>
      <c r="G295" s="876">
        <f t="shared" si="19"/>
        <v>28893.785625967572</v>
      </c>
    </row>
    <row r="296" spans="2:7" x14ac:dyDescent="0.3">
      <c r="B296" s="581">
        <v>287</v>
      </c>
      <c r="C296" s="876">
        <f t="shared" si="16"/>
        <v>2135.4892544088129</v>
      </c>
      <c r="D296" s="876">
        <f t="shared" si="17"/>
        <v>123.24916185241204</v>
      </c>
      <c r="E296" s="876">
        <f t="shared" si="18"/>
        <v>2012.2400925564009</v>
      </c>
      <c r="G296" s="876">
        <f t="shared" si="19"/>
        <v>26890.726222344445</v>
      </c>
    </row>
    <row r="297" spans="2:7" x14ac:dyDescent="0.3">
      <c r="B297" s="581">
        <v>288</v>
      </c>
      <c r="C297" s="876">
        <f t="shared" si="16"/>
        <v>2135.4892544088129</v>
      </c>
      <c r="D297" s="876">
        <f t="shared" si="17"/>
        <v>114.02639476152854</v>
      </c>
      <c r="E297" s="876">
        <f t="shared" si="18"/>
        <v>2021.4628596472844</v>
      </c>
      <c r="G297" s="876">
        <f t="shared" si="19"/>
        <v>24878.486129788045</v>
      </c>
    </row>
    <row r="298" spans="2:7" x14ac:dyDescent="0.3">
      <c r="B298" s="581">
        <v>289</v>
      </c>
      <c r="C298" s="876">
        <f t="shared" si="16"/>
        <v>2135.4892544088129</v>
      </c>
      <c r="D298" s="876">
        <f t="shared" si="17"/>
        <v>104.76135665481183</v>
      </c>
      <c r="E298" s="876">
        <f t="shared" si="18"/>
        <v>2030.7278977540011</v>
      </c>
      <c r="G298" s="876">
        <f t="shared" si="19"/>
        <v>22857.023270140762</v>
      </c>
    </row>
    <row r="299" spans="2:7" x14ac:dyDescent="0.3">
      <c r="B299" s="581">
        <v>290</v>
      </c>
      <c r="C299" s="876">
        <f t="shared" si="16"/>
        <v>2135.4892544088129</v>
      </c>
      <c r="D299" s="876">
        <f t="shared" si="17"/>
        <v>95.453853790105995</v>
      </c>
      <c r="E299" s="876">
        <f t="shared" si="18"/>
        <v>2040.0354006187069</v>
      </c>
      <c r="G299" s="876">
        <f t="shared" si="19"/>
        <v>20826.295372386761</v>
      </c>
    </row>
    <row r="300" spans="2:7" x14ac:dyDescent="0.3">
      <c r="B300" s="581">
        <v>291</v>
      </c>
      <c r="C300" s="876">
        <f t="shared" si="16"/>
        <v>2135.4892544088129</v>
      </c>
      <c r="D300" s="876">
        <f t="shared" si="17"/>
        <v>86.103691537270251</v>
      </c>
      <c r="E300" s="876">
        <f t="shared" si="18"/>
        <v>2049.3855628715428</v>
      </c>
      <c r="G300" s="876">
        <f t="shared" si="19"/>
        <v>18786.259971768053</v>
      </c>
    </row>
    <row r="301" spans="2:7" x14ac:dyDescent="0.3">
      <c r="B301" s="581">
        <v>292</v>
      </c>
      <c r="C301" s="876">
        <f t="shared" si="16"/>
        <v>2135.4892544088129</v>
      </c>
      <c r="D301" s="876">
        <f t="shared" si="17"/>
        <v>76.710674374109004</v>
      </c>
      <c r="E301" s="876">
        <f t="shared" si="18"/>
        <v>2058.7785800347037</v>
      </c>
      <c r="G301" s="876">
        <f t="shared" si="19"/>
        <v>16736.87440889651</v>
      </c>
    </row>
    <row r="302" spans="2:7" x14ac:dyDescent="0.3">
      <c r="B302" s="581">
        <v>293</v>
      </c>
      <c r="C302" s="876">
        <f t="shared" si="16"/>
        <v>2135.4892544088129</v>
      </c>
      <c r="D302" s="876">
        <f t="shared" si="17"/>
        <v>67.274605882283268</v>
      </c>
      <c r="E302" s="876">
        <f t="shared" si="18"/>
        <v>2068.2146485265298</v>
      </c>
      <c r="G302" s="876">
        <f t="shared" si="19"/>
        <v>14678.095828861806</v>
      </c>
    </row>
    <row r="303" spans="2:7" x14ac:dyDescent="0.3">
      <c r="B303" s="581">
        <v>294</v>
      </c>
      <c r="C303" s="876">
        <f t="shared" si="16"/>
        <v>2135.4892544088129</v>
      </c>
      <c r="D303" s="876">
        <f t="shared" si="17"/>
        <v>57.795288743203351</v>
      </c>
      <c r="E303" s="876">
        <f t="shared" si="18"/>
        <v>2077.6939656656095</v>
      </c>
      <c r="G303" s="876">
        <f t="shared" si="19"/>
        <v>12609.881180335276</v>
      </c>
    </row>
    <row r="304" spans="2:7" x14ac:dyDescent="0.3">
      <c r="B304" s="581">
        <v>295</v>
      </c>
      <c r="C304" s="876">
        <f t="shared" si="16"/>
        <v>2135.4892544088129</v>
      </c>
      <c r="D304" s="876">
        <f t="shared" si="17"/>
        <v>48.272524733902635</v>
      </c>
      <c r="E304" s="876">
        <f t="shared" si="18"/>
        <v>2087.2167296749103</v>
      </c>
      <c r="G304" s="876">
        <f t="shared" si="19"/>
        <v>10532.187214669666</v>
      </c>
    </row>
    <row r="305" spans="2:7" x14ac:dyDescent="0.3">
      <c r="B305" s="581">
        <v>296</v>
      </c>
      <c r="C305" s="876">
        <f t="shared" si="16"/>
        <v>2135.4892544088129</v>
      </c>
      <c r="D305" s="876">
        <f t="shared" si="17"/>
        <v>38.706114722892629</v>
      </c>
      <c r="E305" s="876">
        <f t="shared" si="18"/>
        <v>2096.7831396859201</v>
      </c>
      <c r="G305" s="876">
        <f t="shared" si="19"/>
        <v>8444.9704849947557</v>
      </c>
    </row>
    <row r="306" spans="2:7" x14ac:dyDescent="0.3">
      <c r="B306" s="581">
        <v>297</v>
      </c>
      <c r="C306" s="876">
        <f t="shared" si="16"/>
        <v>2135.4892544088129</v>
      </c>
      <c r="D306" s="876">
        <f t="shared" si="17"/>
        <v>29.095858665998829</v>
      </c>
      <c r="E306" s="876">
        <f t="shared" si="18"/>
        <v>2106.3933957428139</v>
      </c>
      <c r="G306" s="876">
        <f t="shared" si="19"/>
        <v>6348.1873453088356</v>
      </c>
    </row>
    <row r="307" spans="2:7" x14ac:dyDescent="0.3">
      <c r="B307" s="581">
        <v>298</v>
      </c>
      <c r="C307" s="876">
        <f t="shared" si="16"/>
        <v>2135.4892544088129</v>
      </c>
      <c r="D307" s="876">
        <f t="shared" si="17"/>
        <v>19.441555602177598</v>
      </c>
      <c r="E307" s="876">
        <f t="shared" si="18"/>
        <v>2116.0476988066353</v>
      </c>
      <c r="G307" s="876">
        <f t="shared" si="19"/>
        <v>4241.7939495660212</v>
      </c>
    </row>
    <row r="308" spans="2:7" x14ac:dyDescent="0.3">
      <c r="B308" s="581">
        <v>299</v>
      </c>
      <c r="C308" s="876">
        <f t="shared" si="16"/>
        <v>2135.4892544086997</v>
      </c>
      <c r="D308" s="876">
        <f t="shared" si="17"/>
        <v>9.7430036493138523</v>
      </c>
      <c r="E308" s="876">
        <f t="shared" si="18"/>
        <v>2125.7462507593859</v>
      </c>
      <c r="G308" s="876">
        <f t="shared" si="19"/>
        <v>2125.7462507593859</v>
      </c>
    </row>
    <row r="309" spans="2:7" x14ac:dyDescent="0.3">
      <c r="B309" s="581">
        <v>300</v>
      </c>
      <c r="C309" s="876">
        <f t="shared" si="16"/>
        <v>0</v>
      </c>
      <c r="D309" s="876">
        <f t="shared" si="17"/>
        <v>0</v>
      </c>
      <c r="E309" s="876">
        <f t="shared" si="18"/>
        <v>0</v>
      </c>
      <c r="G309" s="876">
        <f t="shared" si="19"/>
        <v>0</v>
      </c>
    </row>
    <row r="310" spans="2:7" x14ac:dyDescent="0.3">
      <c r="B310" s="581">
        <v>301</v>
      </c>
      <c r="C310" s="876">
        <f t="shared" si="16"/>
        <v>0</v>
      </c>
      <c r="D310" s="876">
        <f t="shared" si="17"/>
        <v>0</v>
      </c>
      <c r="E310" s="876">
        <f t="shared" si="18"/>
        <v>0</v>
      </c>
      <c r="G310" s="876">
        <f t="shared" si="19"/>
        <v>0</v>
      </c>
    </row>
    <row r="311" spans="2:7" x14ac:dyDescent="0.3">
      <c r="B311" s="581">
        <v>302</v>
      </c>
      <c r="C311" s="876">
        <f t="shared" si="16"/>
        <v>0</v>
      </c>
      <c r="D311" s="876">
        <f t="shared" si="17"/>
        <v>0</v>
      </c>
      <c r="E311" s="876">
        <f t="shared" si="18"/>
        <v>0</v>
      </c>
      <c r="G311" s="876">
        <f t="shared" si="19"/>
        <v>0</v>
      </c>
    </row>
    <row r="312" spans="2:7" x14ac:dyDescent="0.3">
      <c r="B312" s="581">
        <v>303</v>
      </c>
      <c r="C312" s="876">
        <f t="shared" si="16"/>
        <v>0</v>
      </c>
      <c r="D312" s="876">
        <f t="shared" si="17"/>
        <v>0</v>
      </c>
      <c r="E312" s="876">
        <f t="shared" si="18"/>
        <v>0</v>
      </c>
      <c r="G312" s="876">
        <f t="shared" si="19"/>
        <v>0</v>
      </c>
    </row>
    <row r="313" spans="2:7" x14ac:dyDescent="0.3">
      <c r="B313" s="581">
        <v>304</v>
      </c>
      <c r="C313" s="876">
        <f t="shared" si="16"/>
        <v>0</v>
      </c>
      <c r="D313" s="876">
        <f t="shared" si="17"/>
        <v>0</v>
      </c>
      <c r="E313" s="876">
        <f t="shared" si="18"/>
        <v>0</v>
      </c>
      <c r="G313" s="876">
        <f t="shared" si="19"/>
        <v>0</v>
      </c>
    </row>
    <row r="314" spans="2:7" x14ac:dyDescent="0.3">
      <c r="B314" s="581">
        <v>305</v>
      </c>
      <c r="C314" s="876">
        <f t="shared" si="16"/>
        <v>0</v>
      </c>
      <c r="D314" s="876">
        <f t="shared" si="17"/>
        <v>0</v>
      </c>
      <c r="E314" s="876">
        <f t="shared" si="18"/>
        <v>0</v>
      </c>
      <c r="G314" s="876">
        <f t="shared" si="19"/>
        <v>0</v>
      </c>
    </row>
    <row r="315" spans="2:7" x14ac:dyDescent="0.3">
      <c r="B315" s="581">
        <v>306</v>
      </c>
      <c r="C315" s="876">
        <f t="shared" si="16"/>
        <v>0</v>
      </c>
      <c r="D315" s="876">
        <f t="shared" si="17"/>
        <v>0</v>
      </c>
      <c r="E315" s="876">
        <f t="shared" si="18"/>
        <v>0</v>
      </c>
      <c r="G315" s="876">
        <f t="shared" si="19"/>
        <v>0</v>
      </c>
    </row>
    <row r="316" spans="2:7" x14ac:dyDescent="0.3">
      <c r="B316" s="581">
        <v>307</v>
      </c>
      <c r="C316" s="876">
        <f t="shared" si="16"/>
        <v>0</v>
      </c>
      <c r="D316" s="876">
        <f t="shared" si="17"/>
        <v>0</v>
      </c>
      <c r="E316" s="876">
        <f t="shared" si="18"/>
        <v>0</v>
      </c>
      <c r="G316" s="876">
        <f t="shared" si="19"/>
        <v>0</v>
      </c>
    </row>
    <row r="317" spans="2:7" x14ac:dyDescent="0.3">
      <c r="B317" s="581">
        <v>308</v>
      </c>
      <c r="C317" s="876">
        <f t="shared" si="16"/>
        <v>0</v>
      </c>
      <c r="D317" s="876">
        <f t="shared" si="17"/>
        <v>0</v>
      </c>
      <c r="E317" s="876">
        <f t="shared" si="18"/>
        <v>0</v>
      </c>
      <c r="G317" s="876">
        <f t="shared" si="19"/>
        <v>0</v>
      </c>
    </row>
    <row r="318" spans="2:7" x14ac:dyDescent="0.3">
      <c r="B318" s="581">
        <v>309</v>
      </c>
      <c r="C318" s="876">
        <f t="shared" si="16"/>
        <v>0</v>
      </c>
      <c r="D318" s="876">
        <f t="shared" si="17"/>
        <v>0</v>
      </c>
      <c r="E318" s="876">
        <f t="shared" si="18"/>
        <v>0</v>
      </c>
      <c r="G318" s="876">
        <f t="shared" si="19"/>
        <v>0</v>
      </c>
    </row>
    <row r="319" spans="2:7" x14ac:dyDescent="0.3">
      <c r="B319" s="581">
        <v>310</v>
      </c>
      <c r="C319" s="876">
        <f t="shared" si="16"/>
        <v>0</v>
      </c>
      <c r="D319" s="876">
        <f t="shared" si="17"/>
        <v>0</v>
      </c>
      <c r="E319" s="876">
        <f t="shared" si="18"/>
        <v>0</v>
      </c>
      <c r="G319" s="876">
        <f t="shared" si="19"/>
        <v>0</v>
      </c>
    </row>
    <row r="320" spans="2:7" x14ac:dyDescent="0.3">
      <c r="B320" s="581">
        <v>311</v>
      </c>
      <c r="C320" s="876">
        <f t="shared" si="16"/>
        <v>0</v>
      </c>
      <c r="D320" s="876">
        <f t="shared" si="17"/>
        <v>0</v>
      </c>
      <c r="E320" s="876">
        <f t="shared" si="18"/>
        <v>0</v>
      </c>
      <c r="G320" s="876">
        <f t="shared" si="19"/>
        <v>0</v>
      </c>
    </row>
    <row r="321" spans="2:7" x14ac:dyDescent="0.3">
      <c r="B321" s="581">
        <v>312</v>
      </c>
      <c r="C321" s="876">
        <f t="shared" si="16"/>
        <v>0</v>
      </c>
      <c r="D321" s="876">
        <f t="shared" si="17"/>
        <v>0</v>
      </c>
      <c r="E321" s="876">
        <f t="shared" si="18"/>
        <v>0</v>
      </c>
      <c r="G321" s="876">
        <f t="shared" si="19"/>
        <v>0</v>
      </c>
    </row>
    <row r="322" spans="2:7" x14ac:dyDescent="0.3">
      <c r="B322" s="581">
        <v>313</v>
      </c>
      <c r="C322" s="876">
        <f t="shared" si="16"/>
        <v>0</v>
      </c>
      <c r="D322" s="876">
        <f t="shared" si="17"/>
        <v>0</v>
      </c>
      <c r="E322" s="876">
        <f t="shared" si="18"/>
        <v>0</v>
      </c>
      <c r="G322" s="876">
        <f t="shared" si="19"/>
        <v>0</v>
      </c>
    </row>
    <row r="323" spans="2:7" x14ac:dyDescent="0.3">
      <c r="B323" s="581">
        <v>314</v>
      </c>
      <c r="C323" s="876">
        <f t="shared" si="16"/>
        <v>0</v>
      </c>
      <c r="D323" s="876">
        <f t="shared" si="17"/>
        <v>0</v>
      </c>
      <c r="E323" s="876">
        <f t="shared" si="18"/>
        <v>0</v>
      </c>
      <c r="G323" s="876">
        <f t="shared" si="19"/>
        <v>0</v>
      </c>
    </row>
    <row r="324" spans="2:7" x14ac:dyDescent="0.3">
      <c r="B324" s="581">
        <v>315</v>
      </c>
      <c r="C324" s="876">
        <f t="shared" si="16"/>
        <v>0</v>
      </c>
      <c r="D324" s="876">
        <f t="shared" si="17"/>
        <v>0</v>
      </c>
      <c r="E324" s="876">
        <f t="shared" si="18"/>
        <v>0</v>
      </c>
      <c r="G324" s="876">
        <f t="shared" si="19"/>
        <v>0</v>
      </c>
    </row>
    <row r="325" spans="2:7" x14ac:dyDescent="0.3">
      <c r="B325" s="581">
        <v>316</v>
      </c>
      <c r="C325" s="876">
        <f t="shared" si="16"/>
        <v>0</v>
      </c>
      <c r="D325" s="876">
        <f t="shared" si="17"/>
        <v>0</v>
      </c>
      <c r="E325" s="876">
        <f t="shared" si="18"/>
        <v>0</v>
      </c>
      <c r="G325" s="876">
        <f t="shared" si="19"/>
        <v>0</v>
      </c>
    </row>
    <row r="326" spans="2:7" x14ac:dyDescent="0.3">
      <c r="B326" s="581">
        <v>317</v>
      </c>
      <c r="C326" s="876">
        <f t="shared" si="16"/>
        <v>0</v>
      </c>
      <c r="D326" s="876">
        <f t="shared" si="17"/>
        <v>0</v>
      </c>
      <c r="E326" s="876">
        <f t="shared" si="18"/>
        <v>0</v>
      </c>
      <c r="G326" s="876">
        <f t="shared" si="19"/>
        <v>0</v>
      </c>
    </row>
    <row r="327" spans="2:7" x14ac:dyDescent="0.3">
      <c r="B327" s="581">
        <v>318</v>
      </c>
      <c r="C327" s="876">
        <f t="shared" si="16"/>
        <v>0</v>
      </c>
      <c r="D327" s="876">
        <f t="shared" si="17"/>
        <v>0</v>
      </c>
      <c r="E327" s="876">
        <f t="shared" si="18"/>
        <v>0</v>
      </c>
      <c r="G327" s="876">
        <f t="shared" si="19"/>
        <v>0</v>
      </c>
    </row>
    <row r="328" spans="2:7" x14ac:dyDescent="0.3">
      <c r="B328" s="581">
        <v>319</v>
      </c>
      <c r="C328" s="876">
        <f t="shared" si="16"/>
        <v>0</v>
      </c>
      <c r="D328" s="876">
        <f t="shared" si="17"/>
        <v>0</v>
      </c>
      <c r="E328" s="876">
        <f t="shared" si="18"/>
        <v>0</v>
      </c>
      <c r="G328" s="876">
        <f t="shared" si="19"/>
        <v>0</v>
      </c>
    </row>
    <row r="329" spans="2:7" x14ac:dyDescent="0.3">
      <c r="B329" s="581">
        <v>320</v>
      </c>
      <c r="C329" s="876">
        <f t="shared" si="16"/>
        <v>0</v>
      </c>
      <c r="D329" s="876">
        <f t="shared" si="17"/>
        <v>0</v>
      </c>
      <c r="E329" s="876">
        <f t="shared" si="18"/>
        <v>0</v>
      </c>
      <c r="G329" s="876">
        <f t="shared" si="19"/>
        <v>0</v>
      </c>
    </row>
    <row r="330" spans="2:7" x14ac:dyDescent="0.3">
      <c r="B330" s="581">
        <v>321</v>
      </c>
      <c r="C330" s="876">
        <f t="shared" ref="C330:C371" si="20">IF($C$3&lt;G330+(G330*($C$4/$C$6)),$C$3,G330+(G330*($C$4/$C$6)))</f>
        <v>0</v>
      </c>
      <c r="D330" s="876">
        <f t="shared" ref="D330:D371" si="21">G330*$C$4/$C$6</f>
        <v>0</v>
      </c>
      <c r="E330" s="876">
        <f t="shared" ref="E330:E371" si="22">C330-D330</f>
        <v>0</v>
      </c>
      <c r="G330" s="876">
        <f t="shared" si="19"/>
        <v>0</v>
      </c>
    </row>
    <row r="331" spans="2:7" x14ac:dyDescent="0.3">
      <c r="B331" s="581">
        <v>322</v>
      </c>
      <c r="C331" s="876">
        <f t="shared" si="20"/>
        <v>0</v>
      </c>
      <c r="D331" s="876">
        <f t="shared" si="21"/>
        <v>0</v>
      </c>
      <c r="E331" s="876">
        <f t="shared" si="22"/>
        <v>0</v>
      </c>
      <c r="G331" s="876">
        <f t="shared" ref="G331:G371" si="23">G330-E330-F330</f>
        <v>0</v>
      </c>
    </row>
    <row r="332" spans="2:7" x14ac:dyDescent="0.3">
      <c r="B332" s="581">
        <v>323</v>
      </c>
      <c r="C332" s="876">
        <f t="shared" si="20"/>
        <v>0</v>
      </c>
      <c r="D332" s="876">
        <f t="shared" si="21"/>
        <v>0</v>
      </c>
      <c r="E332" s="876">
        <f t="shared" si="22"/>
        <v>0</v>
      </c>
      <c r="G332" s="876">
        <f t="shared" si="23"/>
        <v>0</v>
      </c>
    </row>
    <row r="333" spans="2:7" x14ac:dyDescent="0.3">
      <c r="B333" s="581">
        <v>324</v>
      </c>
      <c r="C333" s="876">
        <f t="shared" si="20"/>
        <v>0</v>
      </c>
      <c r="D333" s="876">
        <f t="shared" si="21"/>
        <v>0</v>
      </c>
      <c r="E333" s="876">
        <f t="shared" si="22"/>
        <v>0</v>
      </c>
      <c r="G333" s="876">
        <f t="shared" si="23"/>
        <v>0</v>
      </c>
    </row>
    <row r="334" spans="2:7" x14ac:dyDescent="0.3">
      <c r="B334" s="581">
        <v>325</v>
      </c>
      <c r="C334" s="876">
        <f t="shared" si="20"/>
        <v>0</v>
      </c>
      <c r="D334" s="876">
        <f t="shared" si="21"/>
        <v>0</v>
      </c>
      <c r="E334" s="876">
        <f t="shared" si="22"/>
        <v>0</v>
      </c>
      <c r="G334" s="876">
        <f t="shared" si="23"/>
        <v>0</v>
      </c>
    </row>
    <row r="335" spans="2:7" x14ac:dyDescent="0.3">
      <c r="B335" s="581">
        <v>326</v>
      </c>
      <c r="C335" s="876">
        <f t="shared" si="20"/>
        <v>0</v>
      </c>
      <c r="D335" s="876">
        <f t="shared" si="21"/>
        <v>0</v>
      </c>
      <c r="E335" s="876">
        <f t="shared" si="22"/>
        <v>0</v>
      </c>
      <c r="G335" s="876">
        <f t="shared" si="23"/>
        <v>0</v>
      </c>
    </row>
    <row r="336" spans="2:7" x14ac:dyDescent="0.3">
      <c r="B336" s="581">
        <v>327</v>
      </c>
      <c r="C336" s="876">
        <f t="shared" si="20"/>
        <v>0</v>
      </c>
      <c r="D336" s="876">
        <f t="shared" si="21"/>
        <v>0</v>
      </c>
      <c r="E336" s="876">
        <f t="shared" si="22"/>
        <v>0</v>
      </c>
      <c r="G336" s="876">
        <f t="shared" si="23"/>
        <v>0</v>
      </c>
    </row>
    <row r="337" spans="2:7" x14ac:dyDescent="0.3">
      <c r="B337" s="581">
        <v>328</v>
      </c>
      <c r="C337" s="876">
        <f t="shared" si="20"/>
        <v>0</v>
      </c>
      <c r="D337" s="876">
        <f t="shared" si="21"/>
        <v>0</v>
      </c>
      <c r="E337" s="876">
        <f t="shared" si="22"/>
        <v>0</v>
      </c>
      <c r="G337" s="876">
        <f t="shared" si="23"/>
        <v>0</v>
      </c>
    </row>
    <row r="338" spans="2:7" x14ac:dyDescent="0.3">
      <c r="B338" s="581">
        <v>329</v>
      </c>
      <c r="C338" s="876">
        <f t="shared" si="20"/>
        <v>0</v>
      </c>
      <c r="D338" s="876">
        <f t="shared" si="21"/>
        <v>0</v>
      </c>
      <c r="E338" s="876">
        <f t="shared" si="22"/>
        <v>0</v>
      </c>
      <c r="G338" s="876">
        <f t="shared" si="23"/>
        <v>0</v>
      </c>
    </row>
    <row r="339" spans="2:7" x14ac:dyDescent="0.3">
      <c r="B339" s="581">
        <v>330</v>
      </c>
      <c r="C339" s="876">
        <f t="shared" si="20"/>
        <v>0</v>
      </c>
      <c r="D339" s="876">
        <f t="shared" si="21"/>
        <v>0</v>
      </c>
      <c r="E339" s="876">
        <f t="shared" si="22"/>
        <v>0</v>
      </c>
      <c r="G339" s="876">
        <f t="shared" si="23"/>
        <v>0</v>
      </c>
    </row>
    <row r="340" spans="2:7" x14ac:dyDescent="0.3">
      <c r="B340" s="581">
        <v>331</v>
      </c>
      <c r="C340" s="876">
        <f t="shared" si="20"/>
        <v>0</v>
      </c>
      <c r="D340" s="876">
        <f t="shared" si="21"/>
        <v>0</v>
      </c>
      <c r="E340" s="876">
        <f t="shared" si="22"/>
        <v>0</v>
      </c>
      <c r="G340" s="876">
        <f t="shared" si="23"/>
        <v>0</v>
      </c>
    </row>
    <row r="341" spans="2:7" x14ac:dyDescent="0.3">
      <c r="B341" s="581">
        <v>332</v>
      </c>
      <c r="C341" s="876">
        <f t="shared" si="20"/>
        <v>0</v>
      </c>
      <c r="D341" s="876">
        <f t="shared" si="21"/>
        <v>0</v>
      </c>
      <c r="E341" s="876">
        <f t="shared" si="22"/>
        <v>0</v>
      </c>
      <c r="G341" s="876">
        <f t="shared" si="23"/>
        <v>0</v>
      </c>
    </row>
    <row r="342" spans="2:7" x14ac:dyDescent="0.3">
      <c r="B342" s="581">
        <v>333</v>
      </c>
      <c r="C342" s="876">
        <f t="shared" si="20"/>
        <v>0</v>
      </c>
      <c r="D342" s="876">
        <f t="shared" si="21"/>
        <v>0</v>
      </c>
      <c r="E342" s="876">
        <f t="shared" si="22"/>
        <v>0</v>
      </c>
      <c r="G342" s="876">
        <f t="shared" si="23"/>
        <v>0</v>
      </c>
    </row>
    <row r="343" spans="2:7" x14ac:dyDescent="0.3">
      <c r="B343" s="581">
        <v>334</v>
      </c>
      <c r="C343" s="876">
        <f t="shared" si="20"/>
        <v>0</v>
      </c>
      <c r="D343" s="876">
        <f t="shared" si="21"/>
        <v>0</v>
      </c>
      <c r="E343" s="876">
        <f t="shared" si="22"/>
        <v>0</v>
      </c>
      <c r="G343" s="876">
        <f t="shared" si="23"/>
        <v>0</v>
      </c>
    </row>
    <row r="344" spans="2:7" x14ac:dyDescent="0.3">
      <c r="B344" s="581">
        <v>335</v>
      </c>
      <c r="C344" s="876">
        <f t="shared" si="20"/>
        <v>0</v>
      </c>
      <c r="D344" s="876">
        <f t="shared" si="21"/>
        <v>0</v>
      </c>
      <c r="E344" s="876">
        <f t="shared" si="22"/>
        <v>0</v>
      </c>
      <c r="G344" s="876">
        <f t="shared" si="23"/>
        <v>0</v>
      </c>
    </row>
    <row r="345" spans="2:7" x14ac:dyDescent="0.3">
      <c r="B345" s="581">
        <v>336</v>
      </c>
      <c r="C345" s="876">
        <f t="shared" si="20"/>
        <v>0</v>
      </c>
      <c r="D345" s="876">
        <f t="shared" si="21"/>
        <v>0</v>
      </c>
      <c r="E345" s="876">
        <f t="shared" si="22"/>
        <v>0</v>
      </c>
      <c r="G345" s="876">
        <f t="shared" si="23"/>
        <v>0</v>
      </c>
    </row>
    <row r="346" spans="2:7" x14ac:dyDescent="0.3">
      <c r="B346" s="581">
        <v>337</v>
      </c>
      <c r="C346" s="876">
        <f t="shared" si="20"/>
        <v>0</v>
      </c>
      <c r="D346" s="876">
        <f t="shared" si="21"/>
        <v>0</v>
      </c>
      <c r="E346" s="876">
        <f t="shared" si="22"/>
        <v>0</v>
      </c>
      <c r="G346" s="876">
        <f t="shared" si="23"/>
        <v>0</v>
      </c>
    </row>
    <row r="347" spans="2:7" x14ac:dyDescent="0.3">
      <c r="B347" s="581">
        <v>338</v>
      </c>
      <c r="C347" s="876">
        <f t="shared" si="20"/>
        <v>0</v>
      </c>
      <c r="D347" s="876">
        <f t="shared" si="21"/>
        <v>0</v>
      </c>
      <c r="E347" s="876">
        <f t="shared" si="22"/>
        <v>0</v>
      </c>
      <c r="G347" s="876">
        <f t="shared" si="23"/>
        <v>0</v>
      </c>
    </row>
    <row r="348" spans="2:7" x14ac:dyDescent="0.3">
      <c r="B348" s="581">
        <v>339</v>
      </c>
      <c r="C348" s="876">
        <f t="shared" si="20"/>
        <v>0</v>
      </c>
      <c r="D348" s="876">
        <f t="shared" si="21"/>
        <v>0</v>
      </c>
      <c r="E348" s="876">
        <f t="shared" si="22"/>
        <v>0</v>
      </c>
      <c r="G348" s="876">
        <f t="shared" si="23"/>
        <v>0</v>
      </c>
    </row>
    <row r="349" spans="2:7" x14ac:dyDescent="0.3">
      <c r="B349" s="581">
        <v>340</v>
      </c>
      <c r="C349" s="876">
        <f t="shared" si="20"/>
        <v>0</v>
      </c>
      <c r="D349" s="876">
        <f t="shared" si="21"/>
        <v>0</v>
      </c>
      <c r="E349" s="876">
        <f t="shared" si="22"/>
        <v>0</v>
      </c>
      <c r="G349" s="876">
        <f t="shared" si="23"/>
        <v>0</v>
      </c>
    </row>
    <row r="350" spans="2:7" x14ac:dyDescent="0.3">
      <c r="B350" s="581">
        <v>341</v>
      </c>
      <c r="C350" s="876">
        <f t="shared" si="20"/>
        <v>0</v>
      </c>
      <c r="D350" s="876">
        <f t="shared" si="21"/>
        <v>0</v>
      </c>
      <c r="E350" s="876">
        <f t="shared" si="22"/>
        <v>0</v>
      </c>
      <c r="G350" s="876">
        <f t="shared" si="23"/>
        <v>0</v>
      </c>
    </row>
    <row r="351" spans="2:7" x14ac:dyDescent="0.3">
      <c r="B351" s="581">
        <v>342</v>
      </c>
      <c r="C351" s="876">
        <f t="shared" si="20"/>
        <v>0</v>
      </c>
      <c r="D351" s="876">
        <f t="shared" si="21"/>
        <v>0</v>
      </c>
      <c r="E351" s="876">
        <f t="shared" si="22"/>
        <v>0</v>
      </c>
      <c r="G351" s="876">
        <f t="shared" si="23"/>
        <v>0</v>
      </c>
    </row>
    <row r="352" spans="2:7" x14ac:dyDescent="0.3">
      <c r="B352" s="581">
        <v>343</v>
      </c>
      <c r="C352" s="876">
        <f t="shared" si="20"/>
        <v>0</v>
      </c>
      <c r="D352" s="876">
        <f t="shared" si="21"/>
        <v>0</v>
      </c>
      <c r="E352" s="876">
        <f t="shared" si="22"/>
        <v>0</v>
      </c>
      <c r="G352" s="876">
        <f t="shared" si="23"/>
        <v>0</v>
      </c>
    </row>
    <row r="353" spans="2:7" x14ac:dyDescent="0.3">
      <c r="B353" s="581">
        <v>344</v>
      </c>
      <c r="C353" s="876">
        <f t="shared" si="20"/>
        <v>0</v>
      </c>
      <c r="D353" s="876">
        <f t="shared" si="21"/>
        <v>0</v>
      </c>
      <c r="E353" s="876">
        <f t="shared" si="22"/>
        <v>0</v>
      </c>
      <c r="G353" s="876">
        <f t="shared" si="23"/>
        <v>0</v>
      </c>
    </row>
    <row r="354" spans="2:7" x14ac:dyDescent="0.3">
      <c r="B354" s="581">
        <v>345</v>
      </c>
      <c r="C354" s="876">
        <f t="shared" si="20"/>
        <v>0</v>
      </c>
      <c r="D354" s="876">
        <f t="shared" si="21"/>
        <v>0</v>
      </c>
      <c r="E354" s="876">
        <f t="shared" si="22"/>
        <v>0</v>
      </c>
      <c r="G354" s="876">
        <f t="shared" si="23"/>
        <v>0</v>
      </c>
    </row>
    <row r="355" spans="2:7" x14ac:dyDescent="0.3">
      <c r="B355" s="581">
        <v>346</v>
      </c>
      <c r="C355" s="876">
        <f t="shared" si="20"/>
        <v>0</v>
      </c>
      <c r="D355" s="876">
        <f t="shared" si="21"/>
        <v>0</v>
      </c>
      <c r="E355" s="876">
        <f t="shared" si="22"/>
        <v>0</v>
      </c>
      <c r="G355" s="876">
        <f t="shared" si="23"/>
        <v>0</v>
      </c>
    </row>
    <row r="356" spans="2:7" x14ac:dyDescent="0.3">
      <c r="B356" s="581">
        <v>347</v>
      </c>
      <c r="C356" s="876">
        <f t="shared" si="20"/>
        <v>0</v>
      </c>
      <c r="D356" s="876">
        <f t="shared" si="21"/>
        <v>0</v>
      </c>
      <c r="E356" s="876">
        <f t="shared" si="22"/>
        <v>0</v>
      </c>
      <c r="G356" s="876">
        <f t="shared" si="23"/>
        <v>0</v>
      </c>
    </row>
    <row r="357" spans="2:7" x14ac:dyDescent="0.3">
      <c r="B357" s="581">
        <v>348</v>
      </c>
      <c r="C357" s="876">
        <f t="shared" si="20"/>
        <v>0</v>
      </c>
      <c r="D357" s="876">
        <f t="shared" si="21"/>
        <v>0</v>
      </c>
      <c r="E357" s="876">
        <f t="shared" si="22"/>
        <v>0</v>
      </c>
      <c r="G357" s="876">
        <f t="shared" si="23"/>
        <v>0</v>
      </c>
    </row>
    <row r="358" spans="2:7" x14ac:dyDescent="0.3">
      <c r="B358" s="581">
        <v>349</v>
      </c>
      <c r="C358" s="876">
        <f t="shared" si="20"/>
        <v>0</v>
      </c>
      <c r="D358" s="876">
        <f t="shared" si="21"/>
        <v>0</v>
      </c>
      <c r="E358" s="876">
        <f t="shared" si="22"/>
        <v>0</v>
      </c>
      <c r="G358" s="876">
        <f t="shared" si="23"/>
        <v>0</v>
      </c>
    </row>
    <row r="359" spans="2:7" x14ac:dyDescent="0.3">
      <c r="B359" s="581">
        <v>350</v>
      </c>
      <c r="C359" s="876">
        <f t="shared" si="20"/>
        <v>0</v>
      </c>
      <c r="D359" s="876">
        <f t="shared" si="21"/>
        <v>0</v>
      </c>
      <c r="E359" s="876">
        <f t="shared" si="22"/>
        <v>0</v>
      </c>
      <c r="G359" s="876">
        <f t="shared" si="23"/>
        <v>0</v>
      </c>
    </row>
    <row r="360" spans="2:7" x14ac:dyDescent="0.3">
      <c r="B360" s="581">
        <v>351</v>
      </c>
      <c r="C360" s="876">
        <f t="shared" si="20"/>
        <v>0</v>
      </c>
      <c r="D360" s="876">
        <f t="shared" si="21"/>
        <v>0</v>
      </c>
      <c r="E360" s="876">
        <f t="shared" si="22"/>
        <v>0</v>
      </c>
      <c r="G360" s="876">
        <f t="shared" si="23"/>
        <v>0</v>
      </c>
    </row>
    <row r="361" spans="2:7" x14ac:dyDescent="0.3">
      <c r="B361" s="581">
        <v>352</v>
      </c>
      <c r="C361" s="876">
        <f t="shared" si="20"/>
        <v>0</v>
      </c>
      <c r="D361" s="876">
        <f t="shared" si="21"/>
        <v>0</v>
      </c>
      <c r="E361" s="876">
        <f t="shared" si="22"/>
        <v>0</v>
      </c>
      <c r="G361" s="876">
        <f t="shared" si="23"/>
        <v>0</v>
      </c>
    </row>
    <row r="362" spans="2:7" x14ac:dyDescent="0.3">
      <c r="B362" s="581">
        <v>353</v>
      </c>
      <c r="C362" s="876">
        <f t="shared" si="20"/>
        <v>0</v>
      </c>
      <c r="D362" s="876">
        <f t="shared" si="21"/>
        <v>0</v>
      </c>
      <c r="E362" s="876">
        <f t="shared" si="22"/>
        <v>0</v>
      </c>
      <c r="G362" s="876">
        <f t="shared" si="23"/>
        <v>0</v>
      </c>
    </row>
    <row r="363" spans="2:7" x14ac:dyDescent="0.3">
      <c r="B363" s="581">
        <v>354</v>
      </c>
      <c r="C363" s="876">
        <f t="shared" si="20"/>
        <v>0</v>
      </c>
      <c r="D363" s="876">
        <f t="shared" si="21"/>
        <v>0</v>
      </c>
      <c r="E363" s="876">
        <f t="shared" si="22"/>
        <v>0</v>
      </c>
      <c r="G363" s="876">
        <f t="shared" si="23"/>
        <v>0</v>
      </c>
    </row>
    <row r="364" spans="2:7" x14ac:dyDescent="0.3">
      <c r="B364" s="581">
        <v>355</v>
      </c>
      <c r="C364" s="876">
        <f t="shared" si="20"/>
        <v>0</v>
      </c>
      <c r="D364" s="876">
        <f t="shared" si="21"/>
        <v>0</v>
      </c>
      <c r="E364" s="876">
        <f t="shared" si="22"/>
        <v>0</v>
      </c>
      <c r="G364" s="876">
        <f t="shared" si="23"/>
        <v>0</v>
      </c>
    </row>
    <row r="365" spans="2:7" x14ac:dyDescent="0.3">
      <c r="B365" s="581">
        <v>356</v>
      </c>
      <c r="C365" s="876">
        <f t="shared" si="20"/>
        <v>0</v>
      </c>
      <c r="D365" s="876">
        <f t="shared" si="21"/>
        <v>0</v>
      </c>
      <c r="E365" s="876">
        <f t="shared" si="22"/>
        <v>0</v>
      </c>
      <c r="G365" s="876">
        <f t="shared" si="23"/>
        <v>0</v>
      </c>
    </row>
    <row r="366" spans="2:7" x14ac:dyDescent="0.3">
      <c r="B366" s="581">
        <v>357</v>
      </c>
      <c r="C366" s="876">
        <f t="shared" si="20"/>
        <v>0</v>
      </c>
      <c r="D366" s="876">
        <f t="shared" si="21"/>
        <v>0</v>
      </c>
      <c r="E366" s="876">
        <f t="shared" si="22"/>
        <v>0</v>
      </c>
      <c r="G366" s="876">
        <f t="shared" si="23"/>
        <v>0</v>
      </c>
    </row>
    <row r="367" spans="2:7" x14ac:dyDescent="0.3">
      <c r="B367" s="581">
        <v>358</v>
      </c>
      <c r="C367" s="876">
        <f t="shared" si="20"/>
        <v>0</v>
      </c>
      <c r="D367" s="876">
        <f t="shared" si="21"/>
        <v>0</v>
      </c>
      <c r="E367" s="876">
        <f t="shared" si="22"/>
        <v>0</v>
      </c>
      <c r="G367" s="876">
        <f t="shared" si="23"/>
        <v>0</v>
      </c>
    </row>
    <row r="368" spans="2:7" x14ac:dyDescent="0.3">
      <c r="B368" s="581">
        <v>359</v>
      </c>
      <c r="C368" s="876">
        <f t="shared" si="20"/>
        <v>0</v>
      </c>
      <c r="D368" s="876">
        <f t="shared" si="21"/>
        <v>0</v>
      </c>
      <c r="E368" s="876">
        <f t="shared" si="22"/>
        <v>0</v>
      </c>
      <c r="G368" s="876">
        <f t="shared" si="23"/>
        <v>0</v>
      </c>
    </row>
    <row r="369" spans="2:7" x14ac:dyDescent="0.3">
      <c r="B369" s="581">
        <v>360</v>
      </c>
      <c r="C369" s="876">
        <f t="shared" si="20"/>
        <v>0</v>
      </c>
      <c r="D369" s="876">
        <f t="shared" si="21"/>
        <v>0</v>
      </c>
      <c r="E369" s="876">
        <f t="shared" si="22"/>
        <v>0</v>
      </c>
      <c r="G369" s="876">
        <f t="shared" si="23"/>
        <v>0</v>
      </c>
    </row>
    <row r="370" spans="2:7" x14ac:dyDescent="0.3">
      <c r="B370" s="581">
        <v>361</v>
      </c>
      <c r="C370" s="876">
        <f t="shared" si="20"/>
        <v>0</v>
      </c>
      <c r="D370" s="876">
        <f t="shared" si="21"/>
        <v>0</v>
      </c>
      <c r="E370" s="876">
        <f t="shared" si="22"/>
        <v>0</v>
      </c>
      <c r="G370" s="876">
        <f t="shared" si="23"/>
        <v>0</v>
      </c>
    </row>
    <row r="371" spans="2:7" x14ac:dyDescent="0.3">
      <c r="B371" s="581">
        <v>362</v>
      </c>
      <c r="C371" s="876">
        <f t="shared" si="20"/>
        <v>0</v>
      </c>
      <c r="D371" s="876">
        <f t="shared" si="21"/>
        <v>0</v>
      </c>
      <c r="E371" s="876">
        <f t="shared" si="22"/>
        <v>0</v>
      </c>
      <c r="G371" s="876">
        <f t="shared" si="23"/>
        <v>0</v>
      </c>
    </row>
  </sheetData>
  <sheetProtection algorithmName="SHA-512" hashValue="LBrDOuXvCG2u/LMgYwou3pFM0sOcpOlzpT9v6E9Gn3Slvtz50b2UiHiVSi6scmdAq6uIVAkXZuuRjv0dY1ro7g==" saltValue="Xj2BUA77W2Q6NlXc9/j18g==" spinCount="100000" sheet="1" objects="1" scenarios="1"/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4"/>
  </sheetPr>
  <dimension ref="A1:A70"/>
  <sheetViews>
    <sheetView workbookViewId="0"/>
  </sheetViews>
  <sheetFormatPr defaultColWidth="8.77734375" defaultRowHeight="13.8" x14ac:dyDescent="0.25"/>
  <cols>
    <col min="1" max="1" width="5.6640625" style="550" customWidth="1"/>
    <col min="2" max="13" width="8.77734375" style="550"/>
    <col min="14" max="14" width="25.44140625" style="550" customWidth="1"/>
    <col min="15" max="16384" width="8.77734375" style="550"/>
  </cols>
  <sheetData>
    <row r="1" spans="1:1" ht="14.4" x14ac:dyDescent="0.3">
      <c r="A1" s="733" t="s">
        <v>454</v>
      </c>
    </row>
    <row r="70" spans="1:1" x14ac:dyDescent="0.25">
      <c r="A70" s="551"/>
    </row>
  </sheetData>
  <sheetProtection algorithmName="SHA-512" hashValue="0uqXezNW8YNO23S93Ex4V9ZJ1lno0x+PGMqgRPAmI6istPOXwPgIaIACgemctti90A9PR7jtbxLtVq65YTF1gQ==" saltValue="eWoII5J4gzCa42CbKZb6wA==" spinCount="100000" sheet="1" objects="1" scenarios="1"/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FAB-509C-4139-833B-C5953F857165}">
  <sheetPr codeName="Sheet19">
    <tabColor theme="6" tint="-0.249977111117893"/>
  </sheetPr>
  <dimension ref="A1:J35"/>
  <sheetViews>
    <sheetView topLeftCell="A9" workbookViewId="0">
      <selection activeCell="C26" sqref="C26"/>
    </sheetView>
  </sheetViews>
  <sheetFormatPr defaultColWidth="0" defaultRowHeight="14.4" zeroHeight="1" x14ac:dyDescent="0.3"/>
  <cols>
    <col min="1" max="1" width="5.21875" style="581" customWidth="1"/>
    <col min="2" max="2" width="24.21875" style="581" customWidth="1"/>
    <col min="3" max="3" width="19.109375" style="581" customWidth="1"/>
    <col min="4" max="4" width="3.88671875" style="581" customWidth="1"/>
    <col min="5" max="5" width="19.109375" style="581" customWidth="1"/>
    <col min="6" max="6" width="20" style="581" customWidth="1"/>
    <col min="7" max="7" width="3.44140625" style="581" customWidth="1"/>
    <col min="8" max="8" width="20.88671875" style="581" customWidth="1"/>
    <col min="9" max="9" width="15" style="581" customWidth="1"/>
    <col min="10" max="10" width="8.77734375" style="581" customWidth="1"/>
    <col min="11" max="16384" width="8.77734375" style="581" hidden="1"/>
  </cols>
  <sheetData>
    <row r="1" spans="1:9" x14ac:dyDescent="0.3">
      <c r="A1" s="626" t="s">
        <v>454</v>
      </c>
    </row>
    <row r="2" spans="1:9" ht="16.2" thickBot="1" x14ac:dyDescent="0.35">
      <c r="A2" s="808" t="s">
        <v>293</v>
      </c>
      <c r="E2" s="808" t="s">
        <v>294</v>
      </c>
      <c r="H2" s="809" t="s">
        <v>305</v>
      </c>
    </row>
    <row r="3" spans="1:9" x14ac:dyDescent="0.3">
      <c r="B3" s="810" t="s">
        <v>281</v>
      </c>
      <c r="C3" s="811">
        <f>SUM(C4:C7)</f>
        <v>208200</v>
      </c>
      <c r="E3" s="821" t="s">
        <v>281</v>
      </c>
      <c r="F3" s="822">
        <f>SUM(F4:F7)</f>
        <v>208200</v>
      </c>
      <c r="H3" s="832" t="s">
        <v>281</v>
      </c>
      <c r="I3" s="833">
        <f>SUM(I4:I7)</f>
        <v>208200</v>
      </c>
    </row>
    <row r="4" spans="1:9" x14ac:dyDescent="0.3">
      <c r="B4" s="812" t="s">
        <v>160</v>
      </c>
      <c r="C4" s="813">
        <f>'Total Result'!C17</f>
        <v>187250</v>
      </c>
      <c r="E4" s="823" t="s">
        <v>160</v>
      </c>
      <c r="F4" s="824">
        <f>C4</f>
        <v>187250</v>
      </c>
      <c r="H4" s="834" t="s">
        <v>160</v>
      </c>
      <c r="I4" s="835">
        <f>C4</f>
        <v>187250</v>
      </c>
    </row>
    <row r="5" spans="1:9" x14ac:dyDescent="0.3">
      <c r="B5" s="812" t="s">
        <v>94</v>
      </c>
      <c r="C5" s="813">
        <f>'Total Result'!C18</f>
        <v>20950</v>
      </c>
      <c r="E5" s="823" t="s">
        <v>94</v>
      </c>
      <c r="F5" s="824">
        <f>C5</f>
        <v>20950</v>
      </c>
      <c r="H5" s="834" t="s">
        <v>94</v>
      </c>
      <c r="I5" s="835">
        <f>C5</f>
        <v>20950</v>
      </c>
    </row>
    <row r="6" spans="1:9" x14ac:dyDescent="0.3">
      <c r="B6" s="812" t="s">
        <v>15</v>
      </c>
      <c r="C6" s="813">
        <f>'ROI Number insert'!F13</f>
        <v>0</v>
      </c>
      <c r="E6" s="823" t="s">
        <v>15</v>
      </c>
      <c r="F6" s="824">
        <f>C6</f>
        <v>0</v>
      </c>
      <c r="H6" s="834" t="s">
        <v>15</v>
      </c>
      <c r="I6" s="835">
        <f>C6</f>
        <v>0</v>
      </c>
    </row>
    <row r="7" spans="1:9" ht="15" thickBot="1" x14ac:dyDescent="0.35">
      <c r="B7" s="812" t="s">
        <v>26</v>
      </c>
      <c r="C7" s="813">
        <f>'ROI Number insert'!F15</f>
        <v>0</v>
      </c>
      <c r="E7" s="823" t="s">
        <v>26</v>
      </c>
      <c r="F7" s="824">
        <f>C7</f>
        <v>0</v>
      </c>
      <c r="H7" s="834" t="s">
        <v>26</v>
      </c>
      <c r="I7" s="835">
        <f>C7</f>
        <v>0</v>
      </c>
    </row>
    <row r="8" spans="1:9" ht="15.6" thickTop="1" thickBot="1" x14ac:dyDescent="0.35">
      <c r="B8" s="812" t="s">
        <v>282</v>
      </c>
      <c r="C8" s="674">
        <v>7.0000000000000007E-2</v>
      </c>
      <c r="E8" s="823" t="s">
        <v>282</v>
      </c>
      <c r="F8" s="674">
        <v>0.13</v>
      </c>
      <c r="H8" s="834" t="s">
        <v>282</v>
      </c>
      <c r="I8" s="674">
        <v>0.15</v>
      </c>
    </row>
    <row r="9" spans="1:9" ht="15.6" thickTop="1" thickBot="1" x14ac:dyDescent="0.35">
      <c r="B9" s="812" t="s">
        <v>275</v>
      </c>
      <c r="C9" s="674">
        <v>4.7500000000000001E-2</v>
      </c>
      <c r="E9" s="823" t="s">
        <v>275</v>
      </c>
      <c r="F9" s="847">
        <f>C9</f>
        <v>4.7500000000000001E-2</v>
      </c>
      <c r="H9" s="836" t="s">
        <v>275</v>
      </c>
      <c r="I9" s="848">
        <f>C9</f>
        <v>4.7500000000000001E-2</v>
      </c>
    </row>
    <row r="10" spans="1:9" ht="15" thickTop="1" x14ac:dyDescent="0.3">
      <c r="B10" s="812" t="s">
        <v>283</v>
      </c>
      <c r="C10" s="814">
        <f>C3*-1</f>
        <v>-208200</v>
      </c>
      <c r="E10" s="823" t="s">
        <v>283</v>
      </c>
      <c r="F10" s="825">
        <f>F3*-1</f>
        <v>-208200</v>
      </c>
      <c r="H10" s="832" t="s">
        <v>283</v>
      </c>
      <c r="I10" s="837">
        <f>I3*-1</f>
        <v>-208200</v>
      </c>
    </row>
    <row r="11" spans="1:9" x14ac:dyDescent="0.3">
      <c r="B11" s="812" t="s">
        <v>284</v>
      </c>
      <c r="C11" s="814">
        <f>'ROI details'!C32</f>
        <v>11818.039697682478</v>
      </c>
      <c r="E11" s="823" t="s">
        <v>284</v>
      </c>
      <c r="F11" s="825">
        <f>C11</f>
        <v>11818.039697682478</v>
      </c>
      <c r="H11" s="834" t="s">
        <v>205</v>
      </c>
      <c r="I11" s="838">
        <f>'ROI details'!I19</f>
        <v>55683.229712</v>
      </c>
    </row>
    <row r="12" spans="1:9" x14ac:dyDescent="0.3">
      <c r="B12" s="812" t="s">
        <v>285</v>
      </c>
      <c r="C12" s="815">
        <f>'ROI details'!C33</f>
        <v>12083.030261580127</v>
      </c>
      <c r="E12" s="823" t="s">
        <v>285</v>
      </c>
      <c r="F12" s="826">
        <f>C12</f>
        <v>12083.030261580127</v>
      </c>
      <c r="H12" s="834" t="s">
        <v>289</v>
      </c>
      <c r="I12" s="839">
        <f>NPV(I9,I11)-I3</f>
        <v>-155041.78547780431</v>
      </c>
    </row>
    <row r="13" spans="1:9" x14ac:dyDescent="0.3">
      <c r="B13" s="812" t="s">
        <v>286</v>
      </c>
      <c r="C13" s="815">
        <f>'ROI details'!C34</f>
        <v>12334.690962187833</v>
      </c>
      <c r="E13" s="823" t="s">
        <v>286</v>
      </c>
      <c r="F13" s="826">
        <f>C13</f>
        <v>12334.690962187833</v>
      </c>
      <c r="H13" s="834" t="s">
        <v>20</v>
      </c>
      <c r="I13" s="840">
        <f>C27</f>
        <v>0.35</v>
      </c>
    </row>
    <row r="14" spans="1:9" x14ac:dyDescent="0.3">
      <c r="B14" s="812" t="s">
        <v>287</v>
      </c>
      <c r="C14" s="815">
        <f>'ROI details'!C35</f>
        <v>12572.037959768924</v>
      </c>
      <c r="E14" s="823" t="s">
        <v>287</v>
      </c>
      <c r="F14" s="826">
        <f>C14</f>
        <v>12572.037959768924</v>
      </c>
      <c r="H14" s="834" t="s">
        <v>95</v>
      </c>
      <c r="I14" s="839">
        <f>(I12-I6-I7-I5)*C34/I13</f>
        <v>-452550.30551435397</v>
      </c>
    </row>
    <row r="15" spans="1:9" x14ac:dyDescent="0.3">
      <c r="B15" s="812" t="s">
        <v>288</v>
      </c>
      <c r="C15" s="815">
        <f>'ROI details'!C36</f>
        <v>12794.040123956904</v>
      </c>
      <c r="E15" s="823" t="s">
        <v>288</v>
      </c>
      <c r="F15" s="826">
        <f>C15+'ROI details'!I4</f>
        <v>50814.94211511239</v>
      </c>
      <c r="H15" s="834" t="s">
        <v>290</v>
      </c>
      <c r="I15" s="841">
        <f>IRR(I10:I11)</f>
        <v>-0.7325493289529299</v>
      </c>
    </row>
    <row r="16" spans="1:9" x14ac:dyDescent="0.3">
      <c r="B16" s="812" t="s">
        <v>295</v>
      </c>
      <c r="C16" s="815">
        <f>'ROI details'!C37</f>
        <v>12999.617024810119</v>
      </c>
      <c r="E16" s="823" t="s">
        <v>295</v>
      </c>
      <c r="F16" s="826">
        <f>C16</f>
        <v>12999.617024810119</v>
      </c>
      <c r="H16" s="834" t="s">
        <v>291</v>
      </c>
      <c r="I16" s="842">
        <f>I12+I3</f>
        <v>53158.214522195689</v>
      </c>
    </row>
    <row r="17" spans="2:9" ht="15" thickBot="1" x14ac:dyDescent="0.35">
      <c r="B17" s="812" t="s">
        <v>296</v>
      </c>
      <c r="C17" s="815">
        <f>'ROI details'!C38</f>
        <v>13187.636842757071</v>
      </c>
      <c r="E17" s="823" t="s">
        <v>296</v>
      </c>
      <c r="F17" s="826">
        <f>C17</f>
        <v>13187.636842757071</v>
      </c>
      <c r="H17" s="843" t="s">
        <v>292</v>
      </c>
      <c r="I17" s="844">
        <f>I16/I3</f>
        <v>0.25532283632178526</v>
      </c>
    </row>
    <row r="18" spans="2:9" x14ac:dyDescent="0.3">
      <c r="B18" s="812" t="s">
        <v>297</v>
      </c>
      <c r="C18" s="815">
        <f>'ROI details'!C39</f>
        <v>13356.914194234043</v>
      </c>
      <c r="E18" s="823" t="s">
        <v>297</v>
      </c>
      <c r="F18" s="826">
        <f>C18</f>
        <v>13356.914194234043</v>
      </c>
      <c r="H18" s="832" t="s">
        <v>283</v>
      </c>
      <c r="I18" s="837">
        <f>I10</f>
        <v>-208200</v>
      </c>
    </row>
    <row r="19" spans="2:9" x14ac:dyDescent="0.3">
      <c r="B19" s="812" t="s">
        <v>298</v>
      </c>
      <c r="C19" s="815">
        <f>'ROI details'!C40</f>
        <v>13506.2078696928</v>
      </c>
      <c r="E19" s="823" t="s">
        <v>298</v>
      </c>
      <c r="F19" s="826">
        <f>C19</f>
        <v>13506.2078696928</v>
      </c>
      <c r="H19" s="845" t="s">
        <v>144</v>
      </c>
      <c r="I19" s="846">
        <f>'ROI details'!I20</f>
        <v>85889.341388454428</v>
      </c>
    </row>
    <row r="20" spans="2:9" x14ac:dyDescent="0.3">
      <c r="B20" s="812" t="s">
        <v>299</v>
      </c>
      <c r="C20" s="815">
        <f>'ROI details'!C41</f>
        <v>13634.218480525575</v>
      </c>
      <c r="E20" s="823" t="s">
        <v>299</v>
      </c>
      <c r="F20" s="826">
        <f>C20+'ROI details'!I8-'ROI details'!I4</f>
        <v>62945.831337238058</v>
      </c>
      <c r="H20" s="834" t="s">
        <v>289</v>
      </c>
      <c r="I20" s="839">
        <f>NPV(I9,I19)-I3</f>
        <v>-126205.40201579531</v>
      </c>
    </row>
    <row r="21" spans="2:9" x14ac:dyDescent="0.3">
      <c r="B21" s="812" t="s">
        <v>300</v>
      </c>
      <c r="C21" s="815">
        <f>'ROI details'!C42</f>
        <v>13739.58601132167</v>
      </c>
      <c r="E21" s="823" t="s">
        <v>300</v>
      </c>
      <c r="F21" s="826">
        <f>C21</f>
        <v>13739.58601132167</v>
      </c>
      <c r="H21" s="834" t="s">
        <v>20</v>
      </c>
      <c r="I21" s="840">
        <f>C27</f>
        <v>0.35</v>
      </c>
    </row>
    <row r="22" spans="2:9" x14ac:dyDescent="0.3">
      <c r="B22" s="812" t="s">
        <v>301</v>
      </c>
      <c r="C22" s="815">
        <f>'ROI details'!C43</f>
        <v>13820.887273728586</v>
      </c>
      <c r="E22" s="823" t="s">
        <v>301</v>
      </c>
      <c r="F22" s="826">
        <f>C22</f>
        <v>13820.887273728586</v>
      </c>
      <c r="H22" s="834" t="s">
        <v>95</v>
      </c>
      <c r="I22" s="839">
        <f>(I20-I6-I7-I5)*C34/I13</f>
        <v>-378399.60518347367</v>
      </c>
    </row>
    <row r="23" spans="2:9" x14ac:dyDescent="0.3">
      <c r="B23" s="812" t="s">
        <v>302</v>
      </c>
      <c r="C23" s="815">
        <f>'ROI details'!C44</f>
        <v>13876.633258046873</v>
      </c>
      <c r="E23" s="823" t="s">
        <v>302</v>
      </c>
      <c r="F23" s="826">
        <f>C23</f>
        <v>13876.633258046873</v>
      </c>
      <c r="H23" s="834" t="s">
        <v>290</v>
      </c>
      <c r="I23" s="841">
        <f>IRR(I18:I19)</f>
        <v>-0.58746714030521408</v>
      </c>
    </row>
    <row r="24" spans="2:9" x14ac:dyDescent="0.3">
      <c r="B24" s="812" t="s">
        <v>303</v>
      </c>
      <c r="C24" s="815">
        <f>'ROI details'!C45</f>
        <v>13905.266378536238</v>
      </c>
      <c r="E24" s="823" t="s">
        <v>303</v>
      </c>
      <c r="F24" s="826">
        <f>C24</f>
        <v>13905.266378536238</v>
      </c>
      <c r="H24" s="834" t="s">
        <v>291</v>
      </c>
      <c r="I24" s="842">
        <f>I20+I3</f>
        <v>81994.597984204695</v>
      </c>
    </row>
    <row r="25" spans="2:9" ht="15" thickBot="1" x14ac:dyDescent="0.35">
      <c r="B25" s="812" t="s">
        <v>304</v>
      </c>
      <c r="C25" s="815">
        <f>'ROI details'!C46</f>
        <v>13905.157608254827</v>
      </c>
      <c r="E25" s="823" t="s">
        <v>304</v>
      </c>
      <c r="F25" s="826">
        <f>C25+'ROI details'!I12</f>
        <v>166117.14752154454</v>
      </c>
      <c r="H25" s="843" t="s">
        <v>292</v>
      </c>
      <c r="I25" s="844">
        <f>I24/I10</f>
        <v>-0.39382611904036835</v>
      </c>
    </row>
    <row r="26" spans="2:9" x14ac:dyDescent="0.3">
      <c r="B26" s="812" t="s">
        <v>289</v>
      </c>
      <c r="C26" s="815">
        <f>NPV(C9,C11:C25)-C3</f>
        <v>-70585.243723417661</v>
      </c>
      <c r="E26" s="823" t="s">
        <v>289</v>
      </c>
      <c r="F26" s="826">
        <f>NPV(F9,F11:F25)-F3</f>
        <v>66447.625230970443</v>
      </c>
      <c r="H26" s="832" t="s">
        <v>283</v>
      </c>
      <c r="I26" s="837">
        <f>I10</f>
        <v>-208200</v>
      </c>
    </row>
    <row r="27" spans="2:9" x14ac:dyDescent="0.3">
      <c r="B27" s="812" t="s">
        <v>20</v>
      </c>
      <c r="C27" s="816">
        <f>'ROI Number insert'!F9</f>
        <v>0.35</v>
      </c>
      <c r="E27" s="823" t="s">
        <v>20</v>
      </c>
      <c r="F27" s="827">
        <f>C27</f>
        <v>0.35</v>
      </c>
      <c r="H27" s="834" t="s">
        <v>148</v>
      </c>
      <c r="I27" s="838">
        <f>'ROI details'!I21</f>
        <v>185039.56100340909</v>
      </c>
    </row>
    <row r="28" spans="2:9" x14ac:dyDescent="0.3">
      <c r="B28" s="812" t="s">
        <v>95</v>
      </c>
      <c r="C28" s="815">
        <f>(C26-C6-C7-C5)*C34/C27</f>
        <v>-235376.34100307399</v>
      </c>
      <c r="E28" s="823" t="s">
        <v>95</v>
      </c>
      <c r="F28" s="826">
        <f>(F26-F6-F7-F5)*C34/F27</f>
        <v>116993.89345106686</v>
      </c>
      <c r="H28" s="834" t="s">
        <v>289</v>
      </c>
      <c r="I28" s="839">
        <f>NPV(I9,I27)-I3</f>
        <v>-31551.254412019975</v>
      </c>
    </row>
    <row r="29" spans="2:9" x14ac:dyDescent="0.3">
      <c r="B29" s="812" t="s">
        <v>290</v>
      </c>
      <c r="C29" s="817">
        <f>IRR(C10:C25)</f>
        <v>-6.335357939015962E-3</v>
      </c>
      <c r="E29" s="823" t="s">
        <v>290</v>
      </c>
      <c r="F29" s="828">
        <f>IRR(F10:F25)</f>
        <v>7.9599456157823489E-2</v>
      </c>
      <c r="H29" s="834" t="s">
        <v>20</v>
      </c>
      <c r="I29" s="840">
        <f>C27</f>
        <v>0.35</v>
      </c>
    </row>
    <row r="30" spans="2:9" x14ac:dyDescent="0.3">
      <c r="B30" s="812" t="s">
        <v>291</v>
      </c>
      <c r="C30" s="818">
        <f>C26+C3</f>
        <v>137614.75627658234</v>
      </c>
      <c r="E30" s="823" t="s">
        <v>291</v>
      </c>
      <c r="F30" s="829">
        <f>F26+F3</f>
        <v>274647.62523097044</v>
      </c>
      <c r="H30" s="834" t="s">
        <v>95</v>
      </c>
      <c r="I30" s="839">
        <f>(I28-I6-I7-I5)*C34/I13</f>
        <v>-135003.22563090851</v>
      </c>
    </row>
    <row r="31" spans="2:9" ht="15" thickBot="1" x14ac:dyDescent="0.35">
      <c r="B31" s="819" t="s">
        <v>292</v>
      </c>
      <c r="C31" s="820">
        <f>C30/C3</f>
        <v>0.66097385339376724</v>
      </c>
      <c r="E31" s="830" t="s">
        <v>292</v>
      </c>
      <c r="F31" s="831">
        <f>F30/F3</f>
        <v>1.3191528589383787</v>
      </c>
      <c r="H31" s="834" t="s">
        <v>290</v>
      </c>
      <c r="I31" s="841">
        <f>IRR(I26:I27)</f>
        <v>-0.11124130161667101</v>
      </c>
    </row>
    <row r="32" spans="2:9" x14ac:dyDescent="0.3">
      <c r="H32" s="834" t="s">
        <v>291</v>
      </c>
      <c r="I32" s="842">
        <f>I28+I19</f>
        <v>54338.086976434453</v>
      </c>
    </row>
    <row r="33" spans="2:9" ht="15" thickBot="1" x14ac:dyDescent="0.35">
      <c r="H33" s="843" t="s">
        <v>292</v>
      </c>
      <c r="I33" s="844">
        <f>I32/I19</f>
        <v>0.63265227207503982</v>
      </c>
    </row>
    <row r="34" spans="2:9" x14ac:dyDescent="0.3">
      <c r="B34" s="581" t="s">
        <v>520</v>
      </c>
      <c r="C34" s="917">
        <v>0.9</v>
      </c>
    </row>
    <row r="35" spans="2:9" x14ac:dyDescent="0.3"/>
  </sheetData>
  <sheetProtection algorithmName="SHA-512" hashValue="drIIX5lk9G/Q5hq5IX1l9mfuwKLx2Clb0jA5EfffjmsnEnq5oaYkxKvJTRyrof5Nkwc0m0Hh3VV7yIJ/zGI9Hg==" saltValue="/z/zpAbzsdlEIuWZTvR4sA==" spinCount="100000" sheet="1" objects="1" scenarios="1"/>
  <hyperlinks>
    <hyperlink ref="A1" location="'Table of contents'!A1" display="Table of contents" xr:uid="{950EB45E-DF0F-41D3-A026-B15CC5665D68}"/>
  </hyperlink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E85-8BB3-4347-A831-DBE7CB9E4D70}">
  <sheetPr codeName="Sheet4">
    <tabColor theme="6"/>
  </sheetPr>
  <dimension ref="A1:F38"/>
  <sheetViews>
    <sheetView workbookViewId="0"/>
  </sheetViews>
  <sheetFormatPr defaultColWidth="8.77734375" defaultRowHeight="14.4" x14ac:dyDescent="0.3"/>
  <cols>
    <col min="1" max="1" width="3.77734375" style="1" customWidth="1"/>
    <col min="2" max="2" width="4" style="1" customWidth="1"/>
    <col min="3" max="3" width="46.88671875" style="1" customWidth="1"/>
    <col min="4" max="4" width="17.21875" style="1" customWidth="1"/>
    <col min="5" max="16384" width="8.77734375" style="1"/>
  </cols>
  <sheetData>
    <row r="1" spans="1:6" x14ac:dyDescent="0.3">
      <c r="A1" s="626" t="s">
        <v>454</v>
      </c>
    </row>
    <row r="2" spans="1:6" x14ac:dyDescent="0.3">
      <c r="A2" s="552" t="s">
        <v>348</v>
      </c>
    </row>
    <row r="3" spans="1:6" ht="28.95" customHeight="1" x14ac:dyDescent="0.35">
      <c r="A3" s="120"/>
      <c r="B3" s="993" t="s">
        <v>361</v>
      </c>
      <c r="C3" s="993"/>
      <c r="D3" s="993"/>
      <c r="E3" s="993"/>
      <c r="F3" s="993"/>
    </row>
    <row r="4" spans="1:6" x14ac:dyDescent="0.3">
      <c r="C4" s="1" t="s">
        <v>358</v>
      </c>
      <c r="D4" s="127">
        <f>'Total Result'!C21</f>
        <v>208200</v>
      </c>
    </row>
    <row r="5" spans="1:6" x14ac:dyDescent="0.3">
      <c r="C5" s="1" t="s">
        <v>349</v>
      </c>
      <c r="D5" s="292">
        <v>25000</v>
      </c>
      <c r="F5" s="427"/>
    </row>
    <row r="6" spans="1:6" x14ac:dyDescent="0.3">
      <c r="C6" s="1" t="s">
        <v>350</v>
      </c>
      <c r="D6" s="1">
        <f>ROUNDUP(D4/D5,0)+2</f>
        <v>11</v>
      </c>
    </row>
    <row r="7" spans="1:6" x14ac:dyDescent="0.3">
      <c r="C7" s="1" t="s">
        <v>359</v>
      </c>
      <c r="D7" s="127">
        <f>D6*D5</f>
        <v>275000</v>
      </c>
    </row>
    <row r="8" spans="1:6" x14ac:dyDescent="0.3">
      <c r="B8" s="290" t="s">
        <v>363</v>
      </c>
      <c r="D8" s="127"/>
    </row>
    <row r="9" spans="1:6" x14ac:dyDescent="0.3">
      <c r="C9" s="1" t="s">
        <v>360</v>
      </c>
      <c r="D9" s="127">
        <f>D7-D4</f>
        <v>66800</v>
      </c>
    </row>
    <row r="10" spans="1:6" ht="28.95" customHeight="1" x14ac:dyDescent="0.3">
      <c r="B10" s="994" t="s">
        <v>367</v>
      </c>
      <c r="C10" s="994"/>
      <c r="D10" s="994"/>
      <c r="E10" s="994"/>
      <c r="F10" s="994"/>
    </row>
    <row r="11" spans="1:6" ht="14.55" customHeight="1" x14ac:dyDescent="0.3">
      <c r="B11" s="421"/>
      <c r="C11" s="422" t="s">
        <v>368</v>
      </c>
      <c r="D11" s="423">
        <f>D9/D6</f>
        <v>6072.727272727273</v>
      </c>
      <c r="E11" s="421"/>
      <c r="F11" s="421"/>
    </row>
    <row r="12" spans="1:6" x14ac:dyDescent="0.3">
      <c r="B12" s="553" t="s">
        <v>356</v>
      </c>
      <c r="D12" s="127"/>
    </row>
    <row r="13" spans="1:6" x14ac:dyDescent="0.3">
      <c r="C13" s="427" t="s">
        <v>351</v>
      </c>
      <c r="D13" s="127">
        <f>'Financial Statement'!C22/12</f>
        <v>984.83664147353977</v>
      </c>
    </row>
    <row r="14" spans="1:6" x14ac:dyDescent="0.3">
      <c r="C14" s="427" t="s">
        <v>355</v>
      </c>
      <c r="D14" s="127">
        <f>D13*85%</f>
        <v>837.11114525250878</v>
      </c>
    </row>
    <row r="15" spans="1:6" x14ac:dyDescent="0.3">
      <c r="C15" s="1" t="s">
        <v>353</v>
      </c>
      <c r="D15" s="127">
        <f>D14/D6</f>
        <v>76.101013204773523</v>
      </c>
    </row>
    <row r="16" spans="1:6" x14ac:dyDescent="0.3">
      <c r="C16" s="1" t="s">
        <v>354</v>
      </c>
      <c r="D16" s="412">
        <f>D15*12/D5</f>
        <v>3.652848633829129E-2</v>
      </c>
    </row>
    <row r="17" spans="1:6" x14ac:dyDescent="0.3">
      <c r="C17" s="1" t="s">
        <v>352</v>
      </c>
      <c r="D17" s="127">
        <f>D13-D14</f>
        <v>147.72549622103099</v>
      </c>
    </row>
    <row r="18" spans="1:6" x14ac:dyDescent="0.3">
      <c r="C18" s="1" t="s">
        <v>357</v>
      </c>
      <c r="D18" s="424">
        <f>'Total Result'!C13</f>
        <v>17.617134933201154</v>
      </c>
    </row>
    <row r="19" spans="1:6" ht="28.95" customHeight="1" x14ac:dyDescent="0.35">
      <c r="A19" s="120"/>
      <c r="B19" s="993" t="s">
        <v>362</v>
      </c>
      <c r="C19" s="993"/>
      <c r="D19" s="993"/>
      <c r="E19" s="993"/>
      <c r="F19" s="993"/>
    </row>
    <row r="20" spans="1:6" x14ac:dyDescent="0.3">
      <c r="C20" s="1" t="s">
        <v>364</v>
      </c>
    </row>
    <row r="21" spans="1:6" x14ac:dyDescent="0.3">
      <c r="C21" s="1" t="s">
        <v>365</v>
      </c>
    </row>
    <row r="22" spans="1:6" x14ac:dyDescent="0.3">
      <c r="B22" s="290" t="s">
        <v>366</v>
      </c>
    </row>
    <row r="23" spans="1:6" ht="41.55" customHeight="1" x14ac:dyDescent="0.3">
      <c r="B23" s="994" t="s">
        <v>369</v>
      </c>
      <c r="C23" s="994"/>
      <c r="D23" s="994"/>
      <c r="E23" s="994"/>
      <c r="F23" s="994"/>
    </row>
    <row r="24" spans="1:6" x14ac:dyDescent="0.3">
      <c r="C24" s="1" t="s">
        <v>370</v>
      </c>
    </row>
    <row r="25" spans="1:6" x14ac:dyDescent="0.3">
      <c r="C25" s="1" t="s">
        <v>371</v>
      </c>
    </row>
    <row r="26" spans="1:6" ht="28.95" customHeight="1" x14ac:dyDescent="0.3">
      <c r="C26" s="995" t="s">
        <v>372</v>
      </c>
      <c r="D26" s="995"/>
      <c r="E26" s="995"/>
      <c r="F26" s="995"/>
    </row>
    <row r="28" spans="1:6" ht="18" x14ac:dyDescent="0.35">
      <c r="A28" s="120" t="s">
        <v>373</v>
      </c>
    </row>
    <row r="29" spans="1:6" x14ac:dyDescent="0.3">
      <c r="B29" s="290" t="s">
        <v>382</v>
      </c>
    </row>
    <row r="30" spans="1:6" x14ac:dyDescent="0.3">
      <c r="C30" s="1" t="s">
        <v>374</v>
      </c>
    </row>
    <row r="31" spans="1:6" x14ac:dyDescent="0.3">
      <c r="C31" s="1" t="s">
        <v>375</v>
      </c>
      <c r="D31" s="127">
        <f>'Total Result'!C25</f>
        <v>1588000</v>
      </c>
    </row>
    <row r="32" spans="1:6" x14ac:dyDescent="0.3">
      <c r="C32" s="1" t="s">
        <v>376</v>
      </c>
      <c r="D32" s="127">
        <f>'Total Result'!C26</f>
        <v>535000</v>
      </c>
    </row>
    <row r="33" spans="2:4" x14ac:dyDescent="0.3">
      <c r="C33" s="1" t="s">
        <v>377</v>
      </c>
      <c r="D33" s="127">
        <f>D31-D32</f>
        <v>1053000</v>
      </c>
    </row>
    <row r="34" spans="2:4" x14ac:dyDescent="0.3">
      <c r="C34" s="1" t="s">
        <v>378</v>
      </c>
      <c r="D34" s="127">
        <f>D33*10%</f>
        <v>105300</v>
      </c>
    </row>
    <row r="35" spans="2:4" x14ac:dyDescent="0.3">
      <c r="C35" s="1" t="s">
        <v>379</v>
      </c>
      <c r="D35" s="127">
        <f>D32+D34</f>
        <v>640300</v>
      </c>
    </row>
    <row r="36" spans="2:4" x14ac:dyDescent="0.3">
      <c r="C36" s="1" t="s">
        <v>380</v>
      </c>
      <c r="D36" s="127">
        <f>D31-D35</f>
        <v>947700</v>
      </c>
    </row>
    <row r="37" spans="2:4" x14ac:dyDescent="0.3">
      <c r="C37" s="1" t="s">
        <v>381</v>
      </c>
      <c r="D37" s="412">
        <f>D36/D31</f>
        <v>0.59678841309823683</v>
      </c>
    </row>
    <row r="38" spans="2:4" x14ac:dyDescent="0.3">
      <c r="B38" s="290" t="s">
        <v>383</v>
      </c>
    </row>
  </sheetData>
  <sheetProtection algorithmName="SHA-512" hashValue="SwvefjZ85ngWEFJgefvqA2mmSbpDrj9H3s1uDAkSg3qmgcMDbeDuPWdOYfSb3bm1EjJkfhbMSiZQEUp+frg1+A==" saltValue="n76Kd8yx0PIa0vmJtHCMjA==" spinCount="100000" sheet="1" objects="1" scenarios="1"/>
  <mergeCells count="5">
    <mergeCell ref="B3:F3"/>
    <mergeCell ref="B19:F19"/>
    <mergeCell ref="B10:F10"/>
    <mergeCell ref="B23:F23"/>
    <mergeCell ref="C26:F26"/>
  </mergeCells>
  <hyperlinks>
    <hyperlink ref="A1" location="'Table of contents'!A1" display="Table of contents" xr:uid="{7F4FF498-03CB-4828-A291-E2D112AA9945}"/>
  </hyperlinks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21"/>
  <sheetViews>
    <sheetView workbookViewId="0">
      <selection activeCell="A13" sqref="A13"/>
    </sheetView>
  </sheetViews>
  <sheetFormatPr defaultColWidth="0" defaultRowHeight="14.4" zeroHeight="1" x14ac:dyDescent="0.3"/>
  <cols>
    <col min="1" max="1" width="34.77734375" style="895" customWidth="1"/>
    <col min="2" max="2" width="23" style="895" customWidth="1"/>
    <col min="3" max="3" width="14.21875" style="895" customWidth="1"/>
    <col min="4" max="4" width="4.33203125" style="895" customWidth="1"/>
    <col min="5" max="5" width="23" style="895" customWidth="1"/>
    <col min="6" max="6" width="14.21875" style="895" customWidth="1"/>
    <col min="7" max="7" width="8.77734375" style="895" customWidth="1"/>
    <col min="8" max="8" width="27.77734375" style="895" customWidth="1"/>
    <col min="9" max="16384" width="8.77734375" style="895" hidden="1"/>
  </cols>
  <sheetData>
    <row r="1" spans="1:8" ht="16.2" thickBot="1" x14ac:dyDescent="0.35">
      <c r="A1" s="894" t="s">
        <v>454</v>
      </c>
      <c r="B1" s="1000" t="s">
        <v>318</v>
      </c>
      <c r="C1" s="1000"/>
      <c r="E1" s="1000" t="s">
        <v>319</v>
      </c>
      <c r="F1" s="1000"/>
    </row>
    <row r="2" spans="1:8" ht="18" x14ac:dyDescent="0.3">
      <c r="B2" s="996" t="s">
        <v>155</v>
      </c>
      <c r="C2" s="997"/>
      <c r="E2" s="998" t="s">
        <v>155</v>
      </c>
      <c r="F2" s="999"/>
      <c r="H2" s="896"/>
    </row>
    <row r="3" spans="1:8" ht="15.6" x14ac:dyDescent="0.3">
      <c r="B3" s="897" t="s">
        <v>95</v>
      </c>
      <c r="C3" s="898">
        <f>'ROI Number insert'!F3</f>
        <v>535000</v>
      </c>
      <c r="E3" s="908" t="s">
        <v>313</v>
      </c>
      <c r="F3" s="909">
        <f>'ROI Number insert ARV'!E3</f>
        <v>0</v>
      </c>
      <c r="H3" s="896"/>
    </row>
    <row r="4" spans="1:8" ht="15.6" x14ac:dyDescent="0.3">
      <c r="B4" s="897" t="s">
        <v>20</v>
      </c>
      <c r="C4" s="899">
        <f>'Calculating offering price'!C13</f>
        <v>0.35</v>
      </c>
      <c r="E4" s="908" t="s">
        <v>20</v>
      </c>
      <c r="F4" s="910">
        <f>'ROI Number insert ARV'!E9</f>
        <v>0.35</v>
      </c>
      <c r="H4" s="896"/>
    </row>
    <row r="5" spans="1:8" ht="15.6" x14ac:dyDescent="0.3">
      <c r="B5" s="897" t="s">
        <v>156</v>
      </c>
      <c r="C5" s="900">
        <f>'ROI Number insert'!F4</f>
        <v>25</v>
      </c>
      <c r="E5" s="908" t="s">
        <v>156</v>
      </c>
      <c r="F5" s="911">
        <f>'ROI Number insert ARV'!E4</f>
        <v>0</v>
      </c>
      <c r="H5" s="896"/>
    </row>
    <row r="6" spans="1:8" ht="15.6" x14ac:dyDescent="0.3">
      <c r="B6" s="897" t="s">
        <v>157</v>
      </c>
      <c r="C6" s="901">
        <v>12</v>
      </c>
      <c r="E6" s="908" t="s">
        <v>157</v>
      </c>
      <c r="F6" s="912">
        <v>12</v>
      </c>
      <c r="H6" s="896"/>
    </row>
    <row r="7" spans="1:8" ht="15.6" x14ac:dyDescent="0.3">
      <c r="B7" s="897" t="s">
        <v>158</v>
      </c>
      <c r="C7" s="899">
        <f>'ROI Number insert'!F5</f>
        <v>5.5E-2</v>
      </c>
      <c r="E7" s="908" t="s">
        <v>158</v>
      </c>
      <c r="F7" s="910">
        <f>'ROI Number insert ARV'!E5</f>
        <v>0</v>
      </c>
      <c r="H7" s="896"/>
    </row>
    <row r="8" spans="1:8" ht="15.6" x14ac:dyDescent="0.3">
      <c r="B8" s="897" t="s">
        <v>159</v>
      </c>
      <c r="C8" s="902">
        <f>C5*C6</f>
        <v>300</v>
      </c>
      <c r="E8" s="908" t="s">
        <v>159</v>
      </c>
      <c r="F8" s="913">
        <f>F5*F6</f>
        <v>0</v>
      </c>
      <c r="H8" s="896"/>
    </row>
    <row r="9" spans="1:8" ht="15.6" x14ac:dyDescent="0.3">
      <c r="B9" s="897" t="s">
        <v>160</v>
      </c>
      <c r="C9" s="898">
        <f>C3*C4</f>
        <v>187250</v>
      </c>
      <c r="E9" s="908" t="s">
        <v>160</v>
      </c>
      <c r="F9" s="909">
        <f>F3*F4</f>
        <v>0</v>
      </c>
      <c r="H9" s="896"/>
    </row>
    <row r="10" spans="1:8" ht="15.6" x14ac:dyDescent="0.3">
      <c r="B10" s="897" t="s">
        <v>109</v>
      </c>
      <c r="C10" s="898">
        <f>C3-C9</f>
        <v>347750</v>
      </c>
      <c r="E10" s="908" t="s">
        <v>109</v>
      </c>
      <c r="F10" s="909">
        <f>F3-F9</f>
        <v>0</v>
      </c>
      <c r="H10" s="896"/>
    </row>
    <row r="11" spans="1:8" ht="16.2" thickBot="1" x14ac:dyDescent="0.35">
      <c r="B11" s="903" t="s">
        <v>161</v>
      </c>
      <c r="C11" s="904">
        <f>-PMT(C7/C6,C8,C10,0)</f>
        <v>2135.4892544088129</v>
      </c>
      <c r="E11" s="914" t="s">
        <v>161</v>
      </c>
      <c r="F11" s="915" t="e">
        <f>-PMT(F7/F6,F8,F10,0)</f>
        <v>#NUM!</v>
      </c>
      <c r="H11" s="896"/>
    </row>
    <row r="12" spans="1:8" ht="15" thickBot="1" x14ac:dyDescent="0.35">
      <c r="H12" s="896"/>
    </row>
    <row r="13" spans="1:8" ht="18.600000000000001" thickBot="1" x14ac:dyDescent="0.35">
      <c r="A13" s="894" t="s">
        <v>530</v>
      </c>
      <c r="B13" s="996" t="s">
        <v>244</v>
      </c>
      <c r="C13" s="997"/>
      <c r="E13" s="998" t="s">
        <v>244</v>
      </c>
      <c r="F13" s="999"/>
      <c r="H13" s="896"/>
    </row>
    <row r="14" spans="1:8" ht="16.8" thickTop="1" thickBot="1" x14ac:dyDescent="0.35">
      <c r="B14" s="905" t="s">
        <v>245</v>
      </c>
      <c r="C14" s="906">
        <v>0</v>
      </c>
      <c r="E14" s="916" t="s">
        <v>245</v>
      </c>
      <c r="F14" s="651">
        <v>0</v>
      </c>
      <c r="H14" s="896"/>
    </row>
    <row r="15" spans="1:8" ht="16.8" thickTop="1" thickBot="1" x14ac:dyDescent="0.35">
      <c r="B15" s="897" t="s">
        <v>156</v>
      </c>
      <c r="C15" s="907">
        <v>0</v>
      </c>
      <c r="E15" s="908" t="s">
        <v>156</v>
      </c>
      <c r="F15" s="649">
        <v>0</v>
      </c>
      <c r="H15" s="896"/>
    </row>
    <row r="16" spans="1:8" ht="16.8" thickTop="1" thickBot="1" x14ac:dyDescent="0.35">
      <c r="B16" s="897" t="s">
        <v>157</v>
      </c>
      <c r="C16" s="901">
        <v>12</v>
      </c>
      <c r="E16" s="908" t="s">
        <v>157</v>
      </c>
      <c r="F16" s="912">
        <v>12</v>
      </c>
      <c r="H16" s="896"/>
    </row>
    <row r="17" spans="2:6" ht="16.8" thickTop="1" thickBot="1" x14ac:dyDescent="0.35">
      <c r="B17" s="897" t="s">
        <v>158</v>
      </c>
      <c r="C17" s="696">
        <v>0</v>
      </c>
      <c r="E17" s="908" t="s">
        <v>158</v>
      </c>
      <c r="F17" s="696">
        <v>0</v>
      </c>
    </row>
    <row r="18" spans="2:6" ht="16.2" thickTop="1" x14ac:dyDescent="0.3">
      <c r="B18" s="897" t="s">
        <v>159</v>
      </c>
      <c r="C18" s="902">
        <f>C15*C16</f>
        <v>0</v>
      </c>
      <c r="E18" s="908" t="s">
        <v>159</v>
      </c>
      <c r="F18" s="913">
        <f>F15*F16</f>
        <v>0</v>
      </c>
    </row>
    <row r="19" spans="2:6" ht="16.2" thickBot="1" x14ac:dyDescent="0.35">
      <c r="B19" s="903" t="s">
        <v>161</v>
      </c>
      <c r="C19" s="904" t="e">
        <f>-PMT(C17/C16,C18,C14,0)</f>
        <v>#NUM!</v>
      </c>
      <c r="E19" s="914" t="s">
        <v>161</v>
      </c>
      <c r="F19" s="915" t="e">
        <f>-PMT(F17/F16,F18,F14,0)</f>
        <v>#NUM!</v>
      </c>
    </row>
    <row r="20" spans="2:6" x14ac:dyDescent="0.3"/>
    <row r="21" spans="2:6" x14ac:dyDescent="0.3"/>
  </sheetData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  <hyperlink ref="A13" location="'Calculating offering price'!C31" display="Back to insert" xr:uid="{2A82D0CF-CB16-46BE-B8D6-2CC8DAD0DB2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>
      <selection activeCell="C5" sqref="C5"/>
    </sheetView>
  </sheetViews>
  <sheetFormatPr defaultColWidth="0" defaultRowHeight="14.4" zeroHeight="1" x14ac:dyDescent="0.3"/>
  <cols>
    <col min="1" max="1" width="35.21875" style="581" customWidth="1"/>
    <col min="2" max="2" width="22.33203125" style="581" customWidth="1"/>
    <col min="3" max="3" width="12.77734375" style="581" customWidth="1"/>
    <col min="4" max="4" width="3.21875" style="581" customWidth="1"/>
    <col min="5" max="5" width="22.33203125" style="581" customWidth="1"/>
    <col min="6" max="6" width="12.77734375" style="581" customWidth="1"/>
    <col min="7" max="7" width="8.77734375" style="581" customWidth="1"/>
    <col min="8" max="8" width="27.33203125" style="581" hidden="1" customWidth="1"/>
    <col min="9" max="16384" width="8.77734375" style="581" hidden="1"/>
  </cols>
  <sheetData>
    <row r="1" spans="1:8" ht="16.2" thickBot="1" x14ac:dyDescent="0.35">
      <c r="A1" s="626" t="s">
        <v>454</v>
      </c>
      <c r="B1" s="1005" t="s">
        <v>318</v>
      </c>
      <c r="C1" s="1005"/>
      <c r="E1" s="1005" t="s">
        <v>319</v>
      </c>
      <c r="F1" s="1005"/>
      <c r="H1" s="1"/>
    </row>
    <row r="2" spans="1:8" ht="16.2" thickBot="1" x14ac:dyDescent="0.35">
      <c r="B2" s="1001" t="s">
        <v>162</v>
      </c>
      <c r="C2" s="1002"/>
      <c r="E2" s="1003" t="s">
        <v>162</v>
      </c>
      <c r="F2" s="1004"/>
      <c r="H2" s="1"/>
    </row>
    <row r="3" spans="1:8" ht="16.8" thickTop="1" thickBot="1" x14ac:dyDescent="0.35">
      <c r="B3" s="881" t="s">
        <v>163</v>
      </c>
      <c r="C3" s="713">
        <v>0</v>
      </c>
      <c r="E3" s="885" t="s">
        <v>163</v>
      </c>
      <c r="F3" s="713">
        <v>0</v>
      </c>
      <c r="H3" s="1"/>
    </row>
    <row r="4" spans="1:8" ht="16.8" thickTop="1" thickBot="1" x14ac:dyDescent="0.35">
      <c r="B4" s="882" t="s">
        <v>164</v>
      </c>
      <c r="C4" s="674">
        <v>0</v>
      </c>
      <c r="E4" s="886" t="s">
        <v>164</v>
      </c>
      <c r="F4" s="674">
        <v>0</v>
      </c>
      <c r="H4" s="1"/>
    </row>
    <row r="5" spans="1:8" ht="16.8" thickTop="1" thickBot="1" x14ac:dyDescent="0.35">
      <c r="B5" s="882" t="s">
        <v>165</v>
      </c>
      <c r="C5" s="713">
        <v>0</v>
      </c>
      <c r="E5" s="886" t="s">
        <v>165</v>
      </c>
      <c r="F5" s="713">
        <v>0</v>
      </c>
      <c r="H5" s="1"/>
    </row>
    <row r="6" spans="1:8" ht="16.8" thickTop="1" thickBot="1" x14ac:dyDescent="0.35">
      <c r="B6" s="883" t="s">
        <v>166</v>
      </c>
      <c r="C6" s="884">
        <f>C3*C4/12+C5</f>
        <v>0</v>
      </c>
      <c r="E6" s="887" t="s">
        <v>166</v>
      </c>
      <c r="F6" s="888">
        <f>F3*F4/12+F5</f>
        <v>0</v>
      </c>
      <c r="H6" s="1"/>
    </row>
    <row r="7" spans="1:8" x14ac:dyDescent="0.3">
      <c r="H7" s="1"/>
    </row>
    <row r="8" spans="1:8" hidden="1" x14ac:dyDescent="0.3">
      <c r="H8" s="1"/>
    </row>
    <row r="9" spans="1:8" hidden="1" x14ac:dyDescent="0.3">
      <c r="H9" s="1"/>
    </row>
    <row r="10" spans="1:8" hidden="1" x14ac:dyDescent="0.3">
      <c r="H10" s="1"/>
    </row>
    <row r="11" spans="1:8" hidden="1" x14ac:dyDescent="0.3">
      <c r="H11" s="1"/>
    </row>
    <row r="12" spans="1:8" hidden="1" x14ac:dyDescent="0.3">
      <c r="H12" s="1"/>
    </row>
    <row r="13" spans="1:8" hidden="1" x14ac:dyDescent="0.3">
      <c r="H13" s="1"/>
    </row>
    <row r="14" spans="1:8" hidden="1" x14ac:dyDescent="0.3">
      <c r="H14" s="1"/>
    </row>
    <row r="15" spans="1:8" hidden="1" x14ac:dyDescent="0.3">
      <c r="H15" s="1"/>
    </row>
    <row r="16" spans="1:8" hidden="1" x14ac:dyDescent="0.3">
      <c r="H16" s="1"/>
    </row>
    <row r="17" spans="8:8" hidden="1" x14ac:dyDescent="0.3">
      <c r="H17" s="1"/>
    </row>
  </sheetData>
  <sheetProtection algorithmName="SHA-512" hashValue="B6H6R3/b+yHEvcLkmwjRd+xGonp/6MuqLEYke9HT+tZ71ZUtm2hAvXNxeYDAPpPSHABMMyXIIoz1pvobkOuz2A==" saltValue="uc+laD/GAfBsQg20t1UUpw==" spinCount="100000" sheet="1" objects="1" scenarios="1"/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26" t="s">
        <v>454</v>
      </c>
    </row>
    <row r="2" spans="1:3" ht="21" x14ac:dyDescent="0.4">
      <c r="B2" s="989" t="s">
        <v>253</v>
      </c>
      <c r="C2" s="989"/>
    </row>
    <row r="3" spans="1:3" x14ac:dyDescent="0.3">
      <c r="B3" s="290" t="s">
        <v>240</v>
      </c>
      <c r="C3" s="298">
        <f>SUM(C4:C6)</f>
        <v>0</v>
      </c>
    </row>
    <row r="4" spans="1:3" x14ac:dyDescent="0.3">
      <c r="B4" s="295" t="s">
        <v>254</v>
      </c>
      <c r="C4" s="292">
        <f>('Calculating offering price ARV'!C51+'Calculating offering price ARV'!D49+'Calculating offering price ARV'!E49)*12</f>
        <v>0</v>
      </c>
    </row>
    <row r="5" spans="1:3" x14ac:dyDescent="0.3">
      <c r="B5" s="295" t="s">
        <v>255</v>
      </c>
      <c r="C5" s="293">
        <f>SUM('Calculating offering price ARV'!C53:C56)</f>
        <v>0</v>
      </c>
    </row>
    <row r="6" spans="1:3" x14ac:dyDescent="0.3">
      <c r="B6" s="296" t="s">
        <v>256</v>
      </c>
      <c r="C6" s="294">
        <f>-'ROI Number insert ARV'!E26</f>
        <v>0</v>
      </c>
    </row>
    <row r="7" spans="1:3" x14ac:dyDescent="0.3">
      <c r="B7" s="290" t="s">
        <v>241</v>
      </c>
      <c r="C7" s="298">
        <f>SUM(C8:C18)</f>
        <v>17888.089249411765</v>
      </c>
    </row>
    <row r="8" spans="1:3" x14ac:dyDescent="0.3">
      <c r="B8" s="295" t="s">
        <v>257</v>
      </c>
      <c r="C8" s="292">
        <f>'ROI Number insert ARV'!E41</f>
        <v>0</v>
      </c>
    </row>
    <row r="9" spans="1:3" x14ac:dyDescent="0.3">
      <c r="B9" s="295" t="s">
        <v>258</v>
      </c>
      <c r="C9" s="292">
        <f>'ROI Number insert ARV'!E38</f>
        <v>1500</v>
      </c>
    </row>
    <row r="10" spans="1:3" x14ac:dyDescent="0.3">
      <c r="B10" s="295" t="s">
        <v>259</v>
      </c>
      <c r="C10" s="292">
        <f>'ROI Number insert ARV'!E35</f>
        <v>1571.1435294117646</v>
      </c>
    </row>
    <row r="11" spans="1:3" x14ac:dyDescent="0.3">
      <c r="B11" s="295" t="s">
        <v>260</v>
      </c>
      <c r="C11" s="292">
        <f>'ROI Number insert ARV'!E39</f>
        <v>0</v>
      </c>
    </row>
    <row r="12" spans="1:3" x14ac:dyDescent="0.3">
      <c r="B12" s="295" t="s">
        <v>261</v>
      </c>
      <c r="C12" s="292">
        <f>'ROI Number insert ARV'!E40</f>
        <v>0</v>
      </c>
    </row>
    <row r="13" spans="1:3" x14ac:dyDescent="0.3">
      <c r="B13" s="295" t="s">
        <v>262</v>
      </c>
      <c r="C13" s="292">
        <f>'ROI Number insert ARV'!E34</f>
        <v>0</v>
      </c>
    </row>
    <row r="14" spans="1:3" x14ac:dyDescent="0.3">
      <c r="B14" s="295" t="s">
        <v>39</v>
      </c>
      <c r="C14" s="292">
        <f>'ROI Number insert ARV'!E37</f>
        <v>10884</v>
      </c>
    </row>
    <row r="15" spans="1:3" x14ac:dyDescent="0.3">
      <c r="B15" s="295" t="s">
        <v>190</v>
      </c>
      <c r="C15" s="292">
        <f>'ROI Number insert ARV'!E42</f>
        <v>0</v>
      </c>
    </row>
    <row r="16" spans="1:3" x14ac:dyDescent="0.3">
      <c r="B16" s="295" t="s">
        <v>263</v>
      </c>
      <c r="C16" s="292">
        <f>'ROI Number insert ARV'!E43</f>
        <v>0</v>
      </c>
    </row>
    <row r="17" spans="2:3" x14ac:dyDescent="0.3">
      <c r="B17" s="295" t="s">
        <v>267</v>
      </c>
      <c r="C17" s="292">
        <f>'ROI Number insert ARV'!H16</f>
        <v>0</v>
      </c>
    </row>
    <row r="18" spans="2:3" x14ac:dyDescent="0.3">
      <c r="B18" s="296" t="s">
        <v>264</v>
      </c>
      <c r="C18" s="297">
        <f>'ROI Number insert ARV'!E32</f>
        <v>3932.9457199999997</v>
      </c>
    </row>
    <row r="19" spans="2:3" x14ac:dyDescent="0.3">
      <c r="B19" s="299" t="s">
        <v>218</v>
      </c>
      <c r="C19" s="300">
        <f>C3-C7</f>
        <v>-17888.089249411765</v>
      </c>
    </row>
    <row r="20" spans="2:3" x14ac:dyDescent="0.3">
      <c r="B20" s="1" t="s">
        <v>265</v>
      </c>
      <c r="C20" s="292" t="e">
        <f>'ROI Number insert ARV'!E30</f>
        <v>#NUM!</v>
      </c>
    </row>
    <row r="21" spans="2:3" x14ac:dyDescent="0.3">
      <c r="B21" s="291" t="s">
        <v>266</v>
      </c>
      <c r="C21" s="297">
        <f>'ROI Number insert ARV'!H17</f>
        <v>0</v>
      </c>
    </row>
    <row r="22" spans="2:3" ht="15.6" x14ac:dyDescent="0.3">
      <c r="B22" s="177" t="s">
        <v>141</v>
      </c>
      <c r="C22" s="301" t="e">
        <f>C19-SUM(C20:C21)</f>
        <v>#NUM!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>
      <selection activeCell="C1" sqref="C1"/>
    </sheetView>
  </sheetViews>
  <sheetFormatPr defaultColWidth="8.77734375" defaultRowHeight="14.4" x14ac:dyDescent="0.3"/>
  <cols>
    <col min="1" max="1" width="17.1093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1006" t="s">
        <v>1</v>
      </c>
      <c r="C2" s="1007"/>
      <c r="F2" s="5"/>
    </row>
    <row r="3" spans="1:8" ht="31.05" customHeight="1" x14ac:dyDescent="0.3">
      <c r="B3" s="314" t="s">
        <v>2</v>
      </c>
      <c r="C3" s="374" t="str">
        <f>'Calculating offering price'!C3</f>
        <v>Condominium</v>
      </c>
      <c r="F3" s="6" t="s">
        <v>4</v>
      </c>
    </row>
    <row r="4" spans="1:8" ht="15.6" x14ac:dyDescent="0.3">
      <c r="B4" s="315" t="s">
        <v>5</v>
      </c>
      <c r="C4" s="373">
        <f>'Calculating offering price'!C4</f>
        <v>1588000</v>
      </c>
      <c r="F4" s="7" t="s">
        <v>6</v>
      </c>
      <c r="H4" s="4"/>
    </row>
    <row r="5" spans="1:8" ht="15.6" x14ac:dyDescent="0.3">
      <c r="B5" s="316" t="s">
        <v>7</v>
      </c>
      <c r="C5" s="375">
        <f>'Calculating offering price'!C5</f>
        <v>516823.52941176464</v>
      </c>
      <c r="D5" s="8" t="s">
        <v>236</v>
      </c>
      <c r="F5" s="3" t="s">
        <v>8</v>
      </c>
      <c r="H5" s="4"/>
    </row>
    <row r="6" spans="1:8" ht="13.5" customHeight="1" x14ac:dyDescent="0.3">
      <c r="B6" s="316" t="s">
        <v>9</v>
      </c>
      <c r="C6" s="376">
        <f>'Calculating offering price'!C6</f>
        <v>1861</v>
      </c>
      <c r="F6" s="3" t="s">
        <v>10</v>
      </c>
      <c r="H6" s="4"/>
    </row>
    <row r="7" spans="1:8" ht="15.6" x14ac:dyDescent="0.3">
      <c r="B7" s="316" t="s">
        <v>11</v>
      </c>
      <c r="C7" s="9">
        <f>C5*0.8</f>
        <v>413458.82352941175</v>
      </c>
      <c r="F7" s="3" t="s">
        <v>12</v>
      </c>
      <c r="H7" s="4"/>
    </row>
    <row r="8" spans="1:8" ht="15" customHeight="1" thickBot="1" x14ac:dyDescent="0.35">
      <c r="B8" s="316" t="s">
        <v>13</v>
      </c>
      <c r="C8" s="9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317" t="s">
        <v>15</v>
      </c>
      <c r="C9" s="648">
        <v>0</v>
      </c>
      <c r="D9" s="4"/>
      <c r="F9" s="3" t="s">
        <v>16</v>
      </c>
      <c r="H9" s="4"/>
    </row>
    <row r="10" spans="1:8" ht="16.8" thickTop="1" thickBot="1" x14ac:dyDescent="0.35">
      <c r="B10" s="316" t="s">
        <v>17</v>
      </c>
      <c r="C10" s="9" t="e">
        <f>C37</f>
        <v>#NUM!</v>
      </c>
      <c r="D10" s="4"/>
      <c r="F10" s="3" t="s">
        <v>3</v>
      </c>
      <c r="H10" s="4"/>
    </row>
    <row r="11" spans="1:8" ht="16.8" thickTop="1" thickBot="1" x14ac:dyDescent="0.35">
      <c r="B11" s="316" t="s">
        <v>18</v>
      </c>
      <c r="C11" s="649">
        <v>0</v>
      </c>
      <c r="D11" s="4"/>
      <c r="H11" s="4"/>
    </row>
    <row r="12" spans="1:8" ht="16.2" thickTop="1" x14ac:dyDescent="0.3">
      <c r="B12" s="316" t="s">
        <v>19</v>
      </c>
      <c r="C12" s="9" t="e">
        <f>C10*C11</f>
        <v>#NUM!</v>
      </c>
      <c r="D12" s="4"/>
      <c r="H12" s="10"/>
    </row>
    <row r="13" spans="1:8" ht="15.6" x14ac:dyDescent="0.3">
      <c r="B13" s="316" t="s">
        <v>20</v>
      </c>
      <c r="C13" s="391">
        <f>'Calculating offering price'!C13</f>
        <v>0.35</v>
      </c>
      <c r="D13" s="4"/>
      <c r="H13" s="4"/>
    </row>
    <row r="14" spans="1:8" ht="16.2" thickBot="1" x14ac:dyDescent="0.35">
      <c r="A14" s="196"/>
      <c r="B14" s="318" t="s">
        <v>214</v>
      </c>
      <c r="C14" s="11" t="e">
        <f>C7-C9-C12-C8</f>
        <v>#NUM!</v>
      </c>
      <c r="D14" s="4"/>
      <c r="H14" s="4"/>
    </row>
    <row r="15" spans="1:8" ht="16.2" thickBot="1" x14ac:dyDescent="0.35">
      <c r="B15" s="1008" t="s">
        <v>21</v>
      </c>
      <c r="C15" s="1009"/>
      <c r="D15" s="4"/>
      <c r="H15" s="4"/>
    </row>
    <row r="16" spans="1:8" ht="15.6" x14ac:dyDescent="0.3">
      <c r="B16" s="319" t="s">
        <v>22</v>
      </c>
      <c r="C16" s="239" t="e">
        <f>C14*C13</f>
        <v>#NUM!</v>
      </c>
      <c r="D16" s="4"/>
      <c r="H16" s="4"/>
    </row>
    <row r="17" spans="2:9" ht="15.6" x14ac:dyDescent="0.3">
      <c r="B17" s="320" t="s">
        <v>234</v>
      </c>
      <c r="C17" s="240" t="e">
        <f>C14*4.5%</f>
        <v>#NUM!</v>
      </c>
      <c r="D17" s="8" t="s">
        <v>23</v>
      </c>
      <c r="H17" s="4"/>
    </row>
    <row r="18" spans="2:9" ht="15.6" x14ac:dyDescent="0.3">
      <c r="B18" s="320" t="s">
        <v>24</v>
      </c>
      <c r="C18" s="240" t="e">
        <f>C9+C16+C17</f>
        <v>#NUM!</v>
      </c>
      <c r="D18" s="4"/>
      <c r="H18" s="4"/>
    </row>
    <row r="19" spans="2:9" ht="16.05" customHeight="1" thickBot="1" x14ac:dyDescent="0.35">
      <c r="B19" s="321" t="s">
        <v>232</v>
      </c>
      <c r="C19" s="241">
        <f>'Calculating offering price'!C19</f>
        <v>208051</v>
      </c>
      <c r="D19" s="945" t="s">
        <v>235</v>
      </c>
      <c r="E19" s="946"/>
      <c r="F19" s="946"/>
      <c r="G19" s="946"/>
      <c r="H19" s="946"/>
    </row>
    <row r="20" spans="2:9" ht="21.75" customHeight="1" thickBot="1" x14ac:dyDescent="0.35">
      <c r="B20" s="1010" t="s">
        <v>7</v>
      </c>
      <c r="C20" s="1011"/>
      <c r="D20" s="8"/>
      <c r="E20" s="8"/>
      <c r="F20" s="8"/>
      <c r="G20" s="4"/>
      <c r="H20" s="4"/>
    </row>
    <row r="21" spans="2:9" ht="27.45" customHeight="1" x14ac:dyDescent="0.3">
      <c r="B21" s="322" t="s">
        <v>242</v>
      </c>
      <c r="C21" s="242" t="e">
        <f>C46*C6</f>
        <v>#DIV/0!</v>
      </c>
      <c r="D21" s="947" t="s">
        <v>25</v>
      </c>
      <c r="E21" s="948"/>
      <c r="F21" s="948"/>
      <c r="G21" s="948"/>
      <c r="H21" s="948"/>
      <c r="I21" s="244"/>
    </row>
    <row r="22" spans="2:9" ht="18.75" customHeight="1" x14ac:dyDescent="0.3">
      <c r="B22" s="323" t="str">
        <f>B66</f>
        <v>Conservative CF Multiplier Evaluation</v>
      </c>
      <c r="C22" s="12">
        <f>C78</f>
        <v>-113375</v>
      </c>
      <c r="F22" s="4"/>
      <c r="G22" s="4"/>
      <c r="H22" s="4"/>
    </row>
    <row r="23" spans="2:9" ht="16.2" thickBot="1" x14ac:dyDescent="0.35">
      <c r="B23" s="323" t="str">
        <f>B47</f>
        <v>CF Multiplier Evaluation</v>
      </c>
      <c r="C23" s="12">
        <f>C59</f>
        <v>-106705.88235294117</v>
      </c>
      <c r="H23" s="4"/>
    </row>
    <row r="24" spans="2:9" ht="16.2" thickBot="1" x14ac:dyDescent="0.35">
      <c r="B24" s="943" t="s">
        <v>26</v>
      </c>
      <c r="C24" s="944"/>
      <c r="H24" s="4"/>
    </row>
    <row r="25" spans="2:9" ht="15.6" x14ac:dyDescent="0.3">
      <c r="B25" s="324" t="s">
        <v>27</v>
      </c>
      <c r="C25" s="243" t="e">
        <f>C14*(100%-C13)</f>
        <v>#NUM!</v>
      </c>
      <c r="D25" s="8" t="s">
        <v>28</v>
      </c>
      <c r="H25" s="4"/>
    </row>
    <row r="26" spans="2:9" x14ac:dyDescent="0.3">
      <c r="B26" s="325" t="s">
        <v>29</v>
      </c>
      <c r="C26" s="311" t="e">
        <f>'Mortgage Caculator'!F11</f>
        <v>#NUM!</v>
      </c>
      <c r="D26" s="2" t="s">
        <v>30</v>
      </c>
    </row>
    <row r="27" spans="2:9" ht="15.6" x14ac:dyDescent="0.3">
      <c r="B27" s="326" t="s">
        <v>31</v>
      </c>
      <c r="C27" s="13" t="e">
        <f>C26*12</f>
        <v>#NUM!</v>
      </c>
      <c r="H27" s="4"/>
    </row>
    <row r="28" spans="2:9" ht="15.6" x14ac:dyDescent="0.3">
      <c r="B28" s="327" t="s">
        <v>32</v>
      </c>
      <c r="C28" s="377">
        <f>'Calculating offering price'!C28</f>
        <v>3932.9457199999997</v>
      </c>
      <c r="D28" s="3" t="s">
        <v>211</v>
      </c>
      <c r="H28" s="4"/>
    </row>
    <row r="29" spans="2:9" ht="15.6" x14ac:dyDescent="0.3">
      <c r="B29" s="328" t="s">
        <v>33</v>
      </c>
      <c r="C29" s="14">
        <f>C28/12</f>
        <v>327.74547666666666</v>
      </c>
      <c r="E29" s="15"/>
      <c r="F29" s="15"/>
      <c r="H29" s="4"/>
    </row>
    <row r="30" spans="2:9" ht="27" customHeight="1" thickBot="1" x14ac:dyDescent="0.35">
      <c r="B30" s="329" t="s">
        <v>34</v>
      </c>
      <c r="C30" s="245">
        <f>'Debt payment Calculator'!F6</f>
        <v>0</v>
      </c>
      <c r="D30" s="949" t="s">
        <v>35</v>
      </c>
      <c r="E30" s="948"/>
      <c r="F30" s="948"/>
      <c r="G30" s="948"/>
      <c r="H30" s="948"/>
    </row>
    <row r="31" spans="2:9" ht="16.5" customHeight="1" thickTop="1" thickBot="1" x14ac:dyDescent="0.35">
      <c r="B31" s="330" t="s">
        <v>246</v>
      </c>
      <c r="C31" s="648">
        <v>0</v>
      </c>
      <c r="D31" s="282" t="s">
        <v>30</v>
      </c>
      <c r="E31" s="271"/>
      <c r="F31" s="271"/>
      <c r="G31" s="271"/>
      <c r="H31" s="271"/>
    </row>
    <row r="32" spans="2:9" ht="16.2" thickTop="1" x14ac:dyDescent="0.3">
      <c r="B32" s="331" t="s">
        <v>36</v>
      </c>
      <c r="C32" s="377">
        <f>'Calculating offering price'!C32</f>
        <v>1500</v>
      </c>
      <c r="F32" s="4"/>
      <c r="G32" s="4"/>
      <c r="H32" s="4"/>
    </row>
    <row r="33" spans="2:9" ht="13.5" customHeight="1" x14ac:dyDescent="0.3">
      <c r="B33" s="331" t="s">
        <v>37</v>
      </c>
      <c r="C33" s="16">
        <f>'Calculating offering price'!C33</f>
        <v>1571.1435294117646</v>
      </c>
      <c r="D33" s="2" t="s">
        <v>38</v>
      </c>
      <c r="F33" s="4"/>
      <c r="G33" s="4"/>
      <c r="H33" s="4"/>
    </row>
    <row r="34" spans="2:9" ht="15.6" x14ac:dyDescent="0.3">
      <c r="B34" s="332" t="s">
        <v>39</v>
      </c>
      <c r="C34" s="378">
        <f>'Calculating offering price'!C34</f>
        <v>907</v>
      </c>
      <c r="F34" s="4"/>
      <c r="G34" s="4"/>
      <c r="H34" s="4"/>
    </row>
    <row r="35" spans="2:9" ht="15.6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 t="e">
        <f>C27+C28+(C30*12)+C32+C33+C35</f>
        <v>#NUM!</v>
      </c>
      <c r="F36" s="4"/>
      <c r="G36" s="4"/>
      <c r="H36" s="4"/>
    </row>
    <row r="37" spans="2:9" ht="16.2" thickBot="1" x14ac:dyDescent="0.35">
      <c r="B37" s="335" t="s">
        <v>42</v>
      </c>
      <c r="C37" s="19" t="e">
        <f>C36/12</f>
        <v>#NUM!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5.6" x14ac:dyDescent="0.3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 t="s">
        <v>50</v>
      </c>
    </row>
    <row r="41" spans="2:9" ht="15.6" x14ac:dyDescent="0.3">
      <c r="B41" s="338" t="s">
        <v>51</v>
      </c>
      <c r="C41" s="398">
        <v>0</v>
      </c>
      <c r="D41" s="20">
        <f>C41</f>
        <v>0</v>
      </c>
      <c r="E41" s="248">
        <f>C41</f>
        <v>0</v>
      </c>
      <c r="F41" s="4"/>
      <c r="G41" s="4"/>
      <c r="H41" s="4"/>
    </row>
    <row r="42" spans="2:9" ht="15.6" x14ac:dyDescent="0.3">
      <c r="B42" s="338" t="s">
        <v>52</v>
      </c>
      <c r="C42" s="398">
        <f>'Calculating offering price'!C42</f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5.6" x14ac:dyDescent="0.3">
      <c r="B43" s="338" t="s">
        <v>9</v>
      </c>
      <c r="C43" s="398">
        <f>'Calculating offering price'!C43</f>
        <v>0</v>
      </c>
      <c r="D43" s="20">
        <f>'Calculating offering price'!D43</f>
        <v>0</v>
      </c>
      <c r="E43" s="248">
        <f>'Calculating offering price'!E43</f>
        <v>0</v>
      </c>
      <c r="F43" s="4"/>
      <c r="G43" s="4"/>
      <c r="H43" s="4"/>
    </row>
    <row r="44" spans="2:9" ht="28.95" customHeight="1" x14ac:dyDescent="0.3">
      <c r="B44" s="339" t="s">
        <v>53</v>
      </c>
      <c r="C44" s="399">
        <f>'Calculating offering price'!C44</f>
        <v>0</v>
      </c>
      <c r="D44" s="400">
        <f>'Calculating offering price'!D44</f>
        <v>0</v>
      </c>
      <c r="E44" s="401">
        <f>'Calculating offering price'!E44</f>
        <v>0</v>
      </c>
      <c r="F44" s="4"/>
      <c r="G44" s="946" t="s">
        <v>212</v>
      </c>
      <c r="H44" s="946"/>
      <c r="I44" s="946"/>
    </row>
    <row r="45" spans="2:9" ht="16.2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27"/>
      <c r="C48" s="628" t="s">
        <v>56</v>
      </c>
      <c r="D48" s="644" t="s">
        <v>57</v>
      </c>
      <c r="E48" s="645" t="s">
        <v>58</v>
      </c>
      <c r="G48" s="4"/>
      <c r="H48" s="4"/>
    </row>
    <row r="49" spans="2:10" ht="16.8" thickTop="1" thickBot="1" x14ac:dyDescent="0.35">
      <c r="B49" s="629" t="s">
        <v>59</v>
      </c>
      <c r="C49" s="651">
        <v>0</v>
      </c>
      <c r="D49" s="672">
        <v>0</v>
      </c>
      <c r="E49" s="672">
        <v>0</v>
      </c>
      <c r="F49" s="8" t="s">
        <v>60</v>
      </c>
      <c r="G49" s="4"/>
      <c r="H49" s="4"/>
    </row>
    <row r="50" spans="2:10" ht="15" customHeight="1" thickTop="1" thickBot="1" x14ac:dyDescent="0.35">
      <c r="B50" s="630" t="s">
        <v>61</v>
      </c>
      <c r="C50" s="652">
        <v>0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30" t="s">
        <v>62</v>
      </c>
      <c r="C51" s="631">
        <f>C49*C50</f>
        <v>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30" t="s">
        <v>63</v>
      </c>
      <c r="C52" s="631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30" t="s">
        <v>64</v>
      </c>
      <c r="C53" s="651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30" t="s">
        <v>65</v>
      </c>
      <c r="C54" s="651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30" t="s">
        <v>66</v>
      </c>
      <c r="C55" s="651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30" t="s">
        <v>67</v>
      </c>
      <c r="C56" s="651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30" t="s">
        <v>68</v>
      </c>
      <c r="C57" s="631">
        <f>SUM(D49,E49,C51,C53:C56)</f>
        <v>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32" t="s">
        <v>69</v>
      </c>
      <c r="C58" s="633">
        <f>C57-C52</f>
        <v>-907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34" t="s">
        <v>7</v>
      </c>
      <c r="C59" s="635">
        <f>C58/0.85%</f>
        <v>-106705.88235294117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34" t="s">
        <v>5</v>
      </c>
      <c r="C60" s="635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36" t="s">
        <v>72</v>
      </c>
      <c r="C61" s="637" t="e">
        <f>C14*0.6%</f>
        <v>#NUM!</v>
      </c>
      <c r="D61" s="936" t="s">
        <v>213</v>
      </c>
      <c r="E61" s="936"/>
      <c r="F61" s="936"/>
      <c r="G61" s="936"/>
      <c r="H61" s="936"/>
      <c r="I61" s="23"/>
      <c r="J61" s="23"/>
    </row>
    <row r="62" spans="2:10" s="32" customFormat="1" ht="15.6" x14ac:dyDescent="0.3">
      <c r="B62" s="638" t="s">
        <v>74</v>
      </c>
      <c r="C62" s="639" t="e">
        <f>(C60-C14)/C60</f>
        <v>#NUM!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40" t="s">
        <v>76</v>
      </c>
      <c r="C63" s="641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42" t="s">
        <v>78</v>
      </c>
      <c r="C64" s="643">
        <f>(C60-C59)/C60</f>
        <v>1.0671951400207438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0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-907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-113375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 t="e">
        <f>C14*0.8%</f>
        <v>#NUM!</v>
      </c>
      <c r="D80" s="950" t="s">
        <v>73</v>
      </c>
      <c r="E80" s="950"/>
      <c r="F80" s="950"/>
      <c r="G80" s="950"/>
      <c r="H80" s="950"/>
      <c r="I80" s="950"/>
    </row>
    <row r="81" spans="2:9" ht="15.6" x14ac:dyDescent="0.3">
      <c r="B81" s="351" t="s">
        <v>74</v>
      </c>
      <c r="C81" s="260" t="e">
        <f>(C79-C14)/C79</f>
        <v>#NUM!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1.0713948362720402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51" t="s">
        <v>81</v>
      </c>
      <c r="C86" s="952"/>
      <c r="D86" s="2" t="s">
        <v>224</v>
      </c>
    </row>
    <row r="87" spans="2:9" ht="15.6" x14ac:dyDescent="0.3">
      <c r="B87" s="356" t="s">
        <v>82</v>
      </c>
      <c r="C87" s="382">
        <f>'Calculating offering price'!C87</f>
        <v>0.02</v>
      </c>
      <c r="D87" s="2" t="s">
        <v>223</v>
      </c>
    </row>
    <row r="88" spans="2:9" ht="15.6" x14ac:dyDescent="0.3">
      <c r="B88" s="356" t="s">
        <v>83</v>
      </c>
      <c r="C88" s="383">
        <f>'Calculating offering price'!C88</f>
        <v>5</v>
      </c>
      <c r="D88" s="2" t="s">
        <v>84</v>
      </c>
    </row>
    <row r="89" spans="2:9" ht="15.6" x14ac:dyDescent="0.3">
      <c r="B89" s="356" t="s">
        <v>250</v>
      </c>
      <c r="C89" s="287">
        <f ca="1">TODAY()</f>
        <v>44984</v>
      </c>
      <c r="D89" s="2"/>
    </row>
    <row r="90" spans="2:9" ht="15.6" x14ac:dyDescent="0.3">
      <c r="B90" s="356" t="s">
        <v>251</v>
      </c>
      <c r="C90" s="287">
        <f ca="1">C89+C88*366</f>
        <v>46814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 ARV'!E3</f>
        <v>1753280.3154816001</v>
      </c>
    </row>
    <row r="94" spans="2:9" ht="15.6" x14ac:dyDescent="0.3">
      <c r="B94" s="359" t="s">
        <v>88</v>
      </c>
      <c r="C94" s="44">
        <f>'ROI Number insert'!F3</f>
        <v>535000</v>
      </c>
    </row>
    <row r="95" spans="2:9" ht="15.6" x14ac:dyDescent="0.3">
      <c r="B95" s="360" t="s">
        <v>89</v>
      </c>
      <c r="C95" s="45">
        <f>FV(C87,C88,,-C94)</f>
        <v>590683.229712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55683.229712</v>
      </c>
      <c r="D96" s="3" t="s">
        <v>92</v>
      </c>
    </row>
    <row r="97" spans="2:4" ht="15" thickBot="1" x14ac:dyDescent="0.35"/>
    <row r="98" spans="2:4" ht="18" x14ac:dyDescent="0.35">
      <c r="B98" s="953" t="s">
        <v>219</v>
      </c>
      <c r="C98" s="954"/>
    </row>
    <row r="99" spans="2:4" ht="15.6" x14ac:dyDescent="0.3">
      <c r="B99" s="363" t="s">
        <v>82</v>
      </c>
      <c r="C99" s="384">
        <f>'Calculating offering price'!C99</f>
        <v>1.4999999999999999E-2</v>
      </c>
      <c r="D99" s="3" t="s">
        <v>221</v>
      </c>
    </row>
    <row r="100" spans="2:4" ht="15.6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48644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 ARV'!E3</f>
        <v>1842938.8301399359</v>
      </c>
    </row>
    <row r="105" spans="2:4" ht="15.6" x14ac:dyDescent="0.3">
      <c r="B105" s="365" t="s">
        <v>88</v>
      </c>
      <c r="C105" s="49">
        <f>'ROI Number insert'!F3</f>
        <v>535000</v>
      </c>
    </row>
    <row r="106" spans="2:4" ht="15.6" x14ac:dyDescent="0.3">
      <c r="B106" s="363" t="s">
        <v>89</v>
      </c>
      <c r="C106" s="47">
        <f>FV(C99,C100,,-C105)</f>
        <v>620889.34138845443</v>
      </c>
    </row>
    <row r="107" spans="2:4" ht="16.2" thickBot="1" x14ac:dyDescent="0.35">
      <c r="B107" s="364" t="s">
        <v>91</v>
      </c>
      <c r="C107" s="48">
        <f>C106-C105</f>
        <v>85889.341388454428</v>
      </c>
    </row>
    <row r="108" spans="2:4" ht="15" thickBot="1" x14ac:dyDescent="0.35"/>
    <row r="109" spans="2:4" ht="18" x14ac:dyDescent="0.35">
      <c r="B109" s="934" t="s">
        <v>220</v>
      </c>
      <c r="C109" s="935"/>
    </row>
    <row r="110" spans="2:4" ht="15.6" x14ac:dyDescent="0.3">
      <c r="B110" s="366" t="s">
        <v>82</v>
      </c>
      <c r="C110" s="385">
        <f>'Calculating offering price'!C110</f>
        <v>0.02</v>
      </c>
      <c r="D110" s="3" t="s">
        <v>222</v>
      </c>
    </row>
    <row r="111" spans="2:4" ht="15.6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50474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 ARV'!E3</f>
        <v>2137238.9212587173</v>
      </c>
    </row>
    <row r="116" spans="2:3" ht="15.6" x14ac:dyDescent="0.3">
      <c r="B116" s="368" t="s">
        <v>88</v>
      </c>
      <c r="C116" s="195">
        <f>'ROI Number insert'!F3</f>
        <v>535000</v>
      </c>
    </row>
    <row r="117" spans="2:3" ht="15.6" x14ac:dyDescent="0.3">
      <c r="B117" s="366" t="s">
        <v>89</v>
      </c>
      <c r="C117" s="193">
        <f>FV(C110,C111,,-'ROI Number insert'!F3)</f>
        <v>720039.56100340909</v>
      </c>
    </row>
    <row r="118" spans="2:3" ht="16.2" thickBot="1" x14ac:dyDescent="0.35">
      <c r="B118" s="367" t="s">
        <v>91</v>
      </c>
      <c r="C118" s="194">
        <f>C117-C116</f>
        <v>185039.56100340909</v>
      </c>
    </row>
  </sheetData>
  <mergeCells count="13">
    <mergeCell ref="B24:C24"/>
    <mergeCell ref="B2:C2"/>
    <mergeCell ref="B15:C15"/>
    <mergeCell ref="D19:H19"/>
    <mergeCell ref="B20:C20"/>
    <mergeCell ref="D21:H21"/>
    <mergeCell ref="B109:C109"/>
    <mergeCell ref="D30:H30"/>
    <mergeCell ref="G44:I44"/>
    <mergeCell ref="D61:H61"/>
    <mergeCell ref="D80:I80"/>
    <mergeCell ref="B86:C86"/>
    <mergeCell ref="B98:C98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/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26" t="s">
        <v>454</v>
      </c>
    </row>
    <row r="2" spans="1:11" ht="21.6" thickBot="1" x14ac:dyDescent="0.45">
      <c r="B2" s="426" t="s">
        <v>141</v>
      </c>
      <c r="G2" s="425" t="s">
        <v>142</v>
      </c>
      <c r="I2" s="117"/>
    </row>
    <row r="3" spans="1:11" ht="15.6" x14ac:dyDescent="0.3">
      <c r="B3" s="1" t="s">
        <v>199</v>
      </c>
      <c r="G3" s="178" t="s">
        <v>205</v>
      </c>
      <c r="H3" s="179" t="s">
        <v>21</v>
      </c>
      <c r="I3" s="396">
        <f>C11</f>
        <v>555950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 t="e">
        <f>SUM('Principle Recapture ARV'!E9:E69)</f>
        <v>#NUM!</v>
      </c>
    </row>
    <row r="5" spans="1:11" ht="15.6" x14ac:dyDescent="0.3">
      <c r="B5" s="169">
        <v>1</v>
      </c>
      <c r="C5" s="170" t="e">
        <f>'ROI Number insert ARV'!E47</f>
        <v>#NUM!</v>
      </c>
      <c r="D5" s="171" t="e">
        <f>C5/$C$11</f>
        <v>#NUM!</v>
      </c>
      <c r="E5" s="172" t="e">
        <f>C5/12</f>
        <v>#NUM!</v>
      </c>
      <c r="G5" s="163"/>
      <c r="H5" s="181" t="s">
        <v>146</v>
      </c>
      <c r="I5" s="183" t="e">
        <f>I4/I3</f>
        <v>#NUM!</v>
      </c>
    </row>
    <row r="6" spans="1:11" ht="16.2" thickBot="1" x14ac:dyDescent="0.35">
      <c r="B6" s="169">
        <v>2</v>
      </c>
      <c r="C6" s="17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6" s="171" t="e">
        <f t="shared" ref="D6:D9" si="0">C6/$C$11</f>
        <v>#NUM!</v>
      </c>
      <c r="E6" s="172" t="e">
        <f>C6/12</f>
        <v>#NUM!</v>
      </c>
      <c r="G6" s="163"/>
      <c r="H6" s="181" t="s">
        <v>147</v>
      </c>
      <c r="I6" s="183" t="e">
        <f>I5/10</f>
        <v>#NUM!</v>
      </c>
    </row>
    <row r="7" spans="1:11" s="76" customFormat="1" ht="15.6" x14ac:dyDescent="0.3">
      <c r="B7" s="174">
        <v>3</v>
      </c>
      <c r="C7" s="17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7" s="171" t="e">
        <f t="shared" si="0"/>
        <v>#NUM!</v>
      </c>
      <c r="E7" s="175" t="e">
        <f>C7/12</f>
        <v>#NUM!</v>
      </c>
      <c r="G7" s="121" t="s">
        <v>144</v>
      </c>
      <c r="H7" s="122" t="s">
        <v>21</v>
      </c>
      <c r="I7" s="395">
        <f>C11</f>
        <v>555950</v>
      </c>
      <c r="K7" s="1"/>
    </row>
    <row r="8" spans="1:11" ht="15.6" x14ac:dyDescent="0.3">
      <c r="B8" s="169">
        <v>4</v>
      </c>
      <c r="C8" s="17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8" s="171" t="e">
        <f t="shared" si="0"/>
        <v>#NUM!</v>
      </c>
      <c r="E8" s="172" t="e">
        <f>C8/12</f>
        <v>#NUM!</v>
      </c>
      <c r="G8" s="124"/>
      <c r="H8" s="125" t="s">
        <v>145</v>
      </c>
      <c r="I8" s="126" t="e">
        <f>SUM('Principle Recapture ARV'!E9:E129)</f>
        <v>#NUM!</v>
      </c>
    </row>
    <row r="9" spans="1:11" ht="15.6" x14ac:dyDescent="0.3">
      <c r="B9" s="169">
        <v>5</v>
      </c>
      <c r="C9" s="17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9" s="171" t="e">
        <f t="shared" si="0"/>
        <v>#NUM!</v>
      </c>
      <c r="E9" s="172" t="e">
        <f>C9/12</f>
        <v>#NUM!</v>
      </c>
      <c r="G9" s="124"/>
      <c r="H9" s="125" t="s">
        <v>146</v>
      </c>
      <c r="I9" s="129" t="e">
        <f>I8/I7</f>
        <v>#NUM!</v>
      </c>
    </row>
    <row r="10" spans="1:11" ht="16.2" thickBot="1" x14ac:dyDescent="0.35">
      <c r="B10" s="169" t="s">
        <v>152</v>
      </c>
      <c r="C10" s="170" t="e">
        <f>SUM(C5:C9)</f>
        <v>#NUM!</v>
      </c>
      <c r="G10" s="224"/>
      <c r="H10" s="130" t="s">
        <v>147</v>
      </c>
      <c r="I10" s="225" t="e">
        <f>I9/10</f>
        <v>#NUM!</v>
      </c>
    </row>
    <row r="11" spans="1:11" ht="15.6" x14ac:dyDescent="0.3">
      <c r="B11" s="169" t="s">
        <v>21</v>
      </c>
      <c r="C11" s="170">
        <f>'Total Result'!D6</f>
        <v>555950</v>
      </c>
      <c r="G11" s="226" t="s">
        <v>148</v>
      </c>
      <c r="H11" s="227" t="s">
        <v>21</v>
      </c>
      <c r="I11" s="394">
        <f>C11</f>
        <v>555950</v>
      </c>
    </row>
    <row r="12" spans="1:11" s="76" customFormat="1" ht="15.6" x14ac:dyDescent="0.3">
      <c r="B12" s="174" t="s">
        <v>153</v>
      </c>
      <c r="C12" s="176" t="e">
        <f>C10/C11/5</f>
        <v>#NUM!</v>
      </c>
      <c r="G12" s="131"/>
      <c r="H12" s="132" t="s">
        <v>145</v>
      </c>
      <c r="I12" s="133" t="e">
        <f>SUM('Principle Recapture ARV'!E9:E189)</f>
        <v>#NUM!</v>
      </c>
      <c r="K12" s="1"/>
    </row>
    <row r="13" spans="1:11" ht="31.2" x14ac:dyDescent="0.3">
      <c r="B13" s="173" t="s">
        <v>154</v>
      </c>
      <c r="C13" s="234" t="e">
        <f>_xlfn.RRI(10,D5,D9)</f>
        <v>#NUM!</v>
      </c>
      <c r="G13" s="131"/>
      <c r="H13" s="132" t="s">
        <v>146</v>
      </c>
      <c r="I13" s="134" t="e">
        <f>I12/I11</f>
        <v>#NUM!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 t="e">
        <f>I13/15</f>
        <v>#NUM!</v>
      </c>
    </row>
    <row r="15" spans="1:11" ht="21.6" thickBot="1" x14ac:dyDescent="0.45">
      <c r="B15" s="138" t="s">
        <v>140</v>
      </c>
      <c r="C15" s="138" t="s">
        <v>149</v>
      </c>
      <c r="D15" s="138" t="s">
        <v>150</v>
      </c>
      <c r="E15" s="138" t="s">
        <v>151</v>
      </c>
      <c r="G15" s="425" t="s">
        <v>143</v>
      </c>
    </row>
    <row r="16" spans="1:11" ht="15.6" x14ac:dyDescent="0.3">
      <c r="B16" s="139">
        <v>1</v>
      </c>
      <c r="C16" s="140" t="e">
        <f>C5</f>
        <v>#NUM!</v>
      </c>
      <c r="D16" s="141" t="e">
        <f>C16/$C$27</f>
        <v>#NUM!</v>
      </c>
      <c r="E16" s="142" t="e">
        <f>C16/12</f>
        <v>#NUM!</v>
      </c>
      <c r="G16" s="184" t="s">
        <v>95</v>
      </c>
      <c r="H16" s="215">
        <f>'ROI Number insert'!F3</f>
        <v>535000</v>
      </c>
    </row>
    <row r="17" spans="2:11" ht="16.2" thickBot="1" x14ac:dyDescent="0.35">
      <c r="B17" s="139">
        <v>2</v>
      </c>
      <c r="C17" s="14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17" s="141" t="e">
        <f t="shared" ref="D17:D25" si="1">C17/$C$27</f>
        <v>#NUM!</v>
      </c>
      <c r="E17" s="142" t="e">
        <f t="shared" ref="E17:E25" si="2">C17/12</f>
        <v>#NUM!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18" s="141" t="e">
        <f t="shared" si="1"/>
        <v>#NUM!</v>
      </c>
      <c r="E18" s="142" t="e">
        <f t="shared" si="2"/>
        <v>#NUM!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19" s="141" t="e">
        <f t="shared" si="1"/>
        <v>#NUM!</v>
      </c>
      <c r="E19" s="142" t="e">
        <f t="shared" si="2"/>
        <v>#NUM!</v>
      </c>
      <c r="G19" s="186" t="s">
        <v>201</v>
      </c>
      <c r="H19" s="217">
        <f>'Calculating offering price ARV'!C95</f>
        <v>590683.229712</v>
      </c>
      <c r="I19" s="218">
        <f>H19-H16</f>
        <v>55683.229712</v>
      </c>
      <c r="J19" s="221">
        <f>I19/C11</f>
        <v>0.10015870080402914</v>
      </c>
      <c r="K19" s="222">
        <f>_xlfn.RRI(5,H16,H19)</f>
        <v>2.0000000000000018E-2</v>
      </c>
    </row>
    <row r="20" spans="2:11" ht="15.6" x14ac:dyDescent="0.3">
      <c r="B20" s="139">
        <v>5</v>
      </c>
      <c r="C20" s="14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20" s="141" t="e">
        <f t="shared" si="1"/>
        <v>#NUM!</v>
      </c>
      <c r="E20" s="142" t="e">
        <f t="shared" si="2"/>
        <v>#NUM!</v>
      </c>
      <c r="G20" s="186" t="s">
        <v>202</v>
      </c>
      <c r="H20" s="392">
        <f>'Calculating offering price ARV'!C106</f>
        <v>620889.34138845443</v>
      </c>
      <c r="I20" s="218">
        <f>H20-H16</f>
        <v>85889.341388454428</v>
      </c>
      <c r="J20" s="221">
        <f>I20/C11</f>
        <v>0.15449112579990004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21" s="141" t="e">
        <f t="shared" si="1"/>
        <v>#NUM!</v>
      </c>
      <c r="E21" s="142" t="e">
        <f t="shared" si="2"/>
        <v>#NUM!</v>
      </c>
      <c r="G21" s="188" t="s">
        <v>203</v>
      </c>
      <c r="H21" s="393">
        <f>'Calculating offering price ARV'!C117</f>
        <v>720039.56100340909</v>
      </c>
      <c r="I21" s="220">
        <f>H21-H16</f>
        <v>185039.56100340909</v>
      </c>
      <c r="J21" s="221">
        <f>I21/C11</f>
        <v>0.33283489702924562</v>
      </c>
      <c r="K21" s="223">
        <f>_xlfn.RRI(15,H16,H21)</f>
        <v>2.0000000000000018E-2</v>
      </c>
    </row>
    <row r="22" spans="2:11" ht="15.6" x14ac:dyDescent="0.3">
      <c r="B22" s="139">
        <v>7</v>
      </c>
      <c r="C22" s="140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22" s="141" t="e">
        <f t="shared" si="1"/>
        <v>#NUM!</v>
      </c>
      <c r="E22" s="142" t="e">
        <f t="shared" si="2"/>
        <v>#NUM!</v>
      </c>
    </row>
    <row r="23" spans="2:11" ht="21.6" thickBot="1" x14ac:dyDescent="0.45">
      <c r="B23" s="139">
        <v>8</v>
      </c>
      <c r="C23" s="140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23" s="141" t="e">
        <f t="shared" si="1"/>
        <v>#NUM!</v>
      </c>
      <c r="E23" s="142" t="e">
        <f t="shared" si="2"/>
        <v>#NUM!</v>
      </c>
      <c r="G23" s="192" t="s">
        <v>206</v>
      </c>
    </row>
    <row r="24" spans="2:11" ht="15.6" x14ac:dyDescent="0.3">
      <c r="B24" s="139">
        <v>9</v>
      </c>
      <c r="C24" s="140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24" s="141" t="e">
        <f t="shared" si="1"/>
        <v>#NUM!</v>
      </c>
      <c r="E24" s="142" t="e">
        <f t="shared" si="2"/>
        <v>#NUM!</v>
      </c>
      <c r="G24" s="209" t="s">
        <v>95</v>
      </c>
      <c r="H24" s="210">
        <f>'ROI Number insert'!F3</f>
        <v>535000</v>
      </c>
    </row>
    <row r="25" spans="2:11" ht="15.6" x14ac:dyDescent="0.3">
      <c r="B25" s="139">
        <v>10</v>
      </c>
      <c r="C25" s="140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25" s="141" t="e">
        <f t="shared" si="1"/>
        <v>#NUM!</v>
      </c>
      <c r="E25" s="142" t="e">
        <f t="shared" si="2"/>
        <v>#NUM!</v>
      </c>
      <c r="G25" s="211" t="s">
        <v>94</v>
      </c>
      <c r="H25" s="212">
        <f>'ROI Number insert'!F10</f>
        <v>20950</v>
      </c>
      <c r="I25" s="117"/>
    </row>
    <row r="26" spans="2:11" ht="15.6" x14ac:dyDescent="0.3">
      <c r="B26" s="139" t="s">
        <v>152</v>
      </c>
      <c r="C26" s="140" t="e">
        <f>SUM(C16:C25)</f>
        <v>#NUM!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555950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 t="e">
        <f>C26/C27/10</f>
        <v>#NUM!</v>
      </c>
      <c r="D28" s="117"/>
      <c r="G28" s="211" t="s">
        <v>208</v>
      </c>
      <c r="H28" s="212">
        <f>'ROI Number insert ARV'!E50</f>
        <v>136000</v>
      </c>
      <c r="I28" s="164"/>
      <c r="J28" s="165"/>
    </row>
    <row r="29" spans="2:11" ht="31.2" x14ac:dyDescent="0.3">
      <c r="B29" s="144" t="s">
        <v>154</v>
      </c>
      <c r="C29" s="235" t="e">
        <f>_xlfn.RRI(10,D16,D25)</f>
        <v>#NUM!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212">
        <f>H29-SUM(H24:H28)</f>
        <v>1308050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208200</v>
      </c>
    </row>
    <row r="32" spans="2:11" ht="16.2" thickBot="1" x14ac:dyDescent="0.35">
      <c r="B32" s="146">
        <v>1</v>
      </c>
      <c r="C32" s="147" t="e">
        <f>C16</f>
        <v>#NUM!</v>
      </c>
      <c r="D32" s="148" t="e">
        <f>C32/$C$48</f>
        <v>#NUM!</v>
      </c>
      <c r="E32" s="147" t="e">
        <f>C32/12</f>
        <v>#NUM!</v>
      </c>
      <c r="G32" s="213" t="s">
        <v>146</v>
      </c>
      <c r="H32" s="214">
        <f>H30/H31</f>
        <v>6.2826609029779057</v>
      </c>
    </row>
    <row r="33" spans="2:11" ht="21.6" thickBot="1" x14ac:dyDescent="0.45">
      <c r="B33" s="146">
        <v>2</v>
      </c>
      <c r="C33" s="149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33" s="148" t="e">
        <f t="shared" ref="D33:D46" si="3">C33/$C$48</f>
        <v>#NUM!</v>
      </c>
      <c r="E33" s="147" t="e">
        <f t="shared" ref="E33:E46" si="4">C33/12</f>
        <v>#NUM!</v>
      </c>
      <c r="G33" s="192" t="s">
        <v>217</v>
      </c>
    </row>
    <row r="34" spans="2:11" s="76" customFormat="1" ht="31.8" thickBot="1" x14ac:dyDescent="0.35">
      <c r="B34" s="199">
        <v>3</v>
      </c>
      <c r="C34" s="149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34" s="201" t="e">
        <f t="shared" si="3"/>
        <v>#NUM!</v>
      </c>
      <c r="E34" s="202" t="e">
        <f t="shared" si="4"/>
        <v>#NUM!</v>
      </c>
      <c r="G34" s="204" t="s">
        <v>218</v>
      </c>
      <c r="H34" s="206">
        <f>'ROI Number insert ARV'!E45</f>
        <v>-17888.089249411765</v>
      </c>
      <c r="I34" s="203"/>
      <c r="J34" s="203"/>
      <c r="K34" s="203"/>
    </row>
    <row r="35" spans="2:11" ht="16.2" thickBot="1" x14ac:dyDescent="0.35">
      <c r="B35" s="146">
        <v>4</v>
      </c>
      <c r="C35" s="149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35" s="148" t="e">
        <f t="shared" si="3"/>
        <v>#NUM!</v>
      </c>
      <c r="E35" s="147" t="e">
        <f t="shared" si="4"/>
        <v>#NUM!</v>
      </c>
      <c r="G35" s="205" t="s">
        <v>217</v>
      </c>
      <c r="H35" s="312" t="e">
        <f>H34/'ROI Number insert ARV'!E3</f>
        <v>#DIV/0!</v>
      </c>
    </row>
    <row r="36" spans="2:11" ht="15.6" x14ac:dyDescent="0.3">
      <c r="B36" s="146">
        <v>5</v>
      </c>
      <c r="C36" s="149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36" s="148" t="e">
        <f t="shared" si="3"/>
        <v>#NUM!</v>
      </c>
      <c r="E36" s="147" t="e">
        <f t="shared" si="4"/>
        <v>#NUM!</v>
      </c>
    </row>
    <row r="37" spans="2:11" ht="15.6" x14ac:dyDescent="0.3">
      <c r="B37" s="146">
        <v>6</v>
      </c>
      <c r="C37" s="149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37" s="148" t="e">
        <f t="shared" si="3"/>
        <v>#NUM!</v>
      </c>
      <c r="E37" s="147" t="e">
        <f t="shared" si="4"/>
        <v>#NUM!</v>
      </c>
      <c r="G37" s="177"/>
    </row>
    <row r="38" spans="2:11" ht="15.6" x14ac:dyDescent="0.3">
      <c r="B38" s="146">
        <v>7</v>
      </c>
      <c r="C38" s="149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38" s="148" t="e">
        <f t="shared" si="3"/>
        <v>#NUM!</v>
      </c>
      <c r="E38" s="147" t="e">
        <f t="shared" si="4"/>
        <v>#NUM!</v>
      </c>
    </row>
    <row r="39" spans="2:11" s="203" customFormat="1" ht="15.6" x14ac:dyDescent="0.3">
      <c r="B39" s="199">
        <v>8</v>
      </c>
      <c r="C39" s="149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39" s="148" t="e">
        <f t="shared" si="3"/>
        <v>#NUM!</v>
      </c>
      <c r="E39" s="202" t="e">
        <f t="shared" si="4"/>
        <v>#NUM!</v>
      </c>
    </row>
    <row r="40" spans="2:11" ht="15.6" x14ac:dyDescent="0.3">
      <c r="B40" s="146">
        <v>9</v>
      </c>
      <c r="C40" s="149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40" s="148" t="e">
        <f t="shared" si="3"/>
        <v>#NUM!</v>
      </c>
      <c r="E40" s="147" t="e">
        <f t="shared" si="4"/>
        <v>#NUM!</v>
      </c>
    </row>
    <row r="41" spans="2:11" ht="15.6" x14ac:dyDescent="0.3">
      <c r="B41" s="146">
        <v>10</v>
      </c>
      <c r="C41" s="149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41" s="148" t="e">
        <f t="shared" si="3"/>
        <v>#NUM!</v>
      </c>
      <c r="E41" s="147" t="e">
        <f t="shared" si="4"/>
        <v>#NUM!</v>
      </c>
    </row>
    <row r="42" spans="2:11" ht="15.6" x14ac:dyDescent="0.3">
      <c r="B42" s="146">
        <v>11</v>
      </c>
      <c r="C42" s="149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D42" s="148" t="e">
        <f t="shared" si="3"/>
        <v>#NUM!</v>
      </c>
      <c r="E42" s="147" t="e">
        <f t="shared" si="4"/>
        <v>#NUM!</v>
      </c>
    </row>
    <row r="43" spans="2:11" ht="15.6" x14ac:dyDescent="0.3">
      <c r="B43" s="146">
        <v>12</v>
      </c>
      <c r="C43" s="149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D43" s="148" t="e">
        <f t="shared" si="3"/>
        <v>#NUM!</v>
      </c>
      <c r="E43" s="147" t="e">
        <f t="shared" si="4"/>
        <v>#NUM!</v>
      </c>
    </row>
    <row r="44" spans="2:11" ht="15.6" x14ac:dyDescent="0.3">
      <c r="B44" s="146">
        <v>13</v>
      </c>
      <c r="C44" s="149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D44" s="148" t="e">
        <f t="shared" si="3"/>
        <v>#NUM!</v>
      </c>
      <c r="E44" s="147" t="e">
        <f t="shared" si="4"/>
        <v>#NUM!</v>
      </c>
    </row>
    <row r="45" spans="2:11" ht="15.6" x14ac:dyDescent="0.3">
      <c r="B45" s="146">
        <v>14</v>
      </c>
      <c r="C45" s="149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D45" s="148" t="e">
        <f t="shared" si="3"/>
        <v>#NUM!</v>
      </c>
      <c r="E45" s="147" t="e">
        <f t="shared" si="4"/>
        <v>#NUM!</v>
      </c>
    </row>
    <row r="46" spans="2:11" ht="15.6" x14ac:dyDescent="0.3">
      <c r="B46" s="146">
        <v>15</v>
      </c>
      <c r="C46" s="149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D46" s="148" t="e">
        <f t="shared" si="3"/>
        <v>#NUM!</v>
      </c>
      <c r="E46" s="147" t="e">
        <f t="shared" si="4"/>
        <v>#NUM!</v>
      </c>
    </row>
    <row r="47" spans="2:11" ht="15.6" x14ac:dyDescent="0.3">
      <c r="B47" s="150" t="s">
        <v>152</v>
      </c>
      <c r="C47" s="151" t="e">
        <f>SUM(C32:C46)</f>
        <v>#NUM!</v>
      </c>
      <c r="D47" s="152"/>
      <c r="E47" s="153"/>
    </row>
    <row r="48" spans="2:11" ht="15.6" x14ac:dyDescent="0.3">
      <c r="B48" s="154" t="s">
        <v>21</v>
      </c>
      <c r="C48" s="155">
        <f>C11</f>
        <v>555950</v>
      </c>
      <c r="D48" s="152"/>
      <c r="E48" s="153"/>
    </row>
    <row r="49" spans="2:5" ht="15.6" x14ac:dyDescent="0.3">
      <c r="B49" s="154" t="s">
        <v>153</v>
      </c>
      <c r="C49" s="156" t="e">
        <f>C47/C48/15</f>
        <v>#NUM!</v>
      </c>
      <c r="D49" s="152"/>
      <c r="E49" s="153"/>
    </row>
    <row r="50" spans="2:5" ht="31.2" x14ac:dyDescent="0.3">
      <c r="B50" s="157" t="s">
        <v>154</v>
      </c>
      <c r="C50" s="236" t="e">
        <f>_xlfn.RRI(15,D33,D46)</f>
        <v>#NUM!</v>
      </c>
      <c r="D50" s="166"/>
      <c r="E50" s="167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D1" sqref="D1:H1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1" customWidth="1"/>
    <col min="6" max="6" width="20.33203125" customWidth="1"/>
    <col min="7" max="7" width="23.21875" style="162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646" t="s">
        <v>454</v>
      </c>
      <c r="D1" s="957" t="s">
        <v>93</v>
      </c>
      <c r="E1" s="957"/>
      <c r="F1" s="957"/>
      <c r="G1" s="957"/>
      <c r="H1" s="957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1588000</v>
      </c>
      <c r="F2" s="52"/>
      <c r="G2" s="1012" t="s">
        <v>94</v>
      </c>
      <c r="H2" s="1013"/>
      <c r="I2" s="1"/>
      <c r="J2" s="1"/>
      <c r="K2" s="1"/>
      <c r="L2" s="1"/>
      <c r="M2" s="1"/>
    </row>
    <row r="3" spans="1:13" ht="16.2" thickBot="1" x14ac:dyDescent="0.35">
      <c r="D3" s="305" t="s">
        <v>313</v>
      </c>
      <c r="E3" s="380">
        <f>'ROI Number insert'!F18</f>
        <v>0</v>
      </c>
      <c r="F3" s="285" t="s">
        <v>248</v>
      </c>
      <c r="G3" s="238" t="s">
        <v>96</v>
      </c>
      <c r="H3" s="386">
        <f>'ROI Number insert'!I3</f>
        <v>0.02</v>
      </c>
      <c r="I3" s="1"/>
      <c r="J3" s="1"/>
      <c r="K3" s="1"/>
      <c r="L3" s="1"/>
      <c r="M3" s="1"/>
    </row>
    <row r="4" spans="1:13" ht="16.8" thickTop="1" thickBot="1" x14ac:dyDescent="0.35">
      <c r="C4" s="306"/>
      <c r="D4" s="302" t="s">
        <v>97</v>
      </c>
      <c r="E4" s="649">
        <v>0</v>
      </c>
      <c r="F4" s="285" t="s">
        <v>249</v>
      </c>
      <c r="G4" s="53" t="s">
        <v>98</v>
      </c>
      <c r="H4" s="54">
        <f>'ROI Number insert'!I4</f>
        <v>10700</v>
      </c>
      <c r="I4" s="1"/>
      <c r="J4" s="1"/>
      <c r="K4" s="1"/>
      <c r="L4" s="1"/>
      <c r="M4" s="1"/>
    </row>
    <row r="5" spans="1:13" ht="16.8" thickTop="1" thickBot="1" x14ac:dyDescent="0.35">
      <c r="C5" s="306"/>
      <c r="D5" s="303" t="s">
        <v>99</v>
      </c>
      <c r="E5" s="696">
        <v>0</v>
      </c>
      <c r="F5" s="1"/>
      <c r="G5" s="53" t="s">
        <v>100</v>
      </c>
      <c r="H5" s="387">
        <f>'ROI Number insert'!I5</f>
        <v>1200</v>
      </c>
      <c r="I5" s="1"/>
      <c r="J5" s="1"/>
      <c r="K5" s="1"/>
      <c r="L5" s="1"/>
      <c r="M5" s="1"/>
    </row>
    <row r="6" spans="1:13" ht="16.8" thickTop="1" thickBot="1" x14ac:dyDescent="0.35">
      <c r="C6" s="306"/>
      <c r="D6" s="303" t="s">
        <v>101</v>
      </c>
      <c r="E6" s="397">
        <f>'ROI Number insert'!F6</f>
        <v>0.02</v>
      </c>
      <c r="F6" s="1"/>
      <c r="G6" s="53" t="s">
        <v>102</v>
      </c>
      <c r="H6" s="387">
        <f>'ROI Number insert'!I6</f>
        <v>1200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696">
        <v>0</v>
      </c>
      <c r="F7" s="1"/>
      <c r="G7" s="57" t="s">
        <v>103</v>
      </c>
      <c r="H7" s="388">
        <f>'ROI Number insert'!I7</f>
        <v>2500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696">
        <v>0</v>
      </c>
      <c r="F8" s="1"/>
      <c r="G8" s="57" t="s">
        <v>105</v>
      </c>
      <c r="H8" s="389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0.35</v>
      </c>
      <c r="F9" s="1"/>
      <c r="G9" s="59" t="s">
        <v>106</v>
      </c>
      <c r="H9" s="60">
        <f>'ROI Number insert'!I9</f>
        <v>5350</v>
      </c>
      <c r="I9" s="1"/>
      <c r="J9" s="1"/>
      <c r="K9" s="1"/>
      <c r="L9" s="1"/>
      <c r="M9" s="1"/>
    </row>
    <row r="10" spans="1:13" ht="16.2" thickBot="1" x14ac:dyDescent="0.35">
      <c r="D10" s="55" t="s">
        <v>447</v>
      </c>
      <c r="E10" s="61">
        <v>500</v>
      </c>
      <c r="F10" s="1"/>
      <c r="G10" s="960" t="s">
        <v>26</v>
      </c>
      <c r="H10" s="961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0</v>
      </c>
      <c r="F11" s="1"/>
      <c r="G11" s="279" t="s">
        <v>27</v>
      </c>
      <c r="H11" s="280">
        <f>E12</f>
        <v>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0</v>
      </c>
      <c r="F12" s="1"/>
      <c r="G12" s="198" t="s">
        <v>110</v>
      </c>
      <c r="H12" s="65" t="e">
        <f>'Calculating offering price ARV'!C26</f>
        <v>#NUM!</v>
      </c>
      <c r="I12" s="1"/>
      <c r="J12" s="1"/>
      <c r="K12" s="1"/>
      <c r="L12" s="1"/>
      <c r="M12" s="1"/>
    </row>
    <row r="13" spans="1:13" ht="31.2" x14ac:dyDescent="0.3">
      <c r="D13" s="237" t="s">
        <v>15</v>
      </c>
      <c r="E13" s="66">
        <f>'Calculating offering price ARV'!C9</f>
        <v>0</v>
      </c>
      <c r="F13" s="1"/>
      <c r="G13" s="67" t="s">
        <v>31</v>
      </c>
      <c r="H13" s="68" t="e">
        <f>H12*12</f>
        <v>#NUM!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1">
        <v>5</v>
      </c>
      <c r="F14" s="1"/>
      <c r="G14" s="70" t="s">
        <v>111</v>
      </c>
      <c r="H14" s="71">
        <f>'Calculating offering price ARV'!C28</f>
        <v>3932.9457199999997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 t="e">
        <f>E16*E14</f>
        <v>#NUM!</v>
      </c>
      <c r="F15" s="1"/>
      <c r="G15" s="70" t="s">
        <v>33</v>
      </c>
      <c r="H15" s="73">
        <f>H14/12</f>
        <v>327.74547666666666</v>
      </c>
      <c r="I15" s="1"/>
      <c r="J15" s="74"/>
      <c r="K15" s="74"/>
      <c r="L15" s="74"/>
      <c r="M15" s="74"/>
    </row>
    <row r="16" spans="1:13" ht="16.05" customHeight="1" thickBot="1" x14ac:dyDescent="0.35">
      <c r="D16" s="369" t="s">
        <v>216</v>
      </c>
      <c r="E16" s="370" t="e">
        <f>H23</f>
        <v>#NUM!</v>
      </c>
      <c r="F16" s="1"/>
      <c r="G16" s="275" t="s">
        <v>112</v>
      </c>
      <c r="H16" s="276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09" t="s">
        <v>209</v>
      </c>
      <c r="E17" s="710">
        <f>'ROI Number insert'!F17</f>
        <v>2000000</v>
      </c>
      <c r="F17" s="76"/>
      <c r="G17" s="281" t="s">
        <v>246</v>
      </c>
      <c r="H17" s="283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11" t="s">
        <v>313</v>
      </c>
      <c r="E18" s="712">
        <f>'ROI Number insert'!F18</f>
        <v>0</v>
      </c>
      <c r="F18" s="76"/>
      <c r="G18" s="277" t="s">
        <v>36</v>
      </c>
      <c r="H18" s="278">
        <f>'Calculating offering price ARV'!C32</f>
        <v>1500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1" t="s">
        <v>114</v>
      </c>
      <c r="E19" s="372" t="e">
        <f>E11+E13+E15+E10</f>
        <v>#NUM!</v>
      </c>
      <c r="F19" s="76"/>
      <c r="G19" s="77" t="s">
        <v>37</v>
      </c>
      <c r="H19" s="75">
        <f>'Calculating offering price ARV'!C33</f>
        <v>1571.1435294117646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500</v>
      </c>
      <c r="F20" s="76"/>
      <c r="G20" s="80" t="s">
        <v>39</v>
      </c>
      <c r="H20" s="81">
        <f>'Calculating offering price ARV'!C34</f>
        <v>907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7" t="s">
        <v>116</v>
      </c>
      <c r="E21" s="197"/>
      <c r="F21" s="76"/>
      <c r="G21" s="82" t="s">
        <v>40</v>
      </c>
      <c r="H21" s="83">
        <f>H20*12</f>
        <v>10884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964" t="s">
        <v>117</v>
      </c>
      <c r="E22" s="965"/>
      <c r="F22" s="76"/>
      <c r="G22" s="84" t="s">
        <v>41</v>
      </c>
      <c r="H22" s="85" t="e">
        <f>H13+H14+H16+H18+H19+H21+H17</f>
        <v>#NUM!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0</v>
      </c>
      <c r="F23" s="1"/>
      <c r="G23" s="87" t="s">
        <v>42</v>
      </c>
      <c r="H23" s="88" t="e">
        <f>H22/12</f>
        <v>#NUM!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0</v>
      </c>
      <c r="F24" s="90"/>
      <c r="G24" s="268" t="s">
        <v>225</v>
      </c>
      <c r="H24" s="284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697">
        <v>0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2" t="s">
        <v>240</v>
      </c>
      <c r="E27" s="100">
        <f>E24-E26</f>
        <v>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962" t="s">
        <v>187</v>
      </c>
      <c r="E28" s="963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 t="e">
        <f>H12</f>
        <v>#NUM!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 t="e">
        <f>E29*12</f>
        <v>#NUM!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955" t="s">
        <v>239</v>
      </c>
      <c r="E31" s="956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3932.9457199999997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9">
        <f>E23*8%</f>
        <v>0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0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1571.1435294117646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907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10884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1500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9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9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0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0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90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3" t="s">
        <v>241</v>
      </c>
      <c r="E44" s="274">
        <f>E32+E34+E35+E37+E38+E39+E40+E41+E42+E43</f>
        <v>17888.089249411765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9" t="s">
        <v>135</v>
      </c>
      <c r="E45" s="230">
        <f>E27-E44</f>
        <v>-17888.089249411765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1" t="s">
        <v>138</v>
      </c>
      <c r="E46" s="232" t="e">
        <f>E30</f>
        <v>#NUM!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3" t="e">
        <f>E45-E46</f>
        <v>#NUM!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 t="e">
        <f>E47/12</f>
        <v>#NUM!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136000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7"/>
      <c r="G96" s="128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7"/>
      <c r="G97" s="128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8"/>
      <c r="E148" s="159"/>
      <c r="F148" s="158"/>
      <c r="G148" s="160"/>
      <c r="H148" s="158"/>
      <c r="I148" s="158"/>
      <c r="J148" s="158"/>
    </row>
    <row r="149" spans="4:10" x14ac:dyDescent="0.3">
      <c r="D149" s="158"/>
      <c r="E149" s="159"/>
      <c r="F149" s="158"/>
      <c r="G149" s="160"/>
      <c r="H149" s="158"/>
      <c r="I149" s="158"/>
      <c r="J149" s="158"/>
    </row>
    <row r="150" spans="4:10" x14ac:dyDescent="0.3">
      <c r="D150" s="158"/>
      <c r="E150" s="159"/>
      <c r="F150" s="158"/>
      <c r="G150" s="160"/>
      <c r="H150" s="158"/>
      <c r="I150" s="158"/>
      <c r="J150" s="158"/>
    </row>
    <row r="151" spans="4:10" x14ac:dyDescent="0.3">
      <c r="D151" s="158"/>
      <c r="E151" s="159"/>
      <c r="F151" s="158"/>
      <c r="G151" s="160"/>
      <c r="H151" s="158"/>
      <c r="I151" s="158"/>
      <c r="J151" s="158"/>
    </row>
    <row r="152" spans="4:10" x14ac:dyDescent="0.3">
      <c r="D152" s="158"/>
      <c r="E152" s="159"/>
      <c r="F152" s="158"/>
      <c r="G152" s="160"/>
      <c r="H152" s="158"/>
      <c r="I152" s="158"/>
      <c r="J152" s="158"/>
    </row>
    <row r="153" spans="4:10" x14ac:dyDescent="0.3">
      <c r="D153" s="158"/>
      <c r="E153" s="159"/>
      <c r="F153" s="158"/>
      <c r="G153" s="160"/>
      <c r="H153" s="158"/>
      <c r="I153" s="158"/>
      <c r="J153" s="158"/>
    </row>
    <row r="154" spans="4:10" x14ac:dyDescent="0.3">
      <c r="D154" s="158"/>
      <c r="E154" s="159"/>
      <c r="F154" s="158"/>
      <c r="G154" s="160"/>
      <c r="H154" s="158"/>
      <c r="I154" s="158"/>
      <c r="J154" s="158"/>
    </row>
    <row r="155" spans="4:10" x14ac:dyDescent="0.3">
      <c r="D155" s="158"/>
      <c r="E155" s="159"/>
      <c r="F155" s="158"/>
      <c r="G155" s="160"/>
      <c r="H155" s="158"/>
      <c r="I155" s="158"/>
      <c r="J155" s="158"/>
    </row>
    <row r="156" spans="4:10" x14ac:dyDescent="0.3">
      <c r="D156" s="158"/>
      <c r="E156" s="159"/>
      <c r="F156" s="158"/>
      <c r="G156" s="160"/>
      <c r="H156" s="158"/>
      <c r="I156" s="158"/>
      <c r="J156" s="158"/>
    </row>
    <row r="157" spans="4:10" x14ac:dyDescent="0.3">
      <c r="D157" s="158"/>
      <c r="E157" s="159"/>
      <c r="F157" s="158"/>
      <c r="G157" s="160"/>
      <c r="H157" s="158"/>
      <c r="I157" s="158"/>
      <c r="J157" s="158"/>
    </row>
    <row r="158" spans="4:10" x14ac:dyDescent="0.3">
      <c r="D158" s="158"/>
      <c r="E158" s="159"/>
      <c r="F158" s="158"/>
      <c r="G158" s="160"/>
      <c r="H158" s="158"/>
      <c r="I158" s="158"/>
      <c r="J158" s="158"/>
    </row>
    <row r="159" spans="4:10" x14ac:dyDescent="0.3">
      <c r="D159" s="158"/>
      <c r="E159" s="159"/>
      <c r="F159" s="158"/>
      <c r="G159" s="160"/>
      <c r="H159" s="158"/>
      <c r="I159" s="158"/>
      <c r="J159" s="158"/>
    </row>
    <row r="160" spans="4:10" x14ac:dyDescent="0.3">
      <c r="D160" s="158"/>
      <c r="E160" s="159"/>
      <c r="F160" s="158"/>
      <c r="G160" s="160"/>
      <c r="H160" s="158"/>
      <c r="I160" s="158"/>
      <c r="J160" s="158"/>
    </row>
    <row r="161" spans="4:10" x14ac:dyDescent="0.3">
      <c r="D161" s="158"/>
      <c r="E161" s="159"/>
      <c r="F161" s="158"/>
      <c r="G161" s="160"/>
      <c r="H161" s="158"/>
      <c r="I161" s="158"/>
      <c r="J161" s="158"/>
    </row>
    <row r="162" spans="4:10" x14ac:dyDescent="0.3">
      <c r="D162" s="158"/>
      <c r="E162" s="159"/>
      <c r="F162" s="158"/>
      <c r="G162" s="160"/>
      <c r="H162" s="158"/>
      <c r="I162" s="158"/>
      <c r="J162" s="158"/>
    </row>
    <row r="163" spans="4:10" x14ac:dyDescent="0.3">
      <c r="D163" s="158"/>
      <c r="E163" s="159"/>
      <c r="F163" s="158"/>
      <c r="G163" s="160"/>
      <c r="H163" s="158"/>
      <c r="I163" s="158"/>
      <c r="J163" s="158"/>
    </row>
    <row r="164" spans="4:10" x14ac:dyDescent="0.3">
      <c r="D164" s="158"/>
      <c r="E164" s="159"/>
      <c r="F164" s="158"/>
      <c r="G164" s="160"/>
      <c r="H164" s="158"/>
      <c r="I164" s="158"/>
      <c r="J164" s="158"/>
    </row>
    <row r="165" spans="4:10" x14ac:dyDescent="0.3">
      <c r="D165" s="158"/>
      <c r="E165" s="159"/>
      <c r="F165" s="158"/>
      <c r="G165" s="160"/>
      <c r="H165" s="158"/>
      <c r="I165" s="158"/>
      <c r="J165" s="158"/>
    </row>
    <row r="166" spans="4:10" x14ac:dyDescent="0.3">
      <c r="D166" s="158"/>
      <c r="E166" s="159"/>
      <c r="F166" s="158"/>
      <c r="G166" s="160"/>
      <c r="H166" s="158"/>
      <c r="I166" s="158"/>
      <c r="J166" s="158"/>
    </row>
    <row r="167" spans="4:10" x14ac:dyDescent="0.3">
      <c r="D167" s="158"/>
      <c r="E167" s="159"/>
      <c r="F167" s="158"/>
      <c r="G167" s="160"/>
      <c r="H167" s="158"/>
      <c r="I167" s="158"/>
      <c r="J167" s="158"/>
    </row>
    <row r="168" spans="4:10" x14ac:dyDescent="0.3">
      <c r="D168" s="158"/>
      <c r="E168" s="159"/>
      <c r="F168" s="158"/>
      <c r="G168" s="160"/>
      <c r="H168" s="158"/>
      <c r="I168" s="158"/>
      <c r="J168" s="158"/>
    </row>
    <row r="169" spans="4:10" x14ac:dyDescent="0.3">
      <c r="D169" s="158"/>
      <c r="E169" s="159"/>
      <c r="F169" s="158"/>
      <c r="G169" s="160"/>
      <c r="H169" s="158"/>
      <c r="I169" s="158"/>
      <c r="J169" s="158"/>
    </row>
    <row r="170" spans="4:10" x14ac:dyDescent="0.3">
      <c r="D170" s="158"/>
      <c r="E170" s="159"/>
      <c r="F170" s="158"/>
      <c r="G170" s="160"/>
      <c r="H170" s="158"/>
      <c r="I170" s="158"/>
      <c r="J170" s="158"/>
    </row>
    <row r="171" spans="4:10" x14ac:dyDescent="0.3">
      <c r="D171" s="158"/>
      <c r="E171" s="159"/>
      <c r="F171" s="158"/>
      <c r="G171" s="160"/>
      <c r="H171" s="158"/>
      <c r="I171" s="158"/>
      <c r="J171" s="158"/>
    </row>
    <row r="172" spans="4:10" x14ac:dyDescent="0.3">
      <c r="D172" s="158"/>
      <c r="E172" s="159"/>
      <c r="F172" s="158"/>
      <c r="G172" s="160"/>
      <c r="H172" s="158"/>
      <c r="I172" s="158"/>
      <c r="J172" s="158"/>
    </row>
    <row r="173" spans="4:10" x14ac:dyDescent="0.3">
      <c r="D173" s="158"/>
      <c r="E173" s="159"/>
      <c r="F173" s="158"/>
      <c r="G173" s="160"/>
      <c r="H173" s="158"/>
      <c r="I173" s="158"/>
      <c r="J173" s="158"/>
    </row>
    <row r="174" spans="4:10" x14ac:dyDescent="0.3">
      <c r="D174" s="158"/>
      <c r="E174" s="159"/>
      <c r="F174" s="158"/>
      <c r="G174" s="160"/>
      <c r="H174" s="158"/>
      <c r="I174" s="158"/>
      <c r="J174" s="158"/>
    </row>
    <row r="175" spans="4:10" x14ac:dyDescent="0.3">
      <c r="D175" s="158"/>
      <c r="E175" s="159"/>
      <c r="F175" s="158"/>
      <c r="G175" s="160"/>
      <c r="H175" s="158"/>
      <c r="I175" s="158"/>
      <c r="J175" s="158"/>
    </row>
    <row r="176" spans="4:10" x14ac:dyDescent="0.3">
      <c r="D176" s="158"/>
      <c r="E176" s="159"/>
      <c r="F176" s="158"/>
      <c r="G176" s="160"/>
      <c r="H176" s="158"/>
      <c r="I176" s="158"/>
      <c r="J176" s="158"/>
    </row>
    <row r="177" spans="4:10" x14ac:dyDescent="0.3">
      <c r="D177" s="158"/>
      <c r="E177" s="159"/>
      <c r="F177" s="158"/>
      <c r="G177" s="160"/>
      <c r="H177" s="158"/>
      <c r="I177" s="158"/>
      <c r="J177" s="158"/>
    </row>
    <row r="178" spans="4:10" x14ac:dyDescent="0.3">
      <c r="D178" s="158"/>
      <c r="E178" s="159"/>
      <c r="F178" s="158"/>
      <c r="G178" s="160"/>
      <c r="H178" s="158"/>
      <c r="I178" s="158"/>
      <c r="J178" s="158"/>
    </row>
    <row r="179" spans="4:10" x14ac:dyDescent="0.3">
      <c r="D179" s="158"/>
      <c r="E179" s="159"/>
      <c r="F179" s="158"/>
      <c r="G179" s="160"/>
      <c r="H179" s="158"/>
      <c r="I179" s="158"/>
      <c r="J179" s="158"/>
    </row>
    <row r="180" spans="4:10" x14ac:dyDescent="0.3">
      <c r="D180" s="158"/>
      <c r="E180" s="159"/>
      <c r="F180" s="158"/>
      <c r="G180" s="160"/>
      <c r="H180" s="158"/>
      <c r="I180" s="158"/>
      <c r="J180" s="158"/>
    </row>
    <row r="181" spans="4:10" x14ac:dyDescent="0.3">
      <c r="D181" s="158"/>
      <c r="E181" s="159"/>
      <c r="F181" s="158"/>
      <c r="G181" s="160"/>
      <c r="H181" s="158"/>
      <c r="I181" s="158"/>
      <c r="J181" s="158"/>
    </row>
    <row r="182" spans="4:10" x14ac:dyDescent="0.3">
      <c r="D182" s="158"/>
      <c r="E182" s="159"/>
      <c r="F182" s="158"/>
      <c r="G182" s="160"/>
      <c r="H182" s="158"/>
      <c r="I182" s="158"/>
      <c r="J182" s="158"/>
    </row>
    <row r="183" spans="4:10" x14ac:dyDescent="0.3">
      <c r="D183" s="158"/>
      <c r="E183" s="159"/>
      <c r="F183" s="158"/>
      <c r="G183" s="160"/>
      <c r="H183" s="158"/>
      <c r="I183" s="158"/>
      <c r="J183" s="158"/>
    </row>
    <row r="184" spans="4:10" x14ac:dyDescent="0.3">
      <c r="D184" s="158"/>
      <c r="E184" s="159"/>
      <c r="F184" s="158"/>
      <c r="G184" s="160"/>
      <c r="H184" s="158"/>
      <c r="I184" s="158"/>
      <c r="J184" s="158"/>
    </row>
    <row r="185" spans="4:10" x14ac:dyDescent="0.3">
      <c r="D185" s="158"/>
      <c r="E185" s="159"/>
      <c r="F185" s="158"/>
      <c r="G185" s="160"/>
      <c r="H185" s="158"/>
      <c r="I185" s="158"/>
      <c r="J185" s="158"/>
    </row>
    <row r="186" spans="4:10" x14ac:dyDescent="0.3">
      <c r="D186" s="158"/>
      <c r="E186" s="159"/>
      <c r="F186" s="158"/>
      <c r="G186" s="160"/>
      <c r="H186" s="158"/>
      <c r="I186" s="158"/>
      <c r="J186" s="158"/>
    </row>
    <row r="187" spans="4:10" x14ac:dyDescent="0.3">
      <c r="D187" s="158"/>
      <c r="E187" s="159"/>
      <c r="F187" s="158"/>
      <c r="G187" s="160"/>
      <c r="H187" s="158"/>
      <c r="I187" s="158"/>
      <c r="J187" s="158"/>
    </row>
    <row r="188" spans="4:10" x14ac:dyDescent="0.3">
      <c r="D188" s="158"/>
      <c r="E188" s="159"/>
      <c r="F188" s="158"/>
      <c r="G188" s="160"/>
      <c r="H188" s="158"/>
      <c r="I188" s="158"/>
      <c r="J188" s="158"/>
    </row>
    <row r="189" spans="4:10" x14ac:dyDescent="0.3">
      <c r="D189" s="158"/>
      <c r="E189" s="159"/>
      <c r="F189" s="158"/>
      <c r="G189" s="160"/>
      <c r="H189" s="158"/>
      <c r="I189" s="158"/>
      <c r="J189" s="158"/>
    </row>
    <row r="190" spans="4:10" x14ac:dyDescent="0.3">
      <c r="D190" s="158"/>
      <c r="E190" s="159"/>
      <c r="F190" s="158"/>
      <c r="G190" s="160"/>
      <c r="H190" s="158"/>
      <c r="I190" s="158"/>
      <c r="J190" s="158"/>
    </row>
    <row r="191" spans="4:10" x14ac:dyDescent="0.3">
      <c r="D191" s="158"/>
      <c r="E191" s="159"/>
      <c r="F191" s="158"/>
      <c r="G191" s="160"/>
      <c r="H191" s="158"/>
      <c r="I191" s="158"/>
      <c r="J191" s="158"/>
    </row>
    <row r="192" spans="4:10" x14ac:dyDescent="0.3">
      <c r="D192" s="158"/>
      <c r="E192" s="159"/>
      <c r="F192" s="158"/>
      <c r="G192" s="160"/>
      <c r="H192" s="158"/>
      <c r="I192" s="158"/>
      <c r="J192" s="158"/>
    </row>
    <row r="193" spans="4:10" x14ac:dyDescent="0.3">
      <c r="D193" s="158"/>
      <c r="E193" s="159"/>
      <c r="F193" s="158"/>
      <c r="G193" s="160"/>
      <c r="H193" s="158"/>
      <c r="I193" s="158"/>
      <c r="J193" s="158"/>
    </row>
    <row r="194" spans="4:10" x14ac:dyDescent="0.3">
      <c r="D194" s="158"/>
      <c r="E194" s="159"/>
      <c r="F194" s="158"/>
      <c r="G194" s="160"/>
      <c r="H194" s="158"/>
      <c r="I194" s="158"/>
      <c r="J194" s="158"/>
    </row>
    <row r="195" spans="4:10" x14ac:dyDescent="0.3">
      <c r="D195" s="158"/>
      <c r="E195" s="159"/>
      <c r="F195" s="158"/>
      <c r="G195" s="160"/>
      <c r="H195" s="158"/>
      <c r="I195" s="158"/>
      <c r="J195" s="158"/>
    </row>
    <row r="196" spans="4:10" x14ac:dyDescent="0.3">
      <c r="D196" s="158"/>
      <c r="E196" s="159"/>
      <c r="F196" s="158"/>
      <c r="G196" s="160"/>
      <c r="H196" s="158"/>
      <c r="I196" s="158"/>
      <c r="J196" s="158"/>
    </row>
    <row r="197" spans="4:10" x14ac:dyDescent="0.3">
      <c r="D197" s="158"/>
      <c r="E197" s="159"/>
      <c r="F197" s="158"/>
      <c r="G197" s="160"/>
      <c r="H197" s="158"/>
      <c r="I197" s="158"/>
      <c r="J197" s="158"/>
    </row>
    <row r="198" spans="4:10" x14ac:dyDescent="0.3">
      <c r="D198" s="158"/>
      <c r="E198" s="159"/>
      <c r="F198" s="158"/>
      <c r="G198" s="160"/>
      <c r="H198" s="158"/>
      <c r="I198" s="158"/>
      <c r="J198" s="158"/>
    </row>
    <row r="199" spans="4:10" x14ac:dyDescent="0.3">
      <c r="D199" s="158"/>
      <c r="E199" s="159"/>
      <c r="F199" s="158"/>
      <c r="G199" s="160"/>
      <c r="H199" s="158"/>
      <c r="I199" s="158"/>
      <c r="J199" s="158"/>
    </row>
    <row r="200" spans="4:10" x14ac:dyDescent="0.3">
      <c r="D200" s="158"/>
      <c r="E200" s="159"/>
      <c r="F200" s="158"/>
      <c r="G200" s="160"/>
      <c r="H200" s="158"/>
      <c r="I200" s="158"/>
      <c r="J200" s="158"/>
    </row>
    <row r="201" spans="4:10" x14ac:dyDescent="0.3">
      <c r="D201" s="158"/>
      <c r="E201" s="159"/>
      <c r="F201" s="158"/>
      <c r="G201" s="160"/>
      <c r="H201" s="158"/>
      <c r="I201" s="158"/>
      <c r="J201" s="158"/>
    </row>
    <row r="202" spans="4:10" x14ac:dyDescent="0.3">
      <c r="D202" s="158"/>
      <c r="E202" s="159"/>
      <c r="F202" s="158"/>
      <c r="G202" s="160"/>
      <c r="H202" s="158"/>
      <c r="I202" s="158"/>
      <c r="J202" s="158"/>
    </row>
    <row r="203" spans="4:10" x14ac:dyDescent="0.3">
      <c r="D203" s="158"/>
      <c r="E203" s="159"/>
      <c r="F203" s="158"/>
      <c r="G203" s="160"/>
      <c r="H203" s="158"/>
      <c r="I203" s="158"/>
      <c r="J203" s="158"/>
    </row>
    <row r="204" spans="4:10" x14ac:dyDescent="0.3">
      <c r="D204" s="158"/>
      <c r="E204" s="159"/>
      <c r="F204" s="158"/>
      <c r="G204" s="160"/>
      <c r="H204" s="158"/>
      <c r="I204" s="158"/>
      <c r="J204" s="158"/>
    </row>
    <row r="205" spans="4:10" x14ac:dyDescent="0.3">
      <c r="D205" s="158"/>
      <c r="E205" s="159"/>
      <c r="F205" s="158"/>
      <c r="G205" s="160"/>
      <c r="H205" s="158"/>
      <c r="I205" s="158"/>
      <c r="J205" s="158"/>
    </row>
    <row r="206" spans="4:10" x14ac:dyDescent="0.3">
      <c r="D206" s="158"/>
      <c r="E206" s="159"/>
      <c r="F206" s="158"/>
      <c r="G206" s="160"/>
      <c r="H206" s="158"/>
      <c r="I206" s="158"/>
      <c r="J206" s="158"/>
    </row>
    <row r="207" spans="4:10" x14ac:dyDescent="0.3">
      <c r="D207" s="158"/>
      <c r="E207" s="159"/>
      <c r="F207" s="158"/>
      <c r="G207" s="160"/>
      <c r="H207" s="158"/>
      <c r="I207" s="158"/>
      <c r="J207" s="158"/>
    </row>
    <row r="208" spans="4:10" x14ac:dyDescent="0.3">
      <c r="D208" s="158"/>
      <c r="E208" s="159"/>
      <c r="F208" s="158"/>
      <c r="G208" s="160"/>
      <c r="H208" s="158"/>
      <c r="I208" s="158"/>
      <c r="J208" s="158"/>
    </row>
    <row r="209" spans="4:10" x14ac:dyDescent="0.3">
      <c r="D209" s="158"/>
      <c r="E209" s="159"/>
      <c r="F209" s="158"/>
      <c r="G209" s="160"/>
      <c r="H209" s="158"/>
      <c r="I209" s="158"/>
      <c r="J209" s="158"/>
    </row>
    <row r="210" spans="4:10" x14ac:dyDescent="0.3">
      <c r="D210" s="158"/>
      <c r="E210" s="159"/>
      <c r="F210" s="158"/>
      <c r="G210" s="160"/>
      <c r="H210" s="158"/>
      <c r="I210" s="158"/>
      <c r="J210" s="158"/>
    </row>
    <row r="211" spans="4:10" x14ac:dyDescent="0.3">
      <c r="D211" s="158"/>
      <c r="E211" s="159"/>
      <c r="F211" s="158"/>
      <c r="G211" s="160"/>
      <c r="H211" s="158"/>
      <c r="I211" s="158"/>
      <c r="J211" s="158"/>
    </row>
    <row r="212" spans="4:10" x14ac:dyDescent="0.3">
      <c r="D212" s="158"/>
      <c r="E212" s="159"/>
      <c r="F212" s="158"/>
      <c r="G212" s="160"/>
      <c r="H212" s="158"/>
      <c r="I212" s="158"/>
      <c r="J212" s="158"/>
    </row>
    <row r="213" spans="4:10" x14ac:dyDescent="0.3">
      <c r="D213" s="158"/>
      <c r="E213" s="159"/>
      <c r="F213" s="158"/>
      <c r="G213" s="160"/>
      <c r="H213" s="158"/>
      <c r="I213" s="158"/>
      <c r="J213" s="158"/>
    </row>
    <row r="214" spans="4:10" x14ac:dyDescent="0.3">
      <c r="D214" s="158"/>
      <c r="E214" s="159"/>
      <c r="F214" s="158"/>
      <c r="G214" s="160"/>
      <c r="H214" s="158"/>
      <c r="I214" s="158"/>
      <c r="J214" s="158"/>
    </row>
    <row r="215" spans="4:10" x14ac:dyDescent="0.3">
      <c r="D215" s="158"/>
      <c r="E215" s="159"/>
      <c r="F215" s="158"/>
      <c r="G215" s="160"/>
      <c r="H215" s="158"/>
      <c r="I215" s="158"/>
      <c r="J215" s="158"/>
    </row>
    <row r="216" spans="4:10" x14ac:dyDescent="0.3">
      <c r="D216" s="158"/>
      <c r="E216" s="159"/>
      <c r="F216" s="158"/>
      <c r="G216" s="160"/>
      <c r="H216" s="158"/>
      <c r="I216" s="158"/>
      <c r="J216" s="158"/>
    </row>
    <row r="217" spans="4:10" x14ac:dyDescent="0.3">
      <c r="D217" s="158"/>
      <c r="E217" s="159"/>
      <c r="F217" s="158"/>
      <c r="G217" s="160"/>
      <c r="H217" s="158"/>
      <c r="I217" s="158"/>
      <c r="J217" s="158"/>
    </row>
    <row r="218" spans="4:10" x14ac:dyDescent="0.3">
      <c r="D218" s="158"/>
      <c r="E218" s="159"/>
      <c r="F218" s="158"/>
      <c r="G218" s="160"/>
      <c r="H218" s="158"/>
      <c r="I218" s="158"/>
      <c r="J218" s="158"/>
    </row>
    <row r="219" spans="4:10" x14ac:dyDescent="0.3">
      <c r="D219" s="158"/>
      <c r="E219" s="159"/>
      <c r="F219" s="158"/>
      <c r="G219" s="160"/>
      <c r="H219" s="158"/>
      <c r="I219" s="158"/>
      <c r="J219" s="158"/>
    </row>
    <row r="220" spans="4:10" x14ac:dyDescent="0.3">
      <c r="D220" s="158"/>
      <c r="E220" s="159"/>
      <c r="F220" s="158"/>
      <c r="G220" s="160"/>
      <c r="H220" s="158"/>
      <c r="I220" s="158"/>
      <c r="J220" s="158"/>
    </row>
    <row r="221" spans="4:10" x14ac:dyDescent="0.3">
      <c r="D221" s="158"/>
      <c r="E221" s="159"/>
      <c r="F221" s="158"/>
      <c r="G221" s="160"/>
      <c r="H221" s="158"/>
      <c r="I221" s="158"/>
      <c r="J221" s="158"/>
    </row>
    <row r="222" spans="4:10" x14ac:dyDescent="0.3">
      <c r="D222" s="158"/>
      <c r="E222" s="159"/>
      <c r="F222" s="158"/>
      <c r="G222" s="160"/>
      <c r="H222" s="158"/>
      <c r="I222" s="158"/>
      <c r="J222" s="158"/>
    </row>
    <row r="223" spans="4:10" x14ac:dyDescent="0.3">
      <c r="D223" s="158"/>
      <c r="E223" s="159"/>
      <c r="F223" s="158"/>
      <c r="G223" s="160"/>
      <c r="H223" s="158"/>
      <c r="I223" s="158"/>
      <c r="J223" s="158"/>
    </row>
    <row r="224" spans="4:10" x14ac:dyDescent="0.3">
      <c r="D224" s="158"/>
      <c r="E224" s="159"/>
      <c r="F224" s="158"/>
      <c r="G224" s="160"/>
      <c r="H224" s="158"/>
      <c r="I224" s="158"/>
      <c r="J224" s="158"/>
    </row>
    <row r="225" spans="4:10" x14ac:dyDescent="0.3">
      <c r="D225" s="158"/>
      <c r="E225" s="159"/>
      <c r="F225" s="158"/>
      <c r="G225" s="160"/>
      <c r="H225" s="158"/>
      <c r="I225" s="158"/>
      <c r="J225" s="158"/>
    </row>
    <row r="226" spans="4:10" x14ac:dyDescent="0.3">
      <c r="D226" s="158"/>
      <c r="E226" s="159"/>
      <c r="F226" s="158"/>
      <c r="G226" s="160"/>
      <c r="H226" s="158"/>
      <c r="I226" s="158"/>
      <c r="J226" s="158"/>
    </row>
    <row r="227" spans="4:10" x14ac:dyDescent="0.3">
      <c r="D227" s="158"/>
      <c r="E227" s="159"/>
      <c r="F227" s="158"/>
      <c r="G227" s="160"/>
      <c r="H227" s="158"/>
      <c r="I227" s="158"/>
      <c r="J227" s="158"/>
    </row>
    <row r="228" spans="4:10" x14ac:dyDescent="0.3">
      <c r="D228" s="158"/>
      <c r="E228" s="159"/>
      <c r="F228" s="158"/>
      <c r="G228" s="160"/>
      <c r="H228" s="158"/>
      <c r="I228" s="158"/>
      <c r="J228" s="158"/>
    </row>
    <row r="229" spans="4:10" x14ac:dyDescent="0.3">
      <c r="D229" s="158"/>
      <c r="E229" s="159"/>
      <c r="F229" s="158"/>
      <c r="G229" s="160"/>
      <c r="H229" s="158"/>
      <c r="I229" s="158"/>
      <c r="J229" s="158"/>
    </row>
    <row r="230" spans="4:10" x14ac:dyDescent="0.3">
      <c r="D230" s="158"/>
      <c r="E230" s="159"/>
      <c r="F230" s="158"/>
      <c r="G230" s="160"/>
      <c r="H230" s="158"/>
      <c r="I230" s="158"/>
      <c r="J230" s="158"/>
    </row>
    <row r="231" spans="4:10" x14ac:dyDescent="0.3">
      <c r="D231" s="158"/>
      <c r="E231" s="159"/>
      <c r="F231" s="158"/>
      <c r="G231" s="160"/>
      <c r="H231" s="158"/>
      <c r="I231" s="158"/>
      <c r="J231" s="158"/>
    </row>
    <row r="232" spans="4:10" x14ac:dyDescent="0.3">
      <c r="D232" s="158"/>
      <c r="E232" s="159"/>
      <c r="F232" s="158"/>
      <c r="G232" s="160"/>
      <c r="H232" s="158"/>
      <c r="I232" s="158"/>
      <c r="J232" s="158"/>
    </row>
    <row r="233" spans="4:10" x14ac:dyDescent="0.3">
      <c r="D233" s="158"/>
      <c r="E233" s="159"/>
      <c r="F233" s="158"/>
      <c r="G233" s="160"/>
      <c r="H233" s="158"/>
      <c r="I233" s="158"/>
      <c r="J233" s="158"/>
    </row>
    <row r="234" spans="4:10" x14ac:dyDescent="0.3">
      <c r="D234" s="158"/>
      <c r="E234" s="159"/>
      <c r="F234" s="158"/>
      <c r="G234" s="160"/>
      <c r="H234" s="158"/>
      <c r="I234" s="158"/>
      <c r="J234" s="158"/>
    </row>
    <row r="235" spans="4:10" x14ac:dyDescent="0.3">
      <c r="D235" s="158"/>
      <c r="E235" s="159"/>
      <c r="F235" s="158"/>
      <c r="G235" s="160"/>
      <c r="H235" s="158"/>
      <c r="I235" s="158"/>
      <c r="J235" s="158"/>
    </row>
    <row r="236" spans="4:10" x14ac:dyDescent="0.3">
      <c r="D236" s="158"/>
      <c r="E236" s="159"/>
      <c r="F236" s="158"/>
      <c r="G236" s="160"/>
      <c r="H236" s="158"/>
      <c r="I236" s="158"/>
      <c r="J236" s="158"/>
    </row>
    <row r="237" spans="4:10" x14ac:dyDescent="0.3">
      <c r="D237" s="158"/>
      <c r="E237" s="159"/>
      <c r="F237" s="158"/>
      <c r="G237" s="160"/>
      <c r="H237" s="158"/>
      <c r="I237" s="158"/>
      <c r="J237" s="158"/>
    </row>
    <row r="238" spans="4:10" x14ac:dyDescent="0.3">
      <c r="D238" s="158"/>
      <c r="E238" s="159"/>
      <c r="F238" s="158"/>
      <c r="G238" s="160"/>
      <c r="H238" s="158"/>
      <c r="I238" s="158"/>
      <c r="J238" s="158"/>
    </row>
    <row r="239" spans="4:10" x14ac:dyDescent="0.3">
      <c r="D239" s="158"/>
      <c r="E239" s="159"/>
      <c r="F239" s="158"/>
      <c r="G239" s="160"/>
      <c r="H239" s="158"/>
      <c r="I239" s="158"/>
      <c r="J239" s="158"/>
    </row>
    <row r="240" spans="4:10" x14ac:dyDescent="0.3">
      <c r="D240" s="158"/>
      <c r="E240" s="159"/>
      <c r="F240" s="158"/>
      <c r="G240" s="160"/>
      <c r="H240" s="158"/>
      <c r="I240" s="158"/>
      <c r="J240" s="158"/>
    </row>
    <row r="241" spans="4:10" x14ac:dyDescent="0.3">
      <c r="D241" s="158"/>
      <c r="E241" s="159"/>
      <c r="F241" s="158"/>
      <c r="G241" s="160"/>
      <c r="H241" s="158"/>
      <c r="I241" s="158"/>
      <c r="J241" s="158"/>
    </row>
    <row r="242" spans="4:10" x14ac:dyDescent="0.3">
      <c r="D242" s="158"/>
      <c r="E242" s="159"/>
      <c r="F242" s="158"/>
      <c r="G242" s="160"/>
      <c r="H242" s="158"/>
      <c r="I242" s="158"/>
      <c r="J242" s="158"/>
    </row>
    <row r="243" spans="4:10" x14ac:dyDescent="0.3">
      <c r="D243" s="158"/>
      <c r="E243" s="159"/>
      <c r="F243" s="158"/>
      <c r="G243" s="160"/>
      <c r="H243" s="158"/>
      <c r="I243" s="158"/>
      <c r="J243" s="158"/>
    </row>
    <row r="244" spans="4:10" x14ac:dyDescent="0.3">
      <c r="D244" s="158"/>
      <c r="E244" s="159"/>
      <c r="F244" s="158"/>
      <c r="G244" s="160"/>
      <c r="H244" s="158"/>
      <c r="I244" s="158"/>
      <c r="J244" s="158"/>
    </row>
    <row r="245" spans="4:10" x14ac:dyDescent="0.3">
      <c r="D245" s="158"/>
      <c r="E245" s="159"/>
      <c r="F245" s="158"/>
      <c r="G245" s="160"/>
      <c r="H245" s="158"/>
      <c r="I245" s="158"/>
      <c r="J245" s="158"/>
    </row>
    <row r="246" spans="4:10" x14ac:dyDescent="0.3">
      <c r="D246" s="158"/>
      <c r="E246" s="159"/>
      <c r="F246" s="158"/>
      <c r="G246" s="160"/>
      <c r="H246" s="158"/>
      <c r="I246" s="158"/>
      <c r="J246" s="158"/>
    </row>
    <row r="247" spans="4:10" x14ac:dyDescent="0.3">
      <c r="D247" s="158"/>
      <c r="E247" s="159"/>
      <c r="F247" s="158"/>
      <c r="G247" s="160"/>
      <c r="H247" s="158"/>
      <c r="I247" s="158"/>
      <c r="J247" s="158"/>
    </row>
    <row r="248" spans="4:10" x14ac:dyDescent="0.3">
      <c r="D248" s="158"/>
      <c r="E248" s="159"/>
      <c r="F248" s="158"/>
      <c r="G248" s="160"/>
      <c r="H248" s="158"/>
      <c r="I248" s="158"/>
      <c r="J248" s="158"/>
    </row>
    <row r="249" spans="4:10" x14ac:dyDescent="0.3">
      <c r="D249" s="158"/>
      <c r="E249" s="159"/>
      <c r="F249" s="158"/>
      <c r="G249" s="160"/>
      <c r="H249" s="158"/>
      <c r="I249" s="158"/>
      <c r="J249" s="158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56" customWidth="1"/>
    <col min="2" max="2" width="10.6640625" style="556" customWidth="1"/>
    <col min="3" max="3" width="12.21875" style="556" customWidth="1"/>
    <col min="4" max="4" width="16.21875" style="554" customWidth="1"/>
    <col min="5" max="5" width="16.6640625" style="554" customWidth="1"/>
    <col min="6" max="6" width="12.77734375" style="554" customWidth="1"/>
    <col min="7" max="7" width="16.109375" style="556" customWidth="1"/>
    <col min="8" max="8" width="8.77734375" style="556"/>
    <col min="9" max="9" width="28.109375" style="556" customWidth="1"/>
    <col min="10" max="16384" width="8.77734375" style="556"/>
  </cols>
  <sheetData>
    <row r="1" spans="1:9" x14ac:dyDescent="0.3">
      <c r="A1" s="626" t="s">
        <v>454</v>
      </c>
    </row>
    <row r="2" spans="1:9" ht="15.6" x14ac:dyDescent="0.3">
      <c r="A2" s="1015" t="s">
        <v>109</v>
      </c>
      <c r="B2" s="1015"/>
      <c r="C2" s="554">
        <f>'ROI Number insert ARV'!H11</f>
        <v>0</v>
      </c>
    </row>
    <row r="3" spans="1:9" ht="15.6" x14ac:dyDescent="0.3">
      <c r="A3" s="1015" t="s">
        <v>161</v>
      </c>
      <c r="B3" s="1015"/>
      <c r="C3" s="554" t="e">
        <f>'Mortgage Caculator'!F11</f>
        <v>#NUM!</v>
      </c>
      <c r="I3"/>
    </row>
    <row r="4" spans="1:9" ht="15.6" x14ac:dyDescent="0.3">
      <c r="A4" s="1015" t="s">
        <v>167</v>
      </c>
      <c r="B4" s="1015"/>
      <c r="C4" s="555">
        <f>'ROI Number insert ARV'!E5</f>
        <v>0</v>
      </c>
      <c r="I4"/>
    </row>
    <row r="5" spans="1:9" ht="15.6" x14ac:dyDescent="0.3">
      <c r="A5" s="1015" t="s">
        <v>168</v>
      </c>
      <c r="B5" s="1015"/>
      <c r="C5" s="556">
        <f>'ROI Number insert ARV'!E4</f>
        <v>0</v>
      </c>
      <c r="I5"/>
    </row>
    <row r="6" spans="1:9" ht="15.6" x14ac:dyDescent="0.3">
      <c r="A6" s="1015" t="s">
        <v>169</v>
      </c>
      <c r="B6" s="1015"/>
      <c r="C6" s="556">
        <f>'Mortgage Caculator'!F6</f>
        <v>12</v>
      </c>
      <c r="I6"/>
    </row>
    <row r="7" spans="1:9" ht="18" x14ac:dyDescent="0.35">
      <c r="A7" s="1014" t="s">
        <v>170</v>
      </c>
      <c r="B7" s="1014"/>
      <c r="C7" s="1014"/>
      <c r="D7" s="1014"/>
      <c r="E7" s="1014"/>
      <c r="F7" s="1014"/>
      <c r="G7" s="1014"/>
      <c r="I7"/>
    </row>
    <row r="8" spans="1:9" s="559" customFormat="1" ht="31.2" x14ac:dyDescent="0.3">
      <c r="A8" s="557" t="s">
        <v>171</v>
      </c>
      <c r="B8" s="557" t="s">
        <v>172</v>
      </c>
      <c r="C8" s="557" t="s">
        <v>173</v>
      </c>
      <c r="D8" s="558" t="s">
        <v>174</v>
      </c>
      <c r="E8" s="558" t="s">
        <v>175</v>
      </c>
      <c r="F8" s="558" t="s">
        <v>176</v>
      </c>
      <c r="G8" s="557" t="s">
        <v>177</v>
      </c>
      <c r="I8"/>
    </row>
    <row r="9" spans="1:9" x14ac:dyDescent="0.3">
      <c r="B9" s="556">
        <v>0</v>
      </c>
      <c r="C9" s="554" t="e">
        <f>IF($C$3&lt;G9+(G9*($C$4/$C$6)),$C$3,G9+(G9*($C$4/$C$6)))</f>
        <v>#NUM!</v>
      </c>
      <c r="D9" s="554">
        <f>G9*$C$4/$C$6</f>
        <v>0</v>
      </c>
      <c r="E9" s="554" t="e">
        <f>C9-D9</f>
        <v>#NUM!</v>
      </c>
      <c r="G9" s="554">
        <f>C2</f>
        <v>0</v>
      </c>
      <c r="I9"/>
    </row>
    <row r="10" spans="1:9" x14ac:dyDescent="0.3">
      <c r="B10" s="556">
        <v>1</v>
      </c>
      <c r="C10" s="554" t="e">
        <f t="shared" ref="C10:C73" si="0">IF($C$3&lt;G10+(G10*($C$4/$C$6)),$C$3,G10+(G10*($C$4/$C$6)))</f>
        <v>#NUM!</v>
      </c>
      <c r="D10" s="554" t="e">
        <f t="shared" ref="D10:D73" si="1">G10*$C$4/$C$6</f>
        <v>#NUM!</v>
      </c>
      <c r="E10" s="554" t="e">
        <f t="shared" ref="E10:E73" si="2">C10-D10</f>
        <v>#NUM!</v>
      </c>
      <c r="G10" s="554" t="e">
        <f>G9-E9-F9</f>
        <v>#NUM!</v>
      </c>
      <c r="I10"/>
    </row>
    <row r="11" spans="1:9" x14ac:dyDescent="0.3">
      <c r="B11" s="556">
        <v>2</v>
      </c>
      <c r="C11" s="554" t="e">
        <f t="shared" si="0"/>
        <v>#NUM!</v>
      </c>
      <c r="D11" s="554" t="e">
        <f t="shared" si="1"/>
        <v>#NUM!</v>
      </c>
      <c r="E11" s="554" t="e">
        <f t="shared" si="2"/>
        <v>#NUM!</v>
      </c>
      <c r="G11" s="554" t="e">
        <f t="shared" ref="G11:G74" si="3">G10-E10-F10</f>
        <v>#NUM!</v>
      </c>
      <c r="I11"/>
    </row>
    <row r="12" spans="1:9" x14ac:dyDescent="0.3">
      <c r="B12" s="556">
        <v>3</v>
      </c>
      <c r="C12" s="554" t="e">
        <f t="shared" si="0"/>
        <v>#NUM!</v>
      </c>
      <c r="D12" s="554" t="e">
        <f t="shared" si="1"/>
        <v>#NUM!</v>
      </c>
      <c r="E12" s="554" t="e">
        <f t="shared" si="2"/>
        <v>#NUM!</v>
      </c>
      <c r="G12" s="554" t="e">
        <f t="shared" si="3"/>
        <v>#NUM!</v>
      </c>
      <c r="I12"/>
    </row>
    <row r="13" spans="1:9" x14ac:dyDescent="0.3">
      <c r="B13" s="556">
        <v>4</v>
      </c>
      <c r="C13" s="554" t="e">
        <f t="shared" si="0"/>
        <v>#NUM!</v>
      </c>
      <c r="D13" s="554" t="e">
        <f t="shared" si="1"/>
        <v>#NUM!</v>
      </c>
      <c r="E13" s="554" t="e">
        <f t="shared" si="2"/>
        <v>#NUM!</v>
      </c>
      <c r="G13" s="554" t="e">
        <f t="shared" si="3"/>
        <v>#NUM!</v>
      </c>
      <c r="I13"/>
    </row>
    <row r="14" spans="1:9" x14ac:dyDescent="0.3">
      <c r="B14" s="556">
        <v>5</v>
      </c>
      <c r="C14" s="554" t="e">
        <f t="shared" si="0"/>
        <v>#NUM!</v>
      </c>
      <c r="D14" s="554" t="e">
        <f t="shared" si="1"/>
        <v>#NUM!</v>
      </c>
      <c r="E14" s="554" t="e">
        <f t="shared" si="2"/>
        <v>#NUM!</v>
      </c>
      <c r="G14" s="554" t="e">
        <f t="shared" si="3"/>
        <v>#NUM!</v>
      </c>
      <c r="I14"/>
    </row>
    <row r="15" spans="1:9" x14ac:dyDescent="0.3">
      <c r="B15" s="556">
        <v>6</v>
      </c>
      <c r="C15" s="554" t="e">
        <f t="shared" si="0"/>
        <v>#NUM!</v>
      </c>
      <c r="D15" s="554" t="e">
        <f t="shared" si="1"/>
        <v>#NUM!</v>
      </c>
      <c r="E15" s="554" t="e">
        <f t="shared" si="2"/>
        <v>#NUM!</v>
      </c>
      <c r="G15" s="554" t="e">
        <f t="shared" si="3"/>
        <v>#NUM!</v>
      </c>
      <c r="I15"/>
    </row>
    <row r="16" spans="1:9" x14ac:dyDescent="0.3">
      <c r="B16" s="556">
        <v>7</v>
      </c>
      <c r="C16" s="554" t="e">
        <f t="shared" si="0"/>
        <v>#NUM!</v>
      </c>
      <c r="D16" s="554" t="e">
        <f t="shared" si="1"/>
        <v>#NUM!</v>
      </c>
      <c r="E16" s="554" t="e">
        <f t="shared" si="2"/>
        <v>#NUM!</v>
      </c>
      <c r="G16" s="554" t="e">
        <f t="shared" si="3"/>
        <v>#NUM!</v>
      </c>
      <c r="I16"/>
    </row>
    <row r="17" spans="2:9" x14ac:dyDescent="0.3">
      <c r="B17" s="556">
        <v>8</v>
      </c>
      <c r="C17" s="554" t="e">
        <f t="shared" si="0"/>
        <v>#NUM!</v>
      </c>
      <c r="D17" s="554" t="e">
        <f t="shared" si="1"/>
        <v>#NUM!</v>
      </c>
      <c r="E17" s="554" t="e">
        <f t="shared" si="2"/>
        <v>#NUM!</v>
      </c>
      <c r="G17" s="554" t="e">
        <f t="shared" si="3"/>
        <v>#NUM!</v>
      </c>
      <c r="I17"/>
    </row>
    <row r="18" spans="2:9" x14ac:dyDescent="0.3">
      <c r="B18" s="556">
        <v>9</v>
      </c>
      <c r="C18" s="554" t="e">
        <f t="shared" si="0"/>
        <v>#NUM!</v>
      </c>
      <c r="D18" s="554" t="e">
        <f t="shared" si="1"/>
        <v>#NUM!</v>
      </c>
      <c r="E18" s="554" t="e">
        <f t="shared" si="2"/>
        <v>#NUM!</v>
      </c>
      <c r="G18" s="554" t="e">
        <f t="shared" si="3"/>
        <v>#NUM!</v>
      </c>
    </row>
    <row r="19" spans="2:9" x14ac:dyDescent="0.3">
      <c r="B19" s="556">
        <v>10</v>
      </c>
      <c r="C19" s="554" t="e">
        <f t="shared" si="0"/>
        <v>#NUM!</v>
      </c>
      <c r="D19" s="554" t="e">
        <f t="shared" si="1"/>
        <v>#NUM!</v>
      </c>
      <c r="E19" s="554" t="e">
        <f t="shared" si="2"/>
        <v>#NUM!</v>
      </c>
      <c r="G19" s="554" t="e">
        <f t="shared" si="3"/>
        <v>#NUM!</v>
      </c>
    </row>
    <row r="20" spans="2:9" x14ac:dyDescent="0.3">
      <c r="B20" s="556">
        <v>11</v>
      </c>
      <c r="C20" s="554" t="e">
        <f t="shared" si="0"/>
        <v>#NUM!</v>
      </c>
      <c r="D20" s="554" t="e">
        <f t="shared" si="1"/>
        <v>#NUM!</v>
      </c>
      <c r="E20" s="554" t="e">
        <f t="shared" si="2"/>
        <v>#NUM!</v>
      </c>
      <c r="G20" s="554" t="e">
        <f t="shared" si="3"/>
        <v>#NUM!</v>
      </c>
    </row>
    <row r="21" spans="2:9" x14ac:dyDescent="0.3">
      <c r="B21" s="556">
        <v>12</v>
      </c>
      <c r="C21" s="554" t="e">
        <f t="shared" si="0"/>
        <v>#NUM!</v>
      </c>
      <c r="D21" s="554" t="e">
        <f t="shared" si="1"/>
        <v>#NUM!</v>
      </c>
      <c r="E21" s="554" t="e">
        <f t="shared" si="2"/>
        <v>#NUM!</v>
      </c>
      <c r="G21" s="554" t="e">
        <f t="shared" si="3"/>
        <v>#NUM!</v>
      </c>
    </row>
    <row r="22" spans="2:9" x14ac:dyDescent="0.3">
      <c r="B22" s="556">
        <v>13</v>
      </c>
      <c r="C22" s="554" t="e">
        <f t="shared" si="0"/>
        <v>#NUM!</v>
      </c>
      <c r="D22" s="554" t="e">
        <f t="shared" si="1"/>
        <v>#NUM!</v>
      </c>
      <c r="E22" s="554" t="e">
        <f t="shared" si="2"/>
        <v>#NUM!</v>
      </c>
      <c r="G22" s="554" t="e">
        <f t="shared" si="3"/>
        <v>#NUM!</v>
      </c>
    </row>
    <row r="23" spans="2:9" x14ac:dyDescent="0.3">
      <c r="B23" s="556">
        <v>14</v>
      </c>
      <c r="C23" s="554" t="e">
        <f t="shared" si="0"/>
        <v>#NUM!</v>
      </c>
      <c r="D23" s="554" t="e">
        <f t="shared" si="1"/>
        <v>#NUM!</v>
      </c>
      <c r="E23" s="554" t="e">
        <f t="shared" si="2"/>
        <v>#NUM!</v>
      </c>
      <c r="G23" s="554" t="e">
        <f t="shared" si="3"/>
        <v>#NUM!</v>
      </c>
    </row>
    <row r="24" spans="2:9" x14ac:dyDescent="0.3">
      <c r="B24" s="556">
        <v>15</v>
      </c>
      <c r="C24" s="554" t="e">
        <f t="shared" si="0"/>
        <v>#NUM!</v>
      </c>
      <c r="D24" s="554" t="e">
        <f t="shared" si="1"/>
        <v>#NUM!</v>
      </c>
      <c r="E24" s="554" t="e">
        <f t="shared" si="2"/>
        <v>#NUM!</v>
      </c>
      <c r="G24" s="554" t="e">
        <f t="shared" si="3"/>
        <v>#NUM!</v>
      </c>
    </row>
    <row r="25" spans="2:9" x14ac:dyDescent="0.3">
      <c r="B25" s="556">
        <v>16</v>
      </c>
      <c r="C25" s="554" t="e">
        <f t="shared" si="0"/>
        <v>#NUM!</v>
      </c>
      <c r="D25" s="554" t="e">
        <f t="shared" si="1"/>
        <v>#NUM!</v>
      </c>
      <c r="E25" s="554" t="e">
        <f t="shared" si="2"/>
        <v>#NUM!</v>
      </c>
      <c r="G25" s="554" t="e">
        <f t="shared" si="3"/>
        <v>#NUM!</v>
      </c>
    </row>
    <row r="26" spans="2:9" x14ac:dyDescent="0.3">
      <c r="B26" s="556">
        <v>17</v>
      </c>
      <c r="C26" s="554" t="e">
        <f t="shared" si="0"/>
        <v>#NUM!</v>
      </c>
      <c r="D26" s="554" t="e">
        <f t="shared" si="1"/>
        <v>#NUM!</v>
      </c>
      <c r="E26" s="554" t="e">
        <f t="shared" si="2"/>
        <v>#NUM!</v>
      </c>
      <c r="G26" s="554" t="e">
        <f t="shared" si="3"/>
        <v>#NUM!</v>
      </c>
    </row>
    <row r="27" spans="2:9" x14ac:dyDescent="0.3">
      <c r="B27" s="556">
        <v>18</v>
      </c>
      <c r="C27" s="554" t="e">
        <f t="shared" si="0"/>
        <v>#NUM!</v>
      </c>
      <c r="D27" s="554" t="e">
        <f t="shared" si="1"/>
        <v>#NUM!</v>
      </c>
      <c r="E27" s="554" t="e">
        <f t="shared" si="2"/>
        <v>#NUM!</v>
      </c>
      <c r="G27" s="554" t="e">
        <f t="shared" si="3"/>
        <v>#NUM!</v>
      </c>
    </row>
    <row r="28" spans="2:9" x14ac:dyDescent="0.3">
      <c r="B28" s="556">
        <v>19</v>
      </c>
      <c r="C28" s="554" t="e">
        <f t="shared" si="0"/>
        <v>#NUM!</v>
      </c>
      <c r="D28" s="554" t="e">
        <f t="shared" si="1"/>
        <v>#NUM!</v>
      </c>
      <c r="E28" s="554" t="e">
        <f t="shared" si="2"/>
        <v>#NUM!</v>
      </c>
      <c r="G28" s="554" t="e">
        <f t="shared" si="3"/>
        <v>#NUM!</v>
      </c>
    </row>
    <row r="29" spans="2:9" x14ac:dyDescent="0.3">
      <c r="B29" s="556">
        <v>20</v>
      </c>
      <c r="C29" s="554" t="e">
        <f t="shared" si="0"/>
        <v>#NUM!</v>
      </c>
      <c r="D29" s="554" t="e">
        <f t="shared" si="1"/>
        <v>#NUM!</v>
      </c>
      <c r="E29" s="554" t="e">
        <f t="shared" si="2"/>
        <v>#NUM!</v>
      </c>
      <c r="G29" s="554" t="e">
        <f t="shared" si="3"/>
        <v>#NUM!</v>
      </c>
    </row>
    <row r="30" spans="2:9" x14ac:dyDescent="0.3">
      <c r="B30" s="556">
        <v>21</v>
      </c>
      <c r="C30" s="554" t="e">
        <f t="shared" si="0"/>
        <v>#NUM!</v>
      </c>
      <c r="D30" s="554" t="e">
        <f t="shared" si="1"/>
        <v>#NUM!</v>
      </c>
      <c r="E30" s="554" t="e">
        <f t="shared" si="2"/>
        <v>#NUM!</v>
      </c>
      <c r="G30" s="554" t="e">
        <f t="shared" si="3"/>
        <v>#NUM!</v>
      </c>
    </row>
    <row r="31" spans="2:9" x14ac:dyDescent="0.3">
      <c r="B31" s="556">
        <v>22</v>
      </c>
      <c r="C31" s="554" t="e">
        <f t="shared" si="0"/>
        <v>#NUM!</v>
      </c>
      <c r="D31" s="554" t="e">
        <f t="shared" si="1"/>
        <v>#NUM!</v>
      </c>
      <c r="E31" s="554" t="e">
        <f t="shared" si="2"/>
        <v>#NUM!</v>
      </c>
      <c r="G31" s="554" t="e">
        <f t="shared" si="3"/>
        <v>#NUM!</v>
      </c>
    </row>
    <row r="32" spans="2:9" x14ac:dyDescent="0.3">
      <c r="B32" s="556">
        <v>23</v>
      </c>
      <c r="C32" s="554" t="e">
        <f t="shared" si="0"/>
        <v>#NUM!</v>
      </c>
      <c r="D32" s="554" t="e">
        <f t="shared" si="1"/>
        <v>#NUM!</v>
      </c>
      <c r="E32" s="554" t="e">
        <f t="shared" si="2"/>
        <v>#NUM!</v>
      </c>
      <c r="G32" s="554" t="e">
        <f t="shared" si="3"/>
        <v>#NUM!</v>
      </c>
    </row>
    <row r="33" spans="2:7" x14ac:dyDescent="0.3">
      <c r="B33" s="556">
        <v>24</v>
      </c>
      <c r="C33" s="554" t="e">
        <f t="shared" si="0"/>
        <v>#NUM!</v>
      </c>
      <c r="D33" s="554" t="e">
        <f t="shared" si="1"/>
        <v>#NUM!</v>
      </c>
      <c r="E33" s="554" t="e">
        <f t="shared" si="2"/>
        <v>#NUM!</v>
      </c>
      <c r="G33" s="554" t="e">
        <f t="shared" si="3"/>
        <v>#NUM!</v>
      </c>
    </row>
    <row r="34" spans="2:7" x14ac:dyDescent="0.3">
      <c r="B34" s="556">
        <v>25</v>
      </c>
      <c r="C34" s="554" t="e">
        <f t="shared" si="0"/>
        <v>#NUM!</v>
      </c>
      <c r="D34" s="554" t="e">
        <f t="shared" si="1"/>
        <v>#NUM!</v>
      </c>
      <c r="E34" s="554" t="e">
        <f t="shared" si="2"/>
        <v>#NUM!</v>
      </c>
      <c r="G34" s="554" t="e">
        <f t="shared" si="3"/>
        <v>#NUM!</v>
      </c>
    </row>
    <row r="35" spans="2:7" x14ac:dyDescent="0.3">
      <c r="B35" s="556">
        <v>26</v>
      </c>
      <c r="C35" s="554" t="e">
        <f t="shared" si="0"/>
        <v>#NUM!</v>
      </c>
      <c r="D35" s="554" t="e">
        <f t="shared" si="1"/>
        <v>#NUM!</v>
      </c>
      <c r="E35" s="554" t="e">
        <f t="shared" si="2"/>
        <v>#NUM!</v>
      </c>
      <c r="G35" s="554" t="e">
        <f t="shared" si="3"/>
        <v>#NUM!</v>
      </c>
    </row>
    <row r="36" spans="2:7" x14ac:dyDescent="0.3">
      <c r="B36" s="556">
        <v>27</v>
      </c>
      <c r="C36" s="554" t="e">
        <f t="shared" si="0"/>
        <v>#NUM!</v>
      </c>
      <c r="D36" s="554" t="e">
        <f t="shared" si="1"/>
        <v>#NUM!</v>
      </c>
      <c r="E36" s="554" t="e">
        <f t="shared" si="2"/>
        <v>#NUM!</v>
      </c>
      <c r="G36" s="554" t="e">
        <f t="shared" si="3"/>
        <v>#NUM!</v>
      </c>
    </row>
    <row r="37" spans="2:7" x14ac:dyDescent="0.3">
      <c r="B37" s="556">
        <v>28</v>
      </c>
      <c r="C37" s="554" t="e">
        <f t="shared" si="0"/>
        <v>#NUM!</v>
      </c>
      <c r="D37" s="554" t="e">
        <f t="shared" si="1"/>
        <v>#NUM!</v>
      </c>
      <c r="E37" s="554" t="e">
        <f t="shared" si="2"/>
        <v>#NUM!</v>
      </c>
      <c r="G37" s="554" t="e">
        <f t="shared" si="3"/>
        <v>#NUM!</v>
      </c>
    </row>
    <row r="38" spans="2:7" x14ac:dyDescent="0.3">
      <c r="B38" s="556">
        <v>29</v>
      </c>
      <c r="C38" s="554" t="e">
        <f t="shared" si="0"/>
        <v>#NUM!</v>
      </c>
      <c r="D38" s="554" t="e">
        <f t="shared" si="1"/>
        <v>#NUM!</v>
      </c>
      <c r="E38" s="554" t="e">
        <f t="shared" si="2"/>
        <v>#NUM!</v>
      </c>
      <c r="G38" s="554" t="e">
        <f t="shared" si="3"/>
        <v>#NUM!</v>
      </c>
    </row>
    <row r="39" spans="2:7" x14ac:dyDescent="0.3">
      <c r="B39" s="556">
        <v>30</v>
      </c>
      <c r="C39" s="554" t="e">
        <f t="shared" si="0"/>
        <v>#NUM!</v>
      </c>
      <c r="D39" s="554" t="e">
        <f t="shared" si="1"/>
        <v>#NUM!</v>
      </c>
      <c r="E39" s="554" t="e">
        <f t="shared" si="2"/>
        <v>#NUM!</v>
      </c>
      <c r="G39" s="554" t="e">
        <f t="shared" si="3"/>
        <v>#NUM!</v>
      </c>
    </row>
    <row r="40" spans="2:7" x14ac:dyDescent="0.3">
      <c r="B40" s="556">
        <v>31</v>
      </c>
      <c r="C40" s="554" t="e">
        <f t="shared" si="0"/>
        <v>#NUM!</v>
      </c>
      <c r="D40" s="554" t="e">
        <f t="shared" si="1"/>
        <v>#NUM!</v>
      </c>
      <c r="E40" s="554" t="e">
        <f t="shared" si="2"/>
        <v>#NUM!</v>
      </c>
      <c r="G40" s="554" t="e">
        <f t="shared" si="3"/>
        <v>#NUM!</v>
      </c>
    </row>
    <row r="41" spans="2:7" x14ac:dyDescent="0.3">
      <c r="B41" s="556">
        <v>32</v>
      </c>
      <c r="C41" s="554" t="e">
        <f t="shared" si="0"/>
        <v>#NUM!</v>
      </c>
      <c r="D41" s="554" t="e">
        <f t="shared" si="1"/>
        <v>#NUM!</v>
      </c>
      <c r="E41" s="554" t="e">
        <f t="shared" si="2"/>
        <v>#NUM!</v>
      </c>
      <c r="G41" s="554" t="e">
        <f t="shared" si="3"/>
        <v>#NUM!</v>
      </c>
    </row>
    <row r="42" spans="2:7" x14ac:dyDescent="0.3">
      <c r="B42" s="556">
        <v>33</v>
      </c>
      <c r="C42" s="554" t="e">
        <f t="shared" si="0"/>
        <v>#NUM!</v>
      </c>
      <c r="D42" s="554" t="e">
        <f t="shared" si="1"/>
        <v>#NUM!</v>
      </c>
      <c r="E42" s="554" t="e">
        <f t="shared" si="2"/>
        <v>#NUM!</v>
      </c>
      <c r="G42" s="554" t="e">
        <f t="shared" si="3"/>
        <v>#NUM!</v>
      </c>
    </row>
    <row r="43" spans="2:7" x14ac:dyDescent="0.3">
      <c r="B43" s="556">
        <v>34</v>
      </c>
      <c r="C43" s="554" t="e">
        <f t="shared" si="0"/>
        <v>#NUM!</v>
      </c>
      <c r="D43" s="554" t="e">
        <f t="shared" si="1"/>
        <v>#NUM!</v>
      </c>
      <c r="E43" s="554" t="e">
        <f t="shared" si="2"/>
        <v>#NUM!</v>
      </c>
      <c r="G43" s="554" t="e">
        <f t="shared" si="3"/>
        <v>#NUM!</v>
      </c>
    </row>
    <row r="44" spans="2:7" x14ac:dyDescent="0.3">
      <c r="B44" s="556">
        <v>35</v>
      </c>
      <c r="C44" s="554" t="e">
        <f t="shared" si="0"/>
        <v>#NUM!</v>
      </c>
      <c r="D44" s="554" t="e">
        <f t="shared" si="1"/>
        <v>#NUM!</v>
      </c>
      <c r="E44" s="554" t="e">
        <f t="shared" si="2"/>
        <v>#NUM!</v>
      </c>
      <c r="G44" s="554" t="e">
        <f t="shared" si="3"/>
        <v>#NUM!</v>
      </c>
    </row>
    <row r="45" spans="2:7" x14ac:dyDescent="0.3">
      <c r="B45" s="556">
        <v>36</v>
      </c>
      <c r="C45" s="554" t="e">
        <f t="shared" si="0"/>
        <v>#NUM!</v>
      </c>
      <c r="D45" s="554" t="e">
        <f t="shared" si="1"/>
        <v>#NUM!</v>
      </c>
      <c r="E45" s="554" t="e">
        <f t="shared" si="2"/>
        <v>#NUM!</v>
      </c>
      <c r="G45" s="554" t="e">
        <f t="shared" si="3"/>
        <v>#NUM!</v>
      </c>
    </row>
    <row r="46" spans="2:7" x14ac:dyDescent="0.3">
      <c r="B46" s="556">
        <v>37</v>
      </c>
      <c r="C46" s="554" t="e">
        <f t="shared" si="0"/>
        <v>#NUM!</v>
      </c>
      <c r="D46" s="554" t="e">
        <f t="shared" si="1"/>
        <v>#NUM!</v>
      </c>
      <c r="E46" s="554" t="e">
        <f t="shared" si="2"/>
        <v>#NUM!</v>
      </c>
      <c r="G46" s="554" t="e">
        <f t="shared" si="3"/>
        <v>#NUM!</v>
      </c>
    </row>
    <row r="47" spans="2:7" x14ac:dyDescent="0.3">
      <c r="B47" s="556">
        <v>38</v>
      </c>
      <c r="C47" s="554" t="e">
        <f t="shared" si="0"/>
        <v>#NUM!</v>
      </c>
      <c r="D47" s="554" t="e">
        <f t="shared" si="1"/>
        <v>#NUM!</v>
      </c>
      <c r="E47" s="554" t="e">
        <f t="shared" si="2"/>
        <v>#NUM!</v>
      </c>
      <c r="G47" s="554" t="e">
        <f t="shared" si="3"/>
        <v>#NUM!</v>
      </c>
    </row>
    <row r="48" spans="2:7" x14ac:dyDescent="0.3">
      <c r="B48" s="556">
        <v>39</v>
      </c>
      <c r="C48" s="554" t="e">
        <f t="shared" si="0"/>
        <v>#NUM!</v>
      </c>
      <c r="D48" s="554" t="e">
        <f t="shared" si="1"/>
        <v>#NUM!</v>
      </c>
      <c r="E48" s="554" t="e">
        <f t="shared" si="2"/>
        <v>#NUM!</v>
      </c>
      <c r="G48" s="554" t="e">
        <f t="shared" si="3"/>
        <v>#NUM!</v>
      </c>
    </row>
    <row r="49" spans="2:7" x14ac:dyDescent="0.3">
      <c r="B49" s="556">
        <v>40</v>
      </c>
      <c r="C49" s="554" t="e">
        <f t="shared" si="0"/>
        <v>#NUM!</v>
      </c>
      <c r="D49" s="554" t="e">
        <f t="shared" si="1"/>
        <v>#NUM!</v>
      </c>
      <c r="E49" s="554" t="e">
        <f t="shared" si="2"/>
        <v>#NUM!</v>
      </c>
      <c r="G49" s="554" t="e">
        <f t="shared" si="3"/>
        <v>#NUM!</v>
      </c>
    </row>
    <row r="50" spans="2:7" x14ac:dyDescent="0.3">
      <c r="B50" s="556">
        <v>41</v>
      </c>
      <c r="C50" s="554" t="e">
        <f t="shared" si="0"/>
        <v>#NUM!</v>
      </c>
      <c r="D50" s="554" t="e">
        <f t="shared" si="1"/>
        <v>#NUM!</v>
      </c>
      <c r="E50" s="554" t="e">
        <f t="shared" si="2"/>
        <v>#NUM!</v>
      </c>
      <c r="G50" s="554" t="e">
        <f t="shared" si="3"/>
        <v>#NUM!</v>
      </c>
    </row>
    <row r="51" spans="2:7" x14ac:dyDescent="0.3">
      <c r="B51" s="556">
        <v>42</v>
      </c>
      <c r="C51" s="554" t="e">
        <f t="shared" si="0"/>
        <v>#NUM!</v>
      </c>
      <c r="D51" s="554" t="e">
        <f t="shared" si="1"/>
        <v>#NUM!</v>
      </c>
      <c r="E51" s="554" t="e">
        <f t="shared" si="2"/>
        <v>#NUM!</v>
      </c>
      <c r="G51" s="554" t="e">
        <f t="shared" si="3"/>
        <v>#NUM!</v>
      </c>
    </row>
    <row r="52" spans="2:7" x14ac:dyDescent="0.3">
      <c r="B52" s="556">
        <v>43</v>
      </c>
      <c r="C52" s="554" t="e">
        <f t="shared" si="0"/>
        <v>#NUM!</v>
      </c>
      <c r="D52" s="554" t="e">
        <f t="shared" si="1"/>
        <v>#NUM!</v>
      </c>
      <c r="E52" s="554" t="e">
        <f t="shared" si="2"/>
        <v>#NUM!</v>
      </c>
      <c r="G52" s="554" t="e">
        <f t="shared" si="3"/>
        <v>#NUM!</v>
      </c>
    </row>
    <row r="53" spans="2:7" x14ac:dyDescent="0.3">
      <c r="B53" s="556">
        <v>44</v>
      </c>
      <c r="C53" s="554" t="e">
        <f t="shared" si="0"/>
        <v>#NUM!</v>
      </c>
      <c r="D53" s="554" t="e">
        <f t="shared" si="1"/>
        <v>#NUM!</v>
      </c>
      <c r="E53" s="554" t="e">
        <f t="shared" si="2"/>
        <v>#NUM!</v>
      </c>
      <c r="G53" s="554" t="e">
        <f t="shared" si="3"/>
        <v>#NUM!</v>
      </c>
    </row>
    <row r="54" spans="2:7" x14ac:dyDescent="0.3">
      <c r="B54" s="556">
        <v>45</v>
      </c>
      <c r="C54" s="554" t="e">
        <f t="shared" si="0"/>
        <v>#NUM!</v>
      </c>
      <c r="D54" s="554" t="e">
        <f t="shared" si="1"/>
        <v>#NUM!</v>
      </c>
      <c r="E54" s="554" t="e">
        <f t="shared" si="2"/>
        <v>#NUM!</v>
      </c>
      <c r="G54" s="554" t="e">
        <f t="shared" si="3"/>
        <v>#NUM!</v>
      </c>
    </row>
    <row r="55" spans="2:7" x14ac:dyDescent="0.3">
      <c r="B55" s="556">
        <v>46</v>
      </c>
      <c r="C55" s="554" t="e">
        <f t="shared" si="0"/>
        <v>#NUM!</v>
      </c>
      <c r="D55" s="554" t="e">
        <f t="shared" si="1"/>
        <v>#NUM!</v>
      </c>
      <c r="E55" s="554" t="e">
        <f t="shared" si="2"/>
        <v>#NUM!</v>
      </c>
      <c r="G55" s="554" t="e">
        <f t="shared" si="3"/>
        <v>#NUM!</v>
      </c>
    </row>
    <row r="56" spans="2:7" x14ac:dyDescent="0.3">
      <c r="B56" s="556">
        <v>47</v>
      </c>
      <c r="C56" s="554" t="e">
        <f t="shared" si="0"/>
        <v>#NUM!</v>
      </c>
      <c r="D56" s="554" t="e">
        <f t="shared" si="1"/>
        <v>#NUM!</v>
      </c>
      <c r="E56" s="554" t="e">
        <f t="shared" si="2"/>
        <v>#NUM!</v>
      </c>
      <c r="G56" s="554" t="e">
        <f t="shared" si="3"/>
        <v>#NUM!</v>
      </c>
    </row>
    <row r="57" spans="2:7" x14ac:dyDescent="0.3">
      <c r="B57" s="556">
        <v>48</v>
      </c>
      <c r="C57" s="554" t="e">
        <f t="shared" si="0"/>
        <v>#NUM!</v>
      </c>
      <c r="D57" s="554" t="e">
        <f t="shared" si="1"/>
        <v>#NUM!</v>
      </c>
      <c r="E57" s="554" t="e">
        <f t="shared" si="2"/>
        <v>#NUM!</v>
      </c>
      <c r="G57" s="554" t="e">
        <f t="shared" si="3"/>
        <v>#NUM!</v>
      </c>
    </row>
    <row r="58" spans="2:7" x14ac:dyDescent="0.3">
      <c r="B58" s="556">
        <v>49</v>
      </c>
      <c r="C58" s="554" t="e">
        <f t="shared" si="0"/>
        <v>#NUM!</v>
      </c>
      <c r="D58" s="554" t="e">
        <f t="shared" si="1"/>
        <v>#NUM!</v>
      </c>
      <c r="E58" s="554" t="e">
        <f t="shared" si="2"/>
        <v>#NUM!</v>
      </c>
      <c r="G58" s="554" t="e">
        <f t="shared" si="3"/>
        <v>#NUM!</v>
      </c>
    </row>
    <row r="59" spans="2:7" x14ac:dyDescent="0.3">
      <c r="B59" s="556">
        <v>50</v>
      </c>
      <c r="C59" s="554" t="e">
        <f t="shared" si="0"/>
        <v>#NUM!</v>
      </c>
      <c r="D59" s="554" t="e">
        <f t="shared" si="1"/>
        <v>#NUM!</v>
      </c>
      <c r="E59" s="554" t="e">
        <f t="shared" si="2"/>
        <v>#NUM!</v>
      </c>
      <c r="G59" s="554" t="e">
        <f t="shared" si="3"/>
        <v>#NUM!</v>
      </c>
    </row>
    <row r="60" spans="2:7" x14ac:dyDescent="0.3">
      <c r="B60" s="556">
        <v>51</v>
      </c>
      <c r="C60" s="554" t="e">
        <f t="shared" si="0"/>
        <v>#NUM!</v>
      </c>
      <c r="D60" s="554" t="e">
        <f t="shared" si="1"/>
        <v>#NUM!</v>
      </c>
      <c r="E60" s="554" t="e">
        <f t="shared" si="2"/>
        <v>#NUM!</v>
      </c>
      <c r="G60" s="554" t="e">
        <f t="shared" si="3"/>
        <v>#NUM!</v>
      </c>
    </row>
    <row r="61" spans="2:7" x14ac:dyDescent="0.3">
      <c r="B61" s="556">
        <v>52</v>
      </c>
      <c r="C61" s="554" t="e">
        <f t="shared" si="0"/>
        <v>#NUM!</v>
      </c>
      <c r="D61" s="554" t="e">
        <f t="shared" si="1"/>
        <v>#NUM!</v>
      </c>
      <c r="E61" s="554" t="e">
        <f t="shared" si="2"/>
        <v>#NUM!</v>
      </c>
      <c r="G61" s="554" t="e">
        <f t="shared" si="3"/>
        <v>#NUM!</v>
      </c>
    </row>
    <row r="62" spans="2:7" x14ac:dyDescent="0.3">
      <c r="B62" s="556">
        <v>53</v>
      </c>
      <c r="C62" s="554" t="e">
        <f t="shared" si="0"/>
        <v>#NUM!</v>
      </c>
      <c r="D62" s="554" t="e">
        <f t="shared" si="1"/>
        <v>#NUM!</v>
      </c>
      <c r="E62" s="554" t="e">
        <f t="shared" si="2"/>
        <v>#NUM!</v>
      </c>
      <c r="G62" s="554" t="e">
        <f t="shared" si="3"/>
        <v>#NUM!</v>
      </c>
    </row>
    <row r="63" spans="2:7" x14ac:dyDescent="0.3">
      <c r="B63" s="556">
        <v>54</v>
      </c>
      <c r="C63" s="554" t="e">
        <f t="shared" si="0"/>
        <v>#NUM!</v>
      </c>
      <c r="D63" s="554" t="e">
        <f t="shared" si="1"/>
        <v>#NUM!</v>
      </c>
      <c r="E63" s="554" t="e">
        <f t="shared" si="2"/>
        <v>#NUM!</v>
      </c>
      <c r="G63" s="554" t="e">
        <f t="shared" si="3"/>
        <v>#NUM!</v>
      </c>
    </row>
    <row r="64" spans="2:7" x14ac:dyDescent="0.3">
      <c r="B64" s="556">
        <v>55</v>
      </c>
      <c r="C64" s="554" t="e">
        <f t="shared" si="0"/>
        <v>#NUM!</v>
      </c>
      <c r="D64" s="554" t="e">
        <f t="shared" si="1"/>
        <v>#NUM!</v>
      </c>
      <c r="E64" s="554" t="e">
        <f t="shared" si="2"/>
        <v>#NUM!</v>
      </c>
      <c r="G64" s="554" t="e">
        <f t="shared" si="3"/>
        <v>#NUM!</v>
      </c>
    </row>
    <row r="65" spans="2:7" x14ac:dyDescent="0.3">
      <c r="B65" s="556">
        <v>56</v>
      </c>
      <c r="C65" s="554" t="e">
        <f t="shared" si="0"/>
        <v>#NUM!</v>
      </c>
      <c r="D65" s="554" t="e">
        <f t="shared" si="1"/>
        <v>#NUM!</v>
      </c>
      <c r="E65" s="554" t="e">
        <f t="shared" si="2"/>
        <v>#NUM!</v>
      </c>
      <c r="G65" s="554" t="e">
        <f t="shared" si="3"/>
        <v>#NUM!</v>
      </c>
    </row>
    <row r="66" spans="2:7" x14ac:dyDescent="0.3">
      <c r="B66" s="556">
        <v>57</v>
      </c>
      <c r="C66" s="554" t="e">
        <f t="shared" si="0"/>
        <v>#NUM!</v>
      </c>
      <c r="D66" s="554" t="e">
        <f t="shared" si="1"/>
        <v>#NUM!</v>
      </c>
      <c r="E66" s="554" t="e">
        <f t="shared" si="2"/>
        <v>#NUM!</v>
      </c>
      <c r="G66" s="554" t="e">
        <f t="shared" si="3"/>
        <v>#NUM!</v>
      </c>
    </row>
    <row r="67" spans="2:7" x14ac:dyDescent="0.3">
      <c r="B67" s="556">
        <v>58</v>
      </c>
      <c r="C67" s="554" t="e">
        <f t="shared" si="0"/>
        <v>#NUM!</v>
      </c>
      <c r="D67" s="554" t="e">
        <f t="shared" si="1"/>
        <v>#NUM!</v>
      </c>
      <c r="E67" s="554" t="e">
        <f t="shared" si="2"/>
        <v>#NUM!</v>
      </c>
      <c r="G67" s="554" t="e">
        <f t="shared" si="3"/>
        <v>#NUM!</v>
      </c>
    </row>
    <row r="68" spans="2:7" x14ac:dyDescent="0.3">
      <c r="B68" s="556">
        <v>59</v>
      </c>
      <c r="C68" s="554" t="e">
        <f t="shared" si="0"/>
        <v>#NUM!</v>
      </c>
      <c r="D68" s="554" t="e">
        <f t="shared" si="1"/>
        <v>#NUM!</v>
      </c>
      <c r="E68" s="554" t="e">
        <f t="shared" si="2"/>
        <v>#NUM!</v>
      </c>
      <c r="G68" s="554" t="e">
        <f t="shared" si="3"/>
        <v>#NUM!</v>
      </c>
    </row>
    <row r="69" spans="2:7" x14ac:dyDescent="0.3">
      <c r="B69" s="556">
        <v>60</v>
      </c>
      <c r="C69" s="554" t="e">
        <f t="shared" si="0"/>
        <v>#NUM!</v>
      </c>
      <c r="D69" s="554" t="e">
        <f t="shared" si="1"/>
        <v>#NUM!</v>
      </c>
      <c r="E69" s="554" t="e">
        <f t="shared" si="2"/>
        <v>#NUM!</v>
      </c>
      <c r="G69" s="554" t="e">
        <f t="shared" si="3"/>
        <v>#NUM!</v>
      </c>
    </row>
    <row r="70" spans="2:7" x14ac:dyDescent="0.3">
      <c r="B70" s="556">
        <v>61</v>
      </c>
      <c r="C70" s="554" t="e">
        <f t="shared" si="0"/>
        <v>#NUM!</v>
      </c>
      <c r="D70" s="554" t="e">
        <f t="shared" si="1"/>
        <v>#NUM!</v>
      </c>
      <c r="E70" s="554" t="e">
        <f t="shared" si="2"/>
        <v>#NUM!</v>
      </c>
      <c r="G70" s="554" t="e">
        <f t="shared" si="3"/>
        <v>#NUM!</v>
      </c>
    </row>
    <row r="71" spans="2:7" x14ac:dyDescent="0.3">
      <c r="B71" s="556">
        <v>62</v>
      </c>
      <c r="C71" s="554" t="e">
        <f t="shared" si="0"/>
        <v>#NUM!</v>
      </c>
      <c r="D71" s="554" t="e">
        <f t="shared" si="1"/>
        <v>#NUM!</v>
      </c>
      <c r="E71" s="554" t="e">
        <f t="shared" si="2"/>
        <v>#NUM!</v>
      </c>
      <c r="G71" s="554" t="e">
        <f t="shared" si="3"/>
        <v>#NUM!</v>
      </c>
    </row>
    <row r="72" spans="2:7" x14ac:dyDescent="0.3">
      <c r="B72" s="556">
        <v>63</v>
      </c>
      <c r="C72" s="554" t="e">
        <f t="shared" si="0"/>
        <v>#NUM!</v>
      </c>
      <c r="D72" s="554" t="e">
        <f t="shared" si="1"/>
        <v>#NUM!</v>
      </c>
      <c r="E72" s="554" t="e">
        <f t="shared" si="2"/>
        <v>#NUM!</v>
      </c>
      <c r="G72" s="554" t="e">
        <f t="shared" si="3"/>
        <v>#NUM!</v>
      </c>
    </row>
    <row r="73" spans="2:7" x14ac:dyDescent="0.3">
      <c r="B73" s="556">
        <v>64</v>
      </c>
      <c r="C73" s="554" t="e">
        <f t="shared" si="0"/>
        <v>#NUM!</v>
      </c>
      <c r="D73" s="554" t="e">
        <f t="shared" si="1"/>
        <v>#NUM!</v>
      </c>
      <c r="E73" s="554" t="e">
        <f t="shared" si="2"/>
        <v>#NUM!</v>
      </c>
      <c r="G73" s="554" t="e">
        <f t="shared" si="3"/>
        <v>#NUM!</v>
      </c>
    </row>
    <row r="74" spans="2:7" x14ac:dyDescent="0.3">
      <c r="B74" s="556">
        <v>65</v>
      </c>
      <c r="C74" s="554" t="e">
        <f t="shared" ref="C74:C137" si="4">IF($C$3&lt;G74+(G74*($C$4/$C$6)),$C$3,G74+(G74*($C$4/$C$6)))</f>
        <v>#NUM!</v>
      </c>
      <c r="D74" s="554" t="e">
        <f t="shared" ref="D74:D137" si="5">G74*$C$4/$C$6</f>
        <v>#NUM!</v>
      </c>
      <c r="E74" s="554" t="e">
        <f t="shared" ref="E74:E137" si="6">C74-D74</f>
        <v>#NUM!</v>
      </c>
      <c r="G74" s="554" t="e">
        <f t="shared" si="3"/>
        <v>#NUM!</v>
      </c>
    </row>
    <row r="75" spans="2:7" x14ac:dyDescent="0.3">
      <c r="B75" s="556">
        <v>66</v>
      </c>
      <c r="C75" s="554" t="e">
        <f t="shared" si="4"/>
        <v>#NUM!</v>
      </c>
      <c r="D75" s="554" t="e">
        <f t="shared" si="5"/>
        <v>#NUM!</v>
      </c>
      <c r="E75" s="554" t="e">
        <f t="shared" si="6"/>
        <v>#NUM!</v>
      </c>
      <c r="G75" s="554" t="e">
        <f t="shared" ref="G75:G138" si="7">G74-E74-F74</f>
        <v>#NUM!</v>
      </c>
    </row>
    <row r="76" spans="2:7" x14ac:dyDescent="0.3">
      <c r="B76" s="556">
        <v>67</v>
      </c>
      <c r="C76" s="554" t="e">
        <f t="shared" si="4"/>
        <v>#NUM!</v>
      </c>
      <c r="D76" s="554" t="e">
        <f t="shared" si="5"/>
        <v>#NUM!</v>
      </c>
      <c r="E76" s="554" t="e">
        <f t="shared" si="6"/>
        <v>#NUM!</v>
      </c>
      <c r="G76" s="554" t="e">
        <f t="shared" si="7"/>
        <v>#NUM!</v>
      </c>
    </row>
    <row r="77" spans="2:7" x14ac:dyDescent="0.3">
      <c r="B77" s="556">
        <v>68</v>
      </c>
      <c r="C77" s="554" t="e">
        <f t="shared" si="4"/>
        <v>#NUM!</v>
      </c>
      <c r="D77" s="554" t="e">
        <f t="shared" si="5"/>
        <v>#NUM!</v>
      </c>
      <c r="E77" s="554" t="e">
        <f t="shared" si="6"/>
        <v>#NUM!</v>
      </c>
      <c r="G77" s="554" t="e">
        <f t="shared" si="7"/>
        <v>#NUM!</v>
      </c>
    </row>
    <row r="78" spans="2:7" x14ac:dyDescent="0.3">
      <c r="B78" s="556">
        <v>69</v>
      </c>
      <c r="C78" s="554" t="e">
        <f t="shared" si="4"/>
        <v>#NUM!</v>
      </c>
      <c r="D78" s="554" t="e">
        <f t="shared" si="5"/>
        <v>#NUM!</v>
      </c>
      <c r="E78" s="554" t="e">
        <f t="shared" si="6"/>
        <v>#NUM!</v>
      </c>
      <c r="G78" s="554" t="e">
        <f t="shared" si="7"/>
        <v>#NUM!</v>
      </c>
    </row>
    <row r="79" spans="2:7" x14ac:dyDescent="0.3">
      <c r="B79" s="556">
        <v>70</v>
      </c>
      <c r="C79" s="554" t="e">
        <f t="shared" si="4"/>
        <v>#NUM!</v>
      </c>
      <c r="D79" s="554" t="e">
        <f t="shared" si="5"/>
        <v>#NUM!</v>
      </c>
      <c r="E79" s="554" t="e">
        <f t="shared" si="6"/>
        <v>#NUM!</v>
      </c>
      <c r="G79" s="554" t="e">
        <f t="shared" si="7"/>
        <v>#NUM!</v>
      </c>
    </row>
    <row r="80" spans="2:7" x14ac:dyDescent="0.3">
      <c r="B80" s="556">
        <v>71</v>
      </c>
      <c r="C80" s="554" t="e">
        <f t="shared" si="4"/>
        <v>#NUM!</v>
      </c>
      <c r="D80" s="554" t="e">
        <f t="shared" si="5"/>
        <v>#NUM!</v>
      </c>
      <c r="E80" s="554" t="e">
        <f t="shared" si="6"/>
        <v>#NUM!</v>
      </c>
      <c r="G80" s="554" t="e">
        <f t="shared" si="7"/>
        <v>#NUM!</v>
      </c>
    </row>
    <row r="81" spans="2:7" x14ac:dyDescent="0.3">
      <c r="B81" s="556">
        <v>72</v>
      </c>
      <c r="C81" s="554" t="e">
        <f t="shared" si="4"/>
        <v>#NUM!</v>
      </c>
      <c r="D81" s="554" t="e">
        <f t="shared" si="5"/>
        <v>#NUM!</v>
      </c>
      <c r="E81" s="554" t="e">
        <f t="shared" si="6"/>
        <v>#NUM!</v>
      </c>
      <c r="G81" s="554" t="e">
        <f t="shared" si="7"/>
        <v>#NUM!</v>
      </c>
    </row>
    <row r="82" spans="2:7" x14ac:dyDescent="0.3">
      <c r="B82" s="556">
        <v>73</v>
      </c>
      <c r="C82" s="554" t="e">
        <f t="shared" si="4"/>
        <v>#NUM!</v>
      </c>
      <c r="D82" s="554" t="e">
        <f t="shared" si="5"/>
        <v>#NUM!</v>
      </c>
      <c r="E82" s="554" t="e">
        <f t="shared" si="6"/>
        <v>#NUM!</v>
      </c>
      <c r="G82" s="554" t="e">
        <f t="shared" si="7"/>
        <v>#NUM!</v>
      </c>
    </row>
    <row r="83" spans="2:7" x14ac:dyDescent="0.3">
      <c r="B83" s="556">
        <v>74</v>
      </c>
      <c r="C83" s="554" t="e">
        <f t="shared" si="4"/>
        <v>#NUM!</v>
      </c>
      <c r="D83" s="554" t="e">
        <f t="shared" si="5"/>
        <v>#NUM!</v>
      </c>
      <c r="E83" s="554" t="e">
        <f t="shared" si="6"/>
        <v>#NUM!</v>
      </c>
      <c r="G83" s="554" t="e">
        <f t="shared" si="7"/>
        <v>#NUM!</v>
      </c>
    </row>
    <row r="84" spans="2:7" x14ac:dyDescent="0.3">
      <c r="B84" s="556">
        <v>75</v>
      </c>
      <c r="C84" s="554" t="e">
        <f t="shared" si="4"/>
        <v>#NUM!</v>
      </c>
      <c r="D84" s="554" t="e">
        <f t="shared" si="5"/>
        <v>#NUM!</v>
      </c>
      <c r="E84" s="554" t="e">
        <f t="shared" si="6"/>
        <v>#NUM!</v>
      </c>
      <c r="G84" s="554" t="e">
        <f t="shared" si="7"/>
        <v>#NUM!</v>
      </c>
    </row>
    <row r="85" spans="2:7" x14ac:dyDescent="0.3">
      <c r="B85" s="556">
        <v>76</v>
      </c>
      <c r="C85" s="554" t="e">
        <f t="shared" si="4"/>
        <v>#NUM!</v>
      </c>
      <c r="D85" s="554" t="e">
        <f t="shared" si="5"/>
        <v>#NUM!</v>
      </c>
      <c r="E85" s="554" t="e">
        <f t="shared" si="6"/>
        <v>#NUM!</v>
      </c>
      <c r="G85" s="554" t="e">
        <f t="shared" si="7"/>
        <v>#NUM!</v>
      </c>
    </row>
    <row r="86" spans="2:7" x14ac:dyDescent="0.3">
      <c r="B86" s="556">
        <v>77</v>
      </c>
      <c r="C86" s="554" t="e">
        <f t="shared" si="4"/>
        <v>#NUM!</v>
      </c>
      <c r="D86" s="554" t="e">
        <f t="shared" si="5"/>
        <v>#NUM!</v>
      </c>
      <c r="E86" s="554" t="e">
        <f t="shared" si="6"/>
        <v>#NUM!</v>
      </c>
      <c r="G86" s="554" t="e">
        <f t="shared" si="7"/>
        <v>#NUM!</v>
      </c>
    </row>
    <row r="87" spans="2:7" x14ac:dyDescent="0.3">
      <c r="B87" s="556">
        <v>78</v>
      </c>
      <c r="C87" s="554" t="e">
        <f t="shared" si="4"/>
        <v>#NUM!</v>
      </c>
      <c r="D87" s="554" t="e">
        <f t="shared" si="5"/>
        <v>#NUM!</v>
      </c>
      <c r="E87" s="554" t="e">
        <f t="shared" si="6"/>
        <v>#NUM!</v>
      </c>
      <c r="G87" s="554" t="e">
        <f t="shared" si="7"/>
        <v>#NUM!</v>
      </c>
    </row>
    <row r="88" spans="2:7" x14ac:dyDescent="0.3">
      <c r="B88" s="556">
        <v>79</v>
      </c>
      <c r="C88" s="554" t="e">
        <f t="shared" si="4"/>
        <v>#NUM!</v>
      </c>
      <c r="D88" s="554" t="e">
        <f t="shared" si="5"/>
        <v>#NUM!</v>
      </c>
      <c r="E88" s="554" t="e">
        <f t="shared" si="6"/>
        <v>#NUM!</v>
      </c>
      <c r="G88" s="554" t="e">
        <f t="shared" si="7"/>
        <v>#NUM!</v>
      </c>
    </row>
    <row r="89" spans="2:7" x14ac:dyDescent="0.3">
      <c r="B89" s="556">
        <v>80</v>
      </c>
      <c r="C89" s="554" t="e">
        <f t="shared" si="4"/>
        <v>#NUM!</v>
      </c>
      <c r="D89" s="554" t="e">
        <f t="shared" si="5"/>
        <v>#NUM!</v>
      </c>
      <c r="E89" s="554" t="e">
        <f t="shared" si="6"/>
        <v>#NUM!</v>
      </c>
      <c r="G89" s="554" t="e">
        <f t="shared" si="7"/>
        <v>#NUM!</v>
      </c>
    </row>
    <row r="90" spans="2:7" x14ac:dyDescent="0.3">
      <c r="B90" s="556">
        <v>81</v>
      </c>
      <c r="C90" s="554" t="e">
        <f t="shared" si="4"/>
        <v>#NUM!</v>
      </c>
      <c r="D90" s="554" t="e">
        <f t="shared" si="5"/>
        <v>#NUM!</v>
      </c>
      <c r="E90" s="554" t="e">
        <f t="shared" si="6"/>
        <v>#NUM!</v>
      </c>
      <c r="G90" s="554" t="e">
        <f t="shared" si="7"/>
        <v>#NUM!</v>
      </c>
    </row>
    <row r="91" spans="2:7" x14ac:dyDescent="0.3">
      <c r="B91" s="556">
        <v>82</v>
      </c>
      <c r="C91" s="554" t="e">
        <f t="shared" si="4"/>
        <v>#NUM!</v>
      </c>
      <c r="D91" s="554" t="e">
        <f t="shared" si="5"/>
        <v>#NUM!</v>
      </c>
      <c r="E91" s="554" t="e">
        <f t="shared" si="6"/>
        <v>#NUM!</v>
      </c>
      <c r="G91" s="554" t="e">
        <f t="shared" si="7"/>
        <v>#NUM!</v>
      </c>
    </row>
    <row r="92" spans="2:7" x14ac:dyDescent="0.3">
      <c r="B92" s="556">
        <v>83</v>
      </c>
      <c r="C92" s="554" t="e">
        <f t="shared" si="4"/>
        <v>#NUM!</v>
      </c>
      <c r="D92" s="554" t="e">
        <f t="shared" si="5"/>
        <v>#NUM!</v>
      </c>
      <c r="E92" s="554" t="e">
        <f t="shared" si="6"/>
        <v>#NUM!</v>
      </c>
      <c r="G92" s="554" t="e">
        <f t="shared" si="7"/>
        <v>#NUM!</v>
      </c>
    </row>
    <row r="93" spans="2:7" x14ac:dyDescent="0.3">
      <c r="B93" s="556">
        <v>84</v>
      </c>
      <c r="C93" s="554" t="e">
        <f t="shared" si="4"/>
        <v>#NUM!</v>
      </c>
      <c r="D93" s="554" t="e">
        <f t="shared" si="5"/>
        <v>#NUM!</v>
      </c>
      <c r="E93" s="554" t="e">
        <f t="shared" si="6"/>
        <v>#NUM!</v>
      </c>
      <c r="G93" s="554" t="e">
        <f t="shared" si="7"/>
        <v>#NUM!</v>
      </c>
    </row>
    <row r="94" spans="2:7" x14ac:dyDescent="0.3">
      <c r="B94" s="556">
        <v>85</v>
      </c>
      <c r="C94" s="554" t="e">
        <f t="shared" si="4"/>
        <v>#NUM!</v>
      </c>
      <c r="D94" s="554" t="e">
        <f t="shared" si="5"/>
        <v>#NUM!</v>
      </c>
      <c r="E94" s="554" t="e">
        <f t="shared" si="6"/>
        <v>#NUM!</v>
      </c>
      <c r="G94" s="554" t="e">
        <f t="shared" si="7"/>
        <v>#NUM!</v>
      </c>
    </row>
    <row r="95" spans="2:7" x14ac:dyDescent="0.3">
      <c r="B95" s="556">
        <v>86</v>
      </c>
      <c r="C95" s="554" t="e">
        <f t="shared" si="4"/>
        <v>#NUM!</v>
      </c>
      <c r="D95" s="554" t="e">
        <f t="shared" si="5"/>
        <v>#NUM!</v>
      </c>
      <c r="E95" s="554" t="e">
        <f t="shared" si="6"/>
        <v>#NUM!</v>
      </c>
      <c r="G95" s="554" t="e">
        <f t="shared" si="7"/>
        <v>#NUM!</v>
      </c>
    </row>
    <row r="96" spans="2:7" x14ac:dyDescent="0.3">
      <c r="B96" s="556">
        <v>87</v>
      </c>
      <c r="C96" s="554" t="e">
        <f t="shared" si="4"/>
        <v>#NUM!</v>
      </c>
      <c r="D96" s="554" t="e">
        <f t="shared" si="5"/>
        <v>#NUM!</v>
      </c>
      <c r="E96" s="554" t="e">
        <f t="shared" si="6"/>
        <v>#NUM!</v>
      </c>
      <c r="G96" s="554" t="e">
        <f t="shared" si="7"/>
        <v>#NUM!</v>
      </c>
    </row>
    <row r="97" spans="2:7" x14ac:dyDescent="0.3">
      <c r="B97" s="556">
        <v>88</v>
      </c>
      <c r="C97" s="554" t="e">
        <f t="shared" si="4"/>
        <v>#NUM!</v>
      </c>
      <c r="D97" s="554" t="e">
        <f t="shared" si="5"/>
        <v>#NUM!</v>
      </c>
      <c r="E97" s="554" t="e">
        <f t="shared" si="6"/>
        <v>#NUM!</v>
      </c>
      <c r="G97" s="554" t="e">
        <f t="shared" si="7"/>
        <v>#NUM!</v>
      </c>
    </row>
    <row r="98" spans="2:7" x14ac:dyDescent="0.3">
      <c r="B98" s="556">
        <v>89</v>
      </c>
      <c r="C98" s="554" t="e">
        <f t="shared" si="4"/>
        <v>#NUM!</v>
      </c>
      <c r="D98" s="554" t="e">
        <f t="shared" si="5"/>
        <v>#NUM!</v>
      </c>
      <c r="E98" s="554" t="e">
        <f t="shared" si="6"/>
        <v>#NUM!</v>
      </c>
      <c r="G98" s="554" t="e">
        <f t="shared" si="7"/>
        <v>#NUM!</v>
      </c>
    </row>
    <row r="99" spans="2:7" x14ac:dyDescent="0.3">
      <c r="B99" s="556">
        <v>90</v>
      </c>
      <c r="C99" s="554" t="e">
        <f t="shared" si="4"/>
        <v>#NUM!</v>
      </c>
      <c r="D99" s="554" t="e">
        <f t="shared" si="5"/>
        <v>#NUM!</v>
      </c>
      <c r="E99" s="554" t="e">
        <f t="shared" si="6"/>
        <v>#NUM!</v>
      </c>
      <c r="G99" s="554" t="e">
        <f t="shared" si="7"/>
        <v>#NUM!</v>
      </c>
    </row>
    <row r="100" spans="2:7" x14ac:dyDescent="0.3">
      <c r="B100" s="556">
        <v>91</v>
      </c>
      <c r="C100" s="554" t="e">
        <f t="shared" si="4"/>
        <v>#NUM!</v>
      </c>
      <c r="D100" s="554" t="e">
        <f t="shared" si="5"/>
        <v>#NUM!</v>
      </c>
      <c r="E100" s="554" t="e">
        <f t="shared" si="6"/>
        <v>#NUM!</v>
      </c>
      <c r="G100" s="554" t="e">
        <f t="shared" si="7"/>
        <v>#NUM!</v>
      </c>
    </row>
    <row r="101" spans="2:7" x14ac:dyDescent="0.3">
      <c r="B101" s="556">
        <v>92</v>
      </c>
      <c r="C101" s="554" t="e">
        <f t="shared" si="4"/>
        <v>#NUM!</v>
      </c>
      <c r="D101" s="554" t="e">
        <f t="shared" si="5"/>
        <v>#NUM!</v>
      </c>
      <c r="E101" s="554" t="e">
        <f t="shared" si="6"/>
        <v>#NUM!</v>
      </c>
      <c r="G101" s="554" t="e">
        <f t="shared" si="7"/>
        <v>#NUM!</v>
      </c>
    </row>
    <row r="102" spans="2:7" x14ac:dyDescent="0.3">
      <c r="B102" s="556">
        <v>93</v>
      </c>
      <c r="C102" s="554" t="e">
        <f t="shared" si="4"/>
        <v>#NUM!</v>
      </c>
      <c r="D102" s="554" t="e">
        <f t="shared" si="5"/>
        <v>#NUM!</v>
      </c>
      <c r="E102" s="554" t="e">
        <f t="shared" si="6"/>
        <v>#NUM!</v>
      </c>
      <c r="G102" s="554" t="e">
        <f t="shared" si="7"/>
        <v>#NUM!</v>
      </c>
    </row>
    <row r="103" spans="2:7" x14ac:dyDescent="0.3">
      <c r="B103" s="556">
        <v>94</v>
      </c>
      <c r="C103" s="554" t="e">
        <f t="shared" si="4"/>
        <v>#NUM!</v>
      </c>
      <c r="D103" s="554" t="e">
        <f t="shared" si="5"/>
        <v>#NUM!</v>
      </c>
      <c r="E103" s="554" t="e">
        <f t="shared" si="6"/>
        <v>#NUM!</v>
      </c>
      <c r="G103" s="554" t="e">
        <f t="shared" si="7"/>
        <v>#NUM!</v>
      </c>
    </row>
    <row r="104" spans="2:7" x14ac:dyDescent="0.3">
      <c r="B104" s="556">
        <v>95</v>
      </c>
      <c r="C104" s="554" t="e">
        <f t="shared" si="4"/>
        <v>#NUM!</v>
      </c>
      <c r="D104" s="554" t="e">
        <f t="shared" si="5"/>
        <v>#NUM!</v>
      </c>
      <c r="E104" s="554" t="e">
        <f t="shared" si="6"/>
        <v>#NUM!</v>
      </c>
      <c r="G104" s="554" t="e">
        <f t="shared" si="7"/>
        <v>#NUM!</v>
      </c>
    </row>
    <row r="105" spans="2:7" x14ac:dyDescent="0.3">
      <c r="B105" s="556">
        <v>96</v>
      </c>
      <c r="C105" s="554" t="e">
        <f t="shared" si="4"/>
        <v>#NUM!</v>
      </c>
      <c r="D105" s="554" t="e">
        <f t="shared" si="5"/>
        <v>#NUM!</v>
      </c>
      <c r="E105" s="554" t="e">
        <f t="shared" si="6"/>
        <v>#NUM!</v>
      </c>
      <c r="G105" s="554" t="e">
        <f t="shared" si="7"/>
        <v>#NUM!</v>
      </c>
    </row>
    <row r="106" spans="2:7" x14ac:dyDescent="0.3">
      <c r="B106" s="556">
        <v>97</v>
      </c>
      <c r="C106" s="554" t="e">
        <f t="shared" si="4"/>
        <v>#NUM!</v>
      </c>
      <c r="D106" s="554" t="e">
        <f t="shared" si="5"/>
        <v>#NUM!</v>
      </c>
      <c r="E106" s="554" t="e">
        <f t="shared" si="6"/>
        <v>#NUM!</v>
      </c>
      <c r="G106" s="554" t="e">
        <f t="shared" si="7"/>
        <v>#NUM!</v>
      </c>
    </row>
    <row r="107" spans="2:7" x14ac:dyDescent="0.3">
      <c r="B107" s="556">
        <v>98</v>
      </c>
      <c r="C107" s="554" t="e">
        <f t="shared" si="4"/>
        <v>#NUM!</v>
      </c>
      <c r="D107" s="554" t="e">
        <f t="shared" si="5"/>
        <v>#NUM!</v>
      </c>
      <c r="E107" s="554" t="e">
        <f t="shared" si="6"/>
        <v>#NUM!</v>
      </c>
      <c r="G107" s="554" t="e">
        <f t="shared" si="7"/>
        <v>#NUM!</v>
      </c>
    </row>
    <row r="108" spans="2:7" x14ac:dyDescent="0.3">
      <c r="B108" s="556">
        <v>99</v>
      </c>
      <c r="C108" s="554" t="e">
        <f t="shared" si="4"/>
        <v>#NUM!</v>
      </c>
      <c r="D108" s="554" t="e">
        <f t="shared" si="5"/>
        <v>#NUM!</v>
      </c>
      <c r="E108" s="554" t="e">
        <f t="shared" si="6"/>
        <v>#NUM!</v>
      </c>
      <c r="G108" s="554" t="e">
        <f t="shared" si="7"/>
        <v>#NUM!</v>
      </c>
    </row>
    <row r="109" spans="2:7" x14ac:dyDescent="0.3">
      <c r="B109" s="556">
        <v>100</v>
      </c>
      <c r="C109" s="554" t="e">
        <f t="shared" si="4"/>
        <v>#NUM!</v>
      </c>
      <c r="D109" s="554" t="e">
        <f t="shared" si="5"/>
        <v>#NUM!</v>
      </c>
      <c r="E109" s="554" t="e">
        <f t="shared" si="6"/>
        <v>#NUM!</v>
      </c>
      <c r="G109" s="554" t="e">
        <f t="shared" si="7"/>
        <v>#NUM!</v>
      </c>
    </row>
    <row r="110" spans="2:7" x14ac:dyDescent="0.3">
      <c r="B110" s="556">
        <v>101</v>
      </c>
      <c r="C110" s="554" t="e">
        <f t="shared" si="4"/>
        <v>#NUM!</v>
      </c>
      <c r="D110" s="554" t="e">
        <f t="shared" si="5"/>
        <v>#NUM!</v>
      </c>
      <c r="E110" s="554" t="e">
        <f t="shared" si="6"/>
        <v>#NUM!</v>
      </c>
      <c r="G110" s="554" t="e">
        <f t="shared" si="7"/>
        <v>#NUM!</v>
      </c>
    </row>
    <row r="111" spans="2:7" x14ac:dyDescent="0.3">
      <c r="B111" s="556">
        <v>102</v>
      </c>
      <c r="C111" s="554" t="e">
        <f t="shared" si="4"/>
        <v>#NUM!</v>
      </c>
      <c r="D111" s="554" t="e">
        <f t="shared" si="5"/>
        <v>#NUM!</v>
      </c>
      <c r="E111" s="554" t="e">
        <f t="shared" si="6"/>
        <v>#NUM!</v>
      </c>
      <c r="G111" s="554" t="e">
        <f t="shared" si="7"/>
        <v>#NUM!</v>
      </c>
    </row>
    <row r="112" spans="2:7" x14ac:dyDescent="0.3">
      <c r="B112" s="556">
        <v>103</v>
      </c>
      <c r="C112" s="554" t="e">
        <f t="shared" si="4"/>
        <v>#NUM!</v>
      </c>
      <c r="D112" s="554" t="e">
        <f t="shared" si="5"/>
        <v>#NUM!</v>
      </c>
      <c r="E112" s="554" t="e">
        <f t="shared" si="6"/>
        <v>#NUM!</v>
      </c>
      <c r="G112" s="554" t="e">
        <f t="shared" si="7"/>
        <v>#NUM!</v>
      </c>
    </row>
    <row r="113" spans="2:7" x14ac:dyDescent="0.3">
      <c r="B113" s="556">
        <v>104</v>
      </c>
      <c r="C113" s="554" t="e">
        <f t="shared" si="4"/>
        <v>#NUM!</v>
      </c>
      <c r="D113" s="554" t="e">
        <f t="shared" si="5"/>
        <v>#NUM!</v>
      </c>
      <c r="E113" s="554" t="e">
        <f t="shared" si="6"/>
        <v>#NUM!</v>
      </c>
      <c r="G113" s="554" t="e">
        <f t="shared" si="7"/>
        <v>#NUM!</v>
      </c>
    </row>
    <row r="114" spans="2:7" x14ac:dyDescent="0.3">
      <c r="B114" s="556">
        <v>105</v>
      </c>
      <c r="C114" s="554" t="e">
        <f t="shared" si="4"/>
        <v>#NUM!</v>
      </c>
      <c r="D114" s="554" t="e">
        <f t="shared" si="5"/>
        <v>#NUM!</v>
      </c>
      <c r="E114" s="554" t="e">
        <f t="shared" si="6"/>
        <v>#NUM!</v>
      </c>
      <c r="G114" s="554" t="e">
        <f t="shared" si="7"/>
        <v>#NUM!</v>
      </c>
    </row>
    <row r="115" spans="2:7" x14ac:dyDescent="0.3">
      <c r="B115" s="556">
        <v>106</v>
      </c>
      <c r="C115" s="554" t="e">
        <f t="shared" si="4"/>
        <v>#NUM!</v>
      </c>
      <c r="D115" s="554" t="e">
        <f t="shared" si="5"/>
        <v>#NUM!</v>
      </c>
      <c r="E115" s="554" t="e">
        <f t="shared" si="6"/>
        <v>#NUM!</v>
      </c>
      <c r="G115" s="554" t="e">
        <f t="shared" si="7"/>
        <v>#NUM!</v>
      </c>
    </row>
    <row r="116" spans="2:7" x14ac:dyDescent="0.3">
      <c r="B116" s="556">
        <v>107</v>
      </c>
      <c r="C116" s="554" t="e">
        <f t="shared" si="4"/>
        <v>#NUM!</v>
      </c>
      <c r="D116" s="554" t="e">
        <f t="shared" si="5"/>
        <v>#NUM!</v>
      </c>
      <c r="E116" s="554" t="e">
        <f t="shared" si="6"/>
        <v>#NUM!</v>
      </c>
      <c r="G116" s="554" t="e">
        <f t="shared" si="7"/>
        <v>#NUM!</v>
      </c>
    </row>
    <row r="117" spans="2:7" x14ac:dyDescent="0.3">
      <c r="B117" s="556">
        <v>108</v>
      </c>
      <c r="C117" s="554" t="e">
        <f t="shared" si="4"/>
        <v>#NUM!</v>
      </c>
      <c r="D117" s="554" t="e">
        <f t="shared" si="5"/>
        <v>#NUM!</v>
      </c>
      <c r="E117" s="554" t="e">
        <f t="shared" si="6"/>
        <v>#NUM!</v>
      </c>
      <c r="G117" s="554" t="e">
        <f t="shared" si="7"/>
        <v>#NUM!</v>
      </c>
    </row>
    <row r="118" spans="2:7" x14ac:dyDescent="0.3">
      <c r="B118" s="556">
        <v>109</v>
      </c>
      <c r="C118" s="554" t="e">
        <f t="shared" si="4"/>
        <v>#NUM!</v>
      </c>
      <c r="D118" s="554" t="e">
        <f t="shared" si="5"/>
        <v>#NUM!</v>
      </c>
      <c r="E118" s="554" t="e">
        <f t="shared" si="6"/>
        <v>#NUM!</v>
      </c>
      <c r="G118" s="554" t="e">
        <f t="shared" si="7"/>
        <v>#NUM!</v>
      </c>
    </row>
    <row r="119" spans="2:7" x14ac:dyDescent="0.3">
      <c r="B119" s="556">
        <v>110</v>
      </c>
      <c r="C119" s="554" t="e">
        <f t="shared" si="4"/>
        <v>#NUM!</v>
      </c>
      <c r="D119" s="554" t="e">
        <f t="shared" si="5"/>
        <v>#NUM!</v>
      </c>
      <c r="E119" s="554" t="e">
        <f t="shared" si="6"/>
        <v>#NUM!</v>
      </c>
      <c r="G119" s="554" t="e">
        <f t="shared" si="7"/>
        <v>#NUM!</v>
      </c>
    </row>
    <row r="120" spans="2:7" x14ac:dyDescent="0.3">
      <c r="B120" s="556">
        <v>111</v>
      </c>
      <c r="C120" s="554" t="e">
        <f t="shared" si="4"/>
        <v>#NUM!</v>
      </c>
      <c r="D120" s="554" t="e">
        <f t="shared" si="5"/>
        <v>#NUM!</v>
      </c>
      <c r="E120" s="554" t="e">
        <f t="shared" si="6"/>
        <v>#NUM!</v>
      </c>
      <c r="G120" s="554" t="e">
        <f t="shared" si="7"/>
        <v>#NUM!</v>
      </c>
    </row>
    <row r="121" spans="2:7" x14ac:dyDescent="0.3">
      <c r="B121" s="556">
        <v>112</v>
      </c>
      <c r="C121" s="554" t="e">
        <f t="shared" si="4"/>
        <v>#NUM!</v>
      </c>
      <c r="D121" s="554" t="e">
        <f t="shared" si="5"/>
        <v>#NUM!</v>
      </c>
      <c r="E121" s="554" t="e">
        <f t="shared" si="6"/>
        <v>#NUM!</v>
      </c>
      <c r="G121" s="554" t="e">
        <f t="shared" si="7"/>
        <v>#NUM!</v>
      </c>
    </row>
    <row r="122" spans="2:7" x14ac:dyDescent="0.3">
      <c r="B122" s="556">
        <v>113</v>
      </c>
      <c r="C122" s="554" t="e">
        <f t="shared" si="4"/>
        <v>#NUM!</v>
      </c>
      <c r="D122" s="554" t="e">
        <f t="shared" si="5"/>
        <v>#NUM!</v>
      </c>
      <c r="E122" s="554" t="e">
        <f t="shared" si="6"/>
        <v>#NUM!</v>
      </c>
      <c r="G122" s="554" t="e">
        <f t="shared" si="7"/>
        <v>#NUM!</v>
      </c>
    </row>
    <row r="123" spans="2:7" x14ac:dyDescent="0.3">
      <c r="B123" s="556">
        <v>114</v>
      </c>
      <c r="C123" s="554" t="e">
        <f t="shared" si="4"/>
        <v>#NUM!</v>
      </c>
      <c r="D123" s="554" t="e">
        <f t="shared" si="5"/>
        <v>#NUM!</v>
      </c>
      <c r="E123" s="554" t="e">
        <f t="shared" si="6"/>
        <v>#NUM!</v>
      </c>
      <c r="G123" s="554" t="e">
        <f t="shared" si="7"/>
        <v>#NUM!</v>
      </c>
    </row>
    <row r="124" spans="2:7" x14ac:dyDescent="0.3">
      <c r="B124" s="556">
        <v>115</v>
      </c>
      <c r="C124" s="554" t="e">
        <f t="shared" si="4"/>
        <v>#NUM!</v>
      </c>
      <c r="D124" s="554" t="e">
        <f t="shared" si="5"/>
        <v>#NUM!</v>
      </c>
      <c r="E124" s="554" t="e">
        <f t="shared" si="6"/>
        <v>#NUM!</v>
      </c>
      <c r="G124" s="554" t="e">
        <f t="shared" si="7"/>
        <v>#NUM!</v>
      </c>
    </row>
    <row r="125" spans="2:7" x14ac:dyDescent="0.3">
      <c r="B125" s="556">
        <v>116</v>
      </c>
      <c r="C125" s="554" t="e">
        <f t="shared" si="4"/>
        <v>#NUM!</v>
      </c>
      <c r="D125" s="554" t="e">
        <f t="shared" si="5"/>
        <v>#NUM!</v>
      </c>
      <c r="E125" s="554" t="e">
        <f t="shared" si="6"/>
        <v>#NUM!</v>
      </c>
      <c r="G125" s="554" t="e">
        <f t="shared" si="7"/>
        <v>#NUM!</v>
      </c>
    </row>
    <row r="126" spans="2:7" x14ac:dyDescent="0.3">
      <c r="B126" s="556">
        <v>117</v>
      </c>
      <c r="C126" s="554" t="e">
        <f t="shared" si="4"/>
        <v>#NUM!</v>
      </c>
      <c r="D126" s="554" t="e">
        <f t="shared" si="5"/>
        <v>#NUM!</v>
      </c>
      <c r="E126" s="554" t="e">
        <f t="shared" si="6"/>
        <v>#NUM!</v>
      </c>
      <c r="G126" s="554" t="e">
        <f t="shared" si="7"/>
        <v>#NUM!</v>
      </c>
    </row>
    <row r="127" spans="2:7" x14ac:dyDescent="0.3">
      <c r="B127" s="556">
        <v>118</v>
      </c>
      <c r="C127" s="554" t="e">
        <f t="shared" si="4"/>
        <v>#NUM!</v>
      </c>
      <c r="D127" s="554" t="e">
        <f t="shared" si="5"/>
        <v>#NUM!</v>
      </c>
      <c r="E127" s="554" t="e">
        <f t="shared" si="6"/>
        <v>#NUM!</v>
      </c>
      <c r="G127" s="554" t="e">
        <f t="shared" si="7"/>
        <v>#NUM!</v>
      </c>
    </row>
    <row r="128" spans="2:7" x14ac:dyDescent="0.3">
      <c r="B128" s="556">
        <v>119</v>
      </c>
      <c r="C128" s="554" t="e">
        <f t="shared" si="4"/>
        <v>#NUM!</v>
      </c>
      <c r="D128" s="554" t="e">
        <f t="shared" si="5"/>
        <v>#NUM!</v>
      </c>
      <c r="E128" s="554" t="e">
        <f t="shared" si="6"/>
        <v>#NUM!</v>
      </c>
      <c r="G128" s="554" t="e">
        <f t="shared" si="7"/>
        <v>#NUM!</v>
      </c>
    </row>
    <row r="129" spans="2:7" x14ac:dyDescent="0.3">
      <c r="B129" s="556">
        <v>120</v>
      </c>
      <c r="C129" s="554" t="e">
        <f t="shared" si="4"/>
        <v>#NUM!</v>
      </c>
      <c r="D129" s="554" t="e">
        <f t="shared" si="5"/>
        <v>#NUM!</v>
      </c>
      <c r="E129" s="554" t="e">
        <f t="shared" si="6"/>
        <v>#NUM!</v>
      </c>
      <c r="G129" s="554" t="e">
        <f t="shared" si="7"/>
        <v>#NUM!</v>
      </c>
    </row>
    <row r="130" spans="2:7" x14ac:dyDescent="0.3">
      <c r="B130" s="556">
        <v>121</v>
      </c>
      <c r="C130" s="554" t="e">
        <f t="shared" si="4"/>
        <v>#NUM!</v>
      </c>
      <c r="D130" s="554" t="e">
        <f t="shared" si="5"/>
        <v>#NUM!</v>
      </c>
      <c r="E130" s="554" t="e">
        <f t="shared" si="6"/>
        <v>#NUM!</v>
      </c>
      <c r="G130" s="554" t="e">
        <f t="shared" si="7"/>
        <v>#NUM!</v>
      </c>
    </row>
    <row r="131" spans="2:7" x14ac:dyDescent="0.3">
      <c r="B131" s="556">
        <v>122</v>
      </c>
      <c r="C131" s="554" t="e">
        <f t="shared" si="4"/>
        <v>#NUM!</v>
      </c>
      <c r="D131" s="554" t="e">
        <f t="shared" si="5"/>
        <v>#NUM!</v>
      </c>
      <c r="E131" s="554" t="e">
        <f t="shared" si="6"/>
        <v>#NUM!</v>
      </c>
      <c r="G131" s="554" t="e">
        <f t="shared" si="7"/>
        <v>#NUM!</v>
      </c>
    </row>
    <row r="132" spans="2:7" x14ac:dyDescent="0.3">
      <c r="B132" s="556">
        <v>123</v>
      </c>
      <c r="C132" s="554" t="e">
        <f t="shared" si="4"/>
        <v>#NUM!</v>
      </c>
      <c r="D132" s="554" t="e">
        <f t="shared" si="5"/>
        <v>#NUM!</v>
      </c>
      <c r="E132" s="554" t="e">
        <f t="shared" si="6"/>
        <v>#NUM!</v>
      </c>
      <c r="G132" s="554" t="e">
        <f t="shared" si="7"/>
        <v>#NUM!</v>
      </c>
    </row>
    <row r="133" spans="2:7" x14ac:dyDescent="0.3">
      <c r="B133" s="556">
        <v>124</v>
      </c>
      <c r="C133" s="554" t="e">
        <f t="shared" si="4"/>
        <v>#NUM!</v>
      </c>
      <c r="D133" s="554" t="e">
        <f t="shared" si="5"/>
        <v>#NUM!</v>
      </c>
      <c r="E133" s="554" t="e">
        <f t="shared" si="6"/>
        <v>#NUM!</v>
      </c>
      <c r="G133" s="554" t="e">
        <f t="shared" si="7"/>
        <v>#NUM!</v>
      </c>
    </row>
    <row r="134" spans="2:7" x14ac:dyDescent="0.3">
      <c r="B134" s="556">
        <v>125</v>
      </c>
      <c r="C134" s="554" t="e">
        <f t="shared" si="4"/>
        <v>#NUM!</v>
      </c>
      <c r="D134" s="554" t="e">
        <f t="shared" si="5"/>
        <v>#NUM!</v>
      </c>
      <c r="E134" s="554" t="e">
        <f t="shared" si="6"/>
        <v>#NUM!</v>
      </c>
      <c r="G134" s="554" t="e">
        <f t="shared" si="7"/>
        <v>#NUM!</v>
      </c>
    </row>
    <row r="135" spans="2:7" x14ac:dyDescent="0.3">
      <c r="B135" s="556">
        <v>126</v>
      </c>
      <c r="C135" s="554" t="e">
        <f t="shared" si="4"/>
        <v>#NUM!</v>
      </c>
      <c r="D135" s="554" t="e">
        <f t="shared" si="5"/>
        <v>#NUM!</v>
      </c>
      <c r="E135" s="554" t="e">
        <f t="shared" si="6"/>
        <v>#NUM!</v>
      </c>
      <c r="G135" s="554" t="e">
        <f t="shared" si="7"/>
        <v>#NUM!</v>
      </c>
    </row>
    <row r="136" spans="2:7" x14ac:dyDescent="0.3">
      <c r="B136" s="556">
        <v>127</v>
      </c>
      <c r="C136" s="554" t="e">
        <f t="shared" si="4"/>
        <v>#NUM!</v>
      </c>
      <c r="D136" s="554" t="e">
        <f t="shared" si="5"/>
        <v>#NUM!</v>
      </c>
      <c r="E136" s="554" t="e">
        <f t="shared" si="6"/>
        <v>#NUM!</v>
      </c>
      <c r="G136" s="554" t="e">
        <f t="shared" si="7"/>
        <v>#NUM!</v>
      </c>
    </row>
    <row r="137" spans="2:7" x14ac:dyDescent="0.3">
      <c r="B137" s="556">
        <v>128</v>
      </c>
      <c r="C137" s="554" t="e">
        <f t="shared" si="4"/>
        <v>#NUM!</v>
      </c>
      <c r="D137" s="554" t="e">
        <f t="shared" si="5"/>
        <v>#NUM!</v>
      </c>
      <c r="E137" s="554" t="e">
        <f t="shared" si="6"/>
        <v>#NUM!</v>
      </c>
      <c r="G137" s="554" t="e">
        <f t="shared" si="7"/>
        <v>#NUM!</v>
      </c>
    </row>
    <row r="138" spans="2:7" x14ac:dyDescent="0.3">
      <c r="B138" s="556">
        <v>129</v>
      </c>
      <c r="C138" s="554" t="e">
        <f t="shared" ref="C138:C201" si="8">IF($C$3&lt;G138+(G138*($C$4/$C$6)),$C$3,G138+(G138*($C$4/$C$6)))</f>
        <v>#NUM!</v>
      </c>
      <c r="D138" s="554" t="e">
        <f t="shared" ref="D138:D201" si="9">G138*$C$4/$C$6</f>
        <v>#NUM!</v>
      </c>
      <c r="E138" s="554" t="e">
        <f t="shared" ref="E138:E201" si="10">C138-D138</f>
        <v>#NUM!</v>
      </c>
      <c r="G138" s="554" t="e">
        <f t="shared" si="7"/>
        <v>#NUM!</v>
      </c>
    </row>
    <row r="139" spans="2:7" x14ac:dyDescent="0.3">
      <c r="B139" s="556">
        <v>130</v>
      </c>
      <c r="C139" s="554" t="e">
        <f t="shared" si="8"/>
        <v>#NUM!</v>
      </c>
      <c r="D139" s="554" t="e">
        <f t="shared" si="9"/>
        <v>#NUM!</v>
      </c>
      <c r="E139" s="554" t="e">
        <f t="shared" si="10"/>
        <v>#NUM!</v>
      </c>
      <c r="G139" s="554" t="e">
        <f t="shared" ref="G139:G202" si="11">G138-E138-F138</f>
        <v>#NUM!</v>
      </c>
    </row>
    <row r="140" spans="2:7" x14ac:dyDescent="0.3">
      <c r="B140" s="556">
        <v>131</v>
      </c>
      <c r="C140" s="554" t="e">
        <f t="shared" si="8"/>
        <v>#NUM!</v>
      </c>
      <c r="D140" s="554" t="e">
        <f t="shared" si="9"/>
        <v>#NUM!</v>
      </c>
      <c r="E140" s="554" t="e">
        <f t="shared" si="10"/>
        <v>#NUM!</v>
      </c>
      <c r="G140" s="554" t="e">
        <f t="shared" si="11"/>
        <v>#NUM!</v>
      </c>
    </row>
    <row r="141" spans="2:7" x14ac:dyDescent="0.3">
      <c r="B141" s="556">
        <v>132</v>
      </c>
      <c r="C141" s="554" t="e">
        <f t="shared" si="8"/>
        <v>#NUM!</v>
      </c>
      <c r="D141" s="554" t="e">
        <f t="shared" si="9"/>
        <v>#NUM!</v>
      </c>
      <c r="E141" s="554" t="e">
        <f t="shared" si="10"/>
        <v>#NUM!</v>
      </c>
      <c r="G141" s="554" t="e">
        <f t="shared" si="11"/>
        <v>#NUM!</v>
      </c>
    </row>
    <row r="142" spans="2:7" x14ac:dyDescent="0.3">
      <c r="B142" s="556">
        <v>133</v>
      </c>
      <c r="C142" s="554" t="e">
        <f t="shared" si="8"/>
        <v>#NUM!</v>
      </c>
      <c r="D142" s="554" t="e">
        <f t="shared" si="9"/>
        <v>#NUM!</v>
      </c>
      <c r="E142" s="554" t="e">
        <f t="shared" si="10"/>
        <v>#NUM!</v>
      </c>
      <c r="G142" s="554" t="e">
        <f t="shared" si="11"/>
        <v>#NUM!</v>
      </c>
    </row>
    <row r="143" spans="2:7" x14ac:dyDescent="0.3">
      <c r="B143" s="556">
        <v>134</v>
      </c>
      <c r="C143" s="554" t="e">
        <f t="shared" si="8"/>
        <v>#NUM!</v>
      </c>
      <c r="D143" s="554" t="e">
        <f t="shared" si="9"/>
        <v>#NUM!</v>
      </c>
      <c r="E143" s="554" t="e">
        <f t="shared" si="10"/>
        <v>#NUM!</v>
      </c>
      <c r="G143" s="554" t="e">
        <f t="shared" si="11"/>
        <v>#NUM!</v>
      </c>
    </row>
    <row r="144" spans="2:7" x14ac:dyDescent="0.3">
      <c r="B144" s="556">
        <v>135</v>
      </c>
      <c r="C144" s="554" t="e">
        <f t="shared" si="8"/>
        <v>#NUM!</v>
      </c>
      <c r="D144" s="554" t="e">
        <f t="shared" si="9"/>
        <v>#NUM!</v>
      </c>
      <c r="E144" s="554" t="e">
        <f t="shared" si="10"/>
        <v>#NUM!</v>
      </c>
      <c r="G144" s="554" t="e">
        <f t="shared" si="11"/>
        <v>#NUM!</v>
      </c>
    </row>
    <row r="145" spans="2:7" x14ac:dyDescent="0.3">
      <c r="B145" s="556">
        <v>136</v>
      </c>
      <c r="C145" s="554" t="e">
        <f t="shared" si="8"/>
        <v>#NUM!</v>
      </c>
      <c r="D145" s="554" t="e">
        <f t="shared" si="9"/>
        <v>#NUM!</v>
      </c>
      <c r="E145" s="554" t="e">
        <f t="shared" si="10"/>
        <v>#NUM!</v>
      </c>
      <c r="G145" s="554" t="e">
        <f t="shared" si="11"/>
        <v>#NUM!</v>
      </c>
    </row>
    <row r="146" spans="2:7" x14ac:dyDescent="0.3">
      <c r="B146" s="556">
        <v>137</v>
      </c>
      <c r="C146" s="554" t="e">
        <f t="shared" si="8"/>
        <v>#NUM!</v>
      </c>
      <c r="D146" s="554" t="e">
        <f t="shared" si="9"/>
        <v>#NUM!</v>
      </c>
      <c r="E146" s="554" t="e">
        <f t="shared" si="10"/>
        <v>#NUM!</v>
      </c>
      <c r="G146" s="554" t="e">
        <f t="shared" si="11"/>
        <v>#NUM!</v>
      </c>
    </row>
    <row r="147" spans="2:7" x14ac:dyDescent="0.3">
      <c r="B147" s="556">
        <v>138</v>
      </c>
      <c r="C147" s="554" t="e">
        <f t="shared" si="8"/>
        <v>#NUM!</v>
      </c>
      <c r="D147" s="554" t="e">
        <f t="shared" si="9"/>
        <v>#NUM!</v>
      </c>
      <c r="E147" s="554" t="e">
        <f t="shared" si="10"/>
        <v>#NUM!</v>
      </c>
      <c r="G147" s="554" t="e">
        <f t="shared" si="11"/>
        <v>#NUM!</v>
      </c>
    </row>
    <row r="148" spans="2:7" x14ac:dyDescent="0.3">
      <c r="B148" s="556">
        <v>139</v>
      </c>
      <c r="C148" s="554" t="e">
        <f t="shared" si="8"/>
        <v>#NUM!</v>
      </c>
      <c r="D148" s="554" t="e">
        <f t="shared" si="9"/>
        <v>#NUM!</v>
      </c>
      <c r="E148" s="554" t="e">
        <f t="shared" si="10"/>
        <v>#NUM!</v>
      </c>
      <c r="G148" s="554" t="e">
        <f t="shared" si="11"/>
        <v>#NUM!</v>
      </c>
    </row>
    <row r="149" spans="2:7" x14ac:dyDescent="0.3">
      <c r="B149" s="556">
        <v>140</v>
      </c>
      <c r="C149" s="554" t="e">
        <f t="shared" si="8"/>
        <v>#NUM!</v>
      </c>
      <c r="D149" s="554" t="e">
        <f t="shared" si="9"/>
        <v>#NUM!</v>
      </c>
      <c r="E149" s="554" t="e">
        <f t="shared" si="10"/>
        <v>#NUM!</v>
      </c>
      <c r="G149" s="554" t="e">
        <f t="shared" si="11"/>
        <v>#NUM!</v>
      </c>
    </row>
    <row r="150" spans="2:7" x14ac:dyDescent="0.3">
      <c r="B150" s="556">
        <v>141</v>
      </c>
      <c r="C150" s="554" t="e">
        <f t="shared" si="8"/>
        <v>#NUM!</v>
      </c>
      <c r="D150" s="554" t="e">
        <f t="shared" si="9"/>
        <v>#NUM!</v>
      </c>
      <c r="E150" s="554" t="e">
        <f t="shared" si="10"/>
        <v>#NUM!</v>
      </c>
      <c r="G150" s="554" t="e">
        <f t="shared" si="11"/>
        <v>#NUM!</v>
      </c>
    </row>
    <row r="151" spans="2:7" x14ac:dyDescent="0.3">
      <c r="B151" s="556">
        <v>142</v>
      </c>
      <c r="C151" s="554" t="e">
        <f t="shared" si="8"/>
        <v>#NUM!</v>
      </c>
      <c r="D151" s="554" t="e">
        <f t="shared" si="9"/>
        <v>#NUM!</v>
      </c>
      <c r="E151" s="554" t="e">
        <f t="shared" si="10"/>
        <v>#NUM!</v>
      </c>
      <c r="G151" s="554" t="e">
        <f t="shared" si="11"/>
        <v>#NUM!</v>
      </c>
    </row>
    <row r="152" spans="2:7" x14ac:dyDescent="0.3">
      <c r="B152" s="556">
        <v>143</v>
      </c>
      <c r="C152" s="554" t="e">
        <f t="shared" si="8"/>
        <v>#NUM!</v>
      </c>
      <c r="D152" s="554" t="e">
        <f t="shared" si="9"/>
        <v>#NUM!</v>
      </c>
      <c r="E152" s="554" t="e">
        <f t="shared" si="10"/>
        <v>#NUM!</v>
      </c>
      <c r="G152" s="554" t="e">
        <f t="shared" si="11"/>
        <v>#NUM!</v>
      </c>
    </row>
    <row r="153" spans="2:7" x14ac:dyDescent="0.3">
      <c r="B153" s="556">
        <v>144</v>
      </c>
      <c r="C153" s="554" t="e">
        <f t="shared" si="8"/>
        <v>#NUM!</v>
      </c>
      <c r="D153" s="554" t="e">
        <f t="shared" si="9"/>
        <v>#NUM!</v>
      </c>
      <c r="E153" s="554" t="e">
        <f t="shared" si="10"/>
        <v>#NUM!</v>
      </c>
      <c r="G153" s="554" t="e">
        <f t="shared" si="11"/>
        <v>#NUM!</v>
      </c>
    </row>
    <row r="154" spans="2:7" x14ac:dyDescent="0.3">
      <c r="B154" s="556">
        <v>145</v>
      </c>
      <c r="C154" s="554" t="e">
        <f t="shared" si="8"/>
        <v>#NUM!</v>
      </c>
      <c r="D154" s="554" t="e">
        <f t="shared" si="9"/>
        <v>#NUM!</v>
      </c>
      <c r="E154" s="554" t="e">
        <f t="shared" si="10"/>
        <v>#NUM!</v>
      </c>
      <c r="G154" s="554" t="e">
        <f t="shared" si="11"/>
        <v>#NUM!</v>
      </c>
    </row>
    <row r="155" spans="2:7" x14ac:dyDescent="0.3">
      <c r="B155" s="556">
        <v>146</v>
      </c>
      <c r="C155" s="554" t="e">
        <f t="shared" si="8"/>
        <v>#NUM!</v>
      </c>
      <c r="D155" s="554" t="e">
        <f t="shared" si="9"/>
        <v>#NUM!</v>
      </c>
      <c r="E155" s="554" t="e">
        <f t="shared" si="10"/>
        <v>#NUM!</v>
      </c>
      <c r="G155" s="554" t="e">
        <f t="shared" si="11"/>
        <v>#NUM!</v>
      </c>
    </row>
    <row r="156" spans="2:7" x14ac:dyDescent="0.3">
      <c r="B156" s="556">
        <v>147</v>
      </c>
      <c r="C156" s="554" t="e">
        <f t="shared" si="8"/>
        <v>#NUM!</v>
      </c>
      <c r="D156" s="554" t="e">
        <f t="shared" si="9"/>
        <v>#NUM!</v>
      </c>
      <c r="E156" s="554" t="e">
        <f t="shared" si="10"/>
        <v>#NUM!</v>
      </c>
      <c r="G156" s="554" t="e">
        <f t="shared" si="11"/>
        <v>#NUM!</v>
      </c>
    </row>
    <row r="157" spans="2:7" x14ac:dyDescent="0.3">
      <c r="B157" s="556">
        <v>148</v>
      </c>
      <c r="C157" s="554" t="e">
        <f t="shared" si="8"/>
        <v>#NUM!</v>
      </c>
      <c r="D157" s="554" t="e">
        <f t="shared" si="9"/>
        <v>#NUM!</v>
      </c>
      <c r="E157" s="554" t="e">
        <f t="shared" si="10"/>
        <v>#NUM!</v>
      </c>
      <c r="G157" s="554" t="e">
        <f t="shared" si="11"/>
        <v>#NUM!</v>
      </c>
    </row>
    <row r="158" spans="2:7" x14ac:dyDescent="0.3">
      <c r="B158" s="556">
        <v>149</v>
      </c>
      <c r="C158" s="554" t="e">
        <f t="shared" si="8"/>
        <v>#NUM!</v>
      </c>
      <c r="D158" s="554" t="e">
        <f t="shared" si="9"/>
        <v>#NUM!</v>
      </c>
      <c r="E158" s="554" t="e">
        <f t="shared" si="10"/>
        <v>#NUM!</v>
      </c>
      <c r="G158" s="554" t="e">
        <f t="shared" si="11"/>
        <v>#NUM!</v>
      </c>
    </row>
    <row r="159" spans="2:7" x14ac:dyDescent="0.3">
      <c r="B159" s="556">
        <v>150</v>
      </c>
      <c r="C159" s="554" t="e">
        <f t="shared" si="8"/>
        <v>#NUM!</v>
      </c>
      <c r="D159" s="554" t="e">
        <f t="shared" si="9"/>
        <v>#NUM!</v>
      </c>
      <c r="E159" s="554" t="e">
        <f t="shared" si="10"/>
        <v>#NUM!</v>
      </c>
      <c r="G159" s="554" t="e">
        <f t="shared" si="11"/>
        <v>#NUM!</v>
      </c>
    </row>
    <row r="160" spans="2:7" x14ac:dyDescent="0.3">
      <c r="B160" s="556">
        <v>151</v>
      </c>
      <c r="C160" s="554" t="e">
        <f t="shared" si="8"/>
        <v>#NUM!</v>
      </c>
      <c r="D160" s="554" t="e">
        <f t="shared" si="9"/>
        <v>#NUM!</v>
      </c>
      <c r="E160" s="554" t="e">
        <f t="shared" si="10"/>
        <v>#NUM!</v>
      </c>
      <c r="G160" s="554" t="e">
        <f t="shared" si="11"/>
        <v>#NUM!</v>
      </c>
    </row>
    <row r="161" spans="2:7" x14ac:dyDescent="0.3">
      <c r="B161" s="556">
        <v>152</v>
      </c>
      <c r="C161" s="554" t="e">
        <f t="shared" si="8"/>
        <v>#NUM!</v>
      </c>
      <c r="D161" s="554" t="e">
        <f t="shared" si="9"/>
        <v>#NUM!</v>
      </c>
      <c r="E161" s="554" t="e">
        <f t="shared" si="10"/>
        <v>#NUM!</v>
      </c>
      <c r="G161" s="554" t="e">
        <f t="shared" si="11"/>
        <v>#NUM!</v>
      </c>
    </row>
    <row r="162" spans="2:7" x14ac:dyDescent="0.3">
      <c r="B162" s="556">
        <v>153</v>
      </c>
      <c r="C162" s="554" t="e">
        <f t="shared" si="8"/>
        <v>#NUM!</v>
      </c>
      <c r="D162" s="554" t="e">
        <f t="shared" si="9"/>
        <v>#NUM!</v>
      </c>
      <c r="E162" s="554" t="e">
        <f t="shared" si="10"/>
        <v>#NUM!</v>
      </c>
      <c r="G162" s="554" t="e">
        <f t="shared" si="11"/>
        <v>#NUM!</v>
      </c>
    </row>
    <row r="163" spans="2:7" x14ac:dyDescent="0.3">
      <c r="B163" s="556">
        <v>154</v>
      </c>
      <c r="C163" s="554" t="e">
        <f t="shared" si="8"/>
        <v>#NUM!</v>
      </c>
      <c r="D163" s="554" t="e">
        <f t="shared" si="9"/>
        <v>#NUM!</v>
      </c>
      <c r="E163" s="554" t="e">
        <f t="shared" si="10"/>
        <v>#NUM!</v>
      </c>
      <c r="G163" s="554" t="e">
        <f t="shared" si="11"/>
        <v>#NUM!</v>
      </c>
    </row>
    <row r="164" spans="2:7" x14ac:dyDescent="0.3">
      <c r="B164" s="556">
        <v>155</v>
      </c>
      <c r="C164" s="554" t="e">
        <f t="shared" si="8"/>
        <v>#NUM!</v>
      </c>
      <c r="D164" s="554" t="e">
        <f t="shared" si="9"/>
        <v>#NUM!</v>
      </c>
      <c r="E164" s="554" t="e">
        <f t="shared" si="10"/>
        <v>#NUM!</v>
      </c>
      <c r="G164" s="554" t="e">
        <f t="shared" si="11"/>
        <v>#NUM!</v>
      </c>
    </row>
    <row r="165" spans="2:7" x14ac:dyDescent="0.3">
      <c r="B165" s="556">
        <v>156</v>
      </c>
      <c r="C165" s="554" t="e">
        <f t="shared" si="8"/>
        <v>#NUM!</v>
      </c>
      <c r="D165" s="554" t="e">
        <f t="shared" si="9"/>
        <v>#NUM!</v>
      </c>
      <c r="E165" s="554" t="e">
        <f t="shared" si="10"/>
        <v>#NUM!</v>
      </c>
      <c r="G165" s="554" t="e">
        <f t="shared" si="11"/>
        <v>#NUM!</v>
      </c>
    </row>
    <row r="166" spans="2:7" x14ac:dyDescent="0.3">
      <c r="B166" s="556">
        <v>157</v>
      </c>
      <c r="C166" s="554" t="e">
        <f t="shared" si="8"/>
        <v>#NUM!</v>
      </c>
      <c r="D166" s="554" t="e">
        <f t="shared" si="9"/>
        <v>#NUM!</v>
      </c>
      <c r="E166" s="554" t="e">
        <f t="shared" si="10"/>
        <v>#NUM!</v>
      </c>
      <c r="G166" s="554" t="e">
        <f t="shared" si="11"/>
        <v>#NUM!</v>
      </c>
    </row>
    <row r="167" spans="2:7" x14ac:dyDescent="0.3">
      <c r="B167" s="556">
        <v>158</v>
      </c>
      <c r="C167" s="554" t="e">
        <f t="shared" si="8"/>
        <v>#NUM!</v>
      </c>
      <c r="D167" s="554" t="e">
        <f t="shared" si="9"/>
        <v>#NUM!</v>
      </c>
      <c r="E167" s="554" t="e">
        <f t="shared" si="10"/>
        <v>#NUM!</v>
      </c>
      <c r="G167" s="554" t="e">
        <f t="shared" si="11"/>
        <v>#NUM!</v>
      </c>
    </row>
    <row r="168" spans="2:7" x14ac:dyDescent="0.3">
      <c r="B168" s="556">
        <v>159</v>
      </c>
      <c r="C168" s="554" t="e">
        <f t="shared" si="8"/>
        <v>#NUM!</v>
      </c>
      <c r="D168" s="554" t="e">
        <f t="shared" si="9"/>
        <v>#NUM!</v>
      </c>
      <c r="E168" s="554" t="e">
        <f t="shared" si="10"/>
        <v>#NUM!</v>
      </c>
      <c r="G168" s="554" t="e">
        <f t="shared" si="11"/>
        <v>#NUM!</v>
      </c>
    </row>
    <row r="169" spans="2:7" x14ac:dyDescent="0.3">
      <c r="B169" s="556">
        <v>160</v>
      </c>
      <c r="C169" s="554" t="e">
        <f t="shared" si="8"/>
        <v>#NUM!</v>
      </c>
      <c r="D169" s="554" t="e">
        <f t="shared" si="9"/>
        <v>#NUM!</v>
      </c>
      <c r="E169" s="554" t="e">
        <f t="shared" si="10"/>
        <v>#NUM!</v>
      </c>
      <c r="G169" s="554" t="e">
        <f t="shared" si="11"/>
        <v>#NUM!</v>
      </c>
    </row>
    <row r="170" spans="2:7" x14ac:dyDescent="0.3">
      <c r="B170" s="556">
        <v>161</v>
      </c>
      <c r="C170" s="554" t="e">
        <f t="shared" si="8"/>
        <v>#NUM!</v>
      </c>
      <c r="D170" s="554" t="e">
        <f t="shared" si="9"/>
        <v>#NUM!</v>
      </c>
      <c r="E170" s="554" t="e">
        <f t="shared" si="10"/>
        <v>#NUM!</v>
      </c>
      <c r="G170" s="554" t="e">
        <f t="shared" si="11"/>
        <v>#NUM!</v>
      </c>
    </row>
    <row r="171" spans="2:7" x14ac:dyDescent="0.3">
      <c r="B171" s="556">
        <v>162</v>
      </c>
      <c r="C171" s="554" t="e">
        <f t="shared" si="8"/>
        <v>#NUM!</v>
      </c>
      <c r="D171" s="554" t="e">
        <f t="shared" si="9"/>
        <v>#NUM!</v>
      </c>
      <c r="E171" s="554" t="e">
        <f t="shared" si="10"/>
        <v>#NUM!</v>
      </c>
      <c r="G171" s="554" t="e">
        <f t="shared" si="11"/>
        <v>#NUM!</v>
      </c>
    </row>
    <row r="172" spans="2:7" x14ac:dyDescent="0.3">
      <c r="B172" s="556">
        <v>163</v>
      </c>
      <c r="C172" s="554" t="e">
        <f t="shared" si="8"/>
        <v>#NUM!</v>
      </c>
      <c r="D172" s="554" t="e">
        <f t="shared" si="9"/>
        <v>#NUM!</v>
      </c>
      <c r="E172" s="554" t="e">
        <f t="shared" si="10"/>
        <v>#NUM!</v>
      </c>
      <c r="G172" s="554" t="e">
        <f t="shared" si="11"/>
        <v>#NUM!</v>
      </c>
    </row>
    <row r="173" spans="2:7" x14ac:dyDescent="0.3">
      <c r="B173" s="556">
        <v>164</v>
      </c>
      <c r="C173" s="554" t="e">
        <f t="shared" si="8"/>
        <v>#NUM!</v>
      </c>
      <c r="D173" s="554" t="e">
        <f t="shared" si="9"/>
        <v>#NUM!</v>
      </c>
      <c r="E173" s="554" t="e">
        <f t="shared" si="10"/>
        <v>#NUM!</v>
      </c>
      <c r="G173" s="554" t="e">
        <f t="shared" si="11"/>
        <v>#NUM!</v>
      </c>
    </row>
    <row r="174" spans="2:7" x14ac:dyDescent="0.3">
      <c r="B174" s="556">
        <v>165</v>
      </c>
      <c r="C174" s="554" t="e">
        <f t="shared" si="8"/>
        <v>#NUM!</v>
      </c>
      <c r="D174" s="554" t="e">
        <f t="shared" si="9"/>
        <v>#NUM!</v>
      </c>
      <c r="E174" s="554" t="e">
        <f t="shared" si="10"/>
        <v>#NUM!</v>
      </c>
      <c r="G174" s="554" t="e">
        <f t="shared" si="11"/>
        <v>#NUM!</v>
      </c>
    </row>
    <row r="175" spans="2:7" x14ac:dyDescent="0.3">
      <c r="B175" s="556">
        <v>166</v>
      </c>
      <c r="C175" s="554" t="e">
        <f t="shared" si="8"/>
        <v>#NUM!</v>
      </c>
      <c r="D175" s="554" t="e">
        <f t="shared" si="9"/>
        <v>#NUM!</v>
      </c>
      <c r="E175" s="554" t="e">
        <f t="shared" si="10"/>
        <v>#NUM!</v>
      </c>
      <c r="G175" s="554" t="e">
        <f t="shared" si="11"/>
        <v>#NUM!</v>
      </c>
    </row>
    <row r="176" spans="2:7" x14ac:dyDescent="0.3">
      <c r="B176" s="556">
        <v>167</v>
      </c>
      <c r="C176" s="554" t="e">
        <f t="shared" si="8"/>
        <v>#NUM!</v>
      </c>
      <c r="D176" s="554" t="e">
        <f t="shared" si="9"/>
        <v>#NUM!</v>
      </c>
      <c r="E176" s="554" t="e">
        <f t="shared" si="10"/>
        <v>#NUM!</v>
      </c>
      <c r="G176" s="554" t="e">
        <f t="shared" si="11"/>
        <v>#NUM!</v>
      </c>
    </row>
    <row r="177" spans="2:7" x14ac:dyDescent="0.3">
      <c r="B177" s="556">
        <v>168</v>
      </c>
      <c r="C177" s="554" t="e">
        <f t="shared" si="8"/>
        <v>#NUM!</v>
      </c>
      <c r="D177" s="554" t="e">
        <f t="shared" si="9"/>
        <v>#NUM!</v>
      </c>
      <c r="E177" s="554" t="e">
        <f t="shared" si="10"/>
        <v>#NUM!</v>
      </c>
      <c r="G177" s="554" t="e">
        <f t="shared" si="11"/>
        <v>#NUM!</v>
      </c>
    </row>
    <row r="178" spans="2:7" x14ac:dyDescent="0.3">
      <c r="B178" s="556">
        <v>169</v>
      </c>
      <c r="C178" s="554" t="e">
        <f t="shared" si="8"/>
        <v>#NUM!</v>
      </c>
      <c r="D178" s="554" t="e">
        <f t="shared" si="9"/>
        <v>#NUM!</v>
      </c>
      <c r="E178" s="554" t="e">
        <f t="shared" si="10"/>
        <v>#NUM!</v>
      </c>
      <c r="G178" s="554" t="e">
        <f t="shared" si="11"/>
        <v>#NUM!</v>
      </c>
    </row>
    <row r="179" spans="2:7" x14ac:dyDescent="0.3">
      <c r="B179" s="556">
        <v>170</v>
      </c>
      <c r="C179" s="554" t="e">
        <f t="shared" si="8"/>
        <v>#NUM!</v>
      </c>
      <c r="D179" s="554" t="e">
        <f t="shared" si="9"/>
        <v>#NUM!</v>
      </c>
      <c r="E179" s="554" t="e">
        <f t="shared" si="10"/>
        <v>#NUM!</v>
      </c>
      <c r="G179" s="554" t="e">
        <f t="shared" si="11"/>
        <v>#NUM!</v>
      </c>
    </row>
    <row r="180" spans="2:7" x14ac:dyDescent="0.3">
      <c r="B180" s="556">
        <v>171</v>
      </c>
      <c r="C180" s="554" t="e">
        <f t="shared" si="8"/>
        <v>#NUM!</v>
      </c>
      <c r="D180" s="554" t="e">
        <f t="shared" si="9"/>
        <v>#NUM!</v>
      </c>
      <c r="E180" s="554" t="e">
        <f t="shared" si="10"/>
        <v>#NUM!</v>
      </c>
      <c r="G180" s="554" t="e">
        <f t="shared" si="11"/>
        <v>#NUM!</v>
      </c>
    </row>
    <row r="181" spans="2:7" x14ac:dyDescent="0.3">
      <c r="B181" s="556">
        <v>172</v>
      </c>
      <c r="C181" s="554" t="e">
        <f t="shared" si="8"/>
        <v>#NUM!</v>
      </c>
      <c r="D181" s="554" t="e">
        <f t="shared" si="9"/>
        <v>#NUM!</v>
      </c>
      <c r="E181" s="554" t="e">
        <f t="shared" si="10"/>
        <v>#NUM!</v>
      </c>
      <c r="G181" s="554" t="e">
        <f t="shared" si="11"/>
        <v>#NUM!</v>
      </c>
    </row>
    <row r="182" spans="2:7" x14ac:dyDescent="0.3">
      <c r="B182" s="556">
        <v>173</v>
      </c>
      <c r="C182" s="554" t="e">
        <f t="shared" si="8"/>
        <v>#NUM!</v>
      </c>
      <c r="D182" s="554" t="e">
        <f t="shared" si="9"/>
        <v>#NUM!</v>
      </c>
      <c r="E182" s="554" t="e">
        <f t="shared" si="10"/>
        <v>#NUM!</v>
      </c>
      <c r="G182" s="554" t="e">
        <f t="shared" si="11"/>
        <v>#NUM!</v>
      </c>
    </row>
    <row r="183" spans="2:7" x14ac:dyDescent="0.3">
      <c r="B183" s="556">
        <v>174</v>
      </c>
      <c r="C183" s="554" t="e">
        <f t="shared" si="8"/>
        <v>#NUM!</v>
      </c>
      <c r="D183" s="554" t="e">
        <f t="shared" si="9"/>
        <v>#NUM!</v>
      </c>
      <c r="E183" s="554" t="e">
        <f t="shared" si="10"/>
        <v>#NUM!</v>
      </c>
      <c r="G183" s="554" t="e">
        <f t="shared" si="11"/>
        <v>#NUM!</v>
      </c>
    </row>
    <row r="184" spans="2:7" x14ac:dyDescent="0.3">
      <c r="B184" s="556">
        <v>175</v>
      </c>
      <c r="C184" s="554" t="e">
        <f t="shared" si="8"/>
        <v>#NUM!</v>
      </c>
      <c r="D184" s="554" t="e">
        <f t="shared" si="9"/>
        <v>#NUM!</v>
      </c>
      <c r="E184" s="554" t="e">
        <f t="shared" si="10"/>
        <v>#NUM!</v>
      </c>
      <c r="G184" s="554" t="e">
        <f t="shared" si="11"/>
        <v>#NUM!</v>
      </c>
    </row>
    <row r="185" spans="2:7" x14ac:dyDescent="0.3">
      <c r="B185" s="556">
        <v>176</v>
      </c>
      <c r="C185" s="554" t="e">
        <f t="shared" si="8"/>
        <v>#NUM!</v>
      </c>
      <c r="D185" s="554" t="e">
        <f t="shared" si="9"/>
        <v>#NUM!</v>
      </c>
      <c r="E185" s="554" t="e">
        <f t="shared" si="10"/>
        <v>#NUM!</v>
      </c>
      <c r="G185" s="554" t="e">
        <f t="shared" si="11"/>
        <v>#NUM!</v>
      </c>
    </row>
    <row r="186" spans="2:7" x14ac:dyDescent="0.3">
      <c r="B186" s="556">
        <v>177</v>
      </c>
      <c r="C186" s="554" t="e">
        <f t="shared" si="8"/>
        <v>#NUM!</v>
      </c>
      <c r="D186" s="554" t="e">
        <f t="shared" si="9"/>
        <v>#NUM!</v>
      </c>
      <c r="E186" s="554" t="e">
        <f t="shared" si="10"/>
        <v>#NUM!</v>
      </c>
      <c r="G186" s="554" t="e">
        <f t="shared" si="11"/>
        <v>#NUM!</v>
      </c>
    </row>
    <row r="187" spans="2:7" x14ac:dyDescent="0.3">
      <c r="B187" s="556">
        <v>178</v>
      </c>
      <c r="C187" s="554" t="e">
        <f t="shared" si="8"/>
        <v>#NUM!</v>
      </c>
      <c r="D187" s="554" t="e">
        <f t="shared" si="9"/>
        <v>#NUM!</v>
      </c>
      <c r="E187" s="554" t="e">
        <f t="shared" si="10"/>
        <v>#NUM!</v>
      </c>
      <c r="G187" s="554" t="e">
        <f t="shared" si="11"/>
        <v>#NUM!</v>
      </c>
    </row>
    <row r="188" spans="2:7" x14ac:dyDescent="0.3">
      <c r="B188" s="556">
        <v>179</v>
      </c>
      <c r="C188" s="554" t="e">
        <f t="shared" si="8"/>
        <v>#NUM!</v>
      </c>
      <c r="D188" s="554" t="e">
        <f t="shared" si="9"/>
        <v>#NUM!</v>
      </c>
      <c r="E188" s="554" t="e">
        <f t="shared" si="10"/>
        <v>#NUM!</v>
      </c>
      <c r="G188" s="554" t="e">
        <f t="shared" si="11"/>
        <v>#NUM!</v>
      </c>
    </row>
    <row r="189" spans="2:7" x14ac:dyDescent="0.3">
      <c r="B189" s="556">
        <v>180</v>
      </c>
      <c r="C189" s="554" t="e">
        <f t="shared" si="8"/>
        <v>#NUM!</v>
      </c>
      <c r="D189" s="554" t="e">
        <f t="shared" si="9"/>
        <v>#NUM!</v>
      </c>
      <c r="E189" s="554" t="e">
        <f t="shared" si="10"/>
        <v>#NUM!</v>
      </c>
      <c r="G189" s="554" t="e">
        <f t="shared" si="11"/>
        <v>#NUM!</v>
      </c>
    </row>
    <row r="190" spans="2:7" x14ac:dyDescent="0.3">
      <c r="B190" s="556">
        <v>181</v>
      </c>
      <c r="C190" s="554" t="e">
        <f t="shared" si="8"/>
        <v>#NUM!</v>
      </c>
      <c r="D190" s="554" t="e">
        <f t="shared" si="9"/>
        <v>#NUM!</v>
      </c>
      <c r="E190" s="554" t="e">
        <f t="shared" si="10"/>
        <v>#NUM!</v>
      </c>
      <c r="G190" s="554" t="e">
        <f t="shared" si="11"/>
        <v>#NUM!</v>
      </c>
    </row>
    <row r="191" spans="2:7" x14ac:dyDescent="0.3">
      <c r="B191" s="556">
        <v>182</v>
      </c>
      <c r="C191" s="554" t="e">
        <f t="shared" si="8"/>
        <v>#NUM!</v>
      </c>
      <c r="D191" s="554" t="e">
        <f t="shared" si="9"/>
        <v>#NUM!</v>
      </c>
      <c r="E191" s="554" t="e">
        <f t="shared" si="10"/>
        <v>#NUM!</v>
      </c>
      <c r="G191" s="554" t="e">
        <f t="shared" si="11"/>
        <v>#NUM!</v>
      </c>
    </row>
    <row r="192" spans="2:7" x14ac:dyDescent="0.3">
      <c r="B192" s="556">
        <v>183</v>
      </c>
      <c r="C192" s="554" t="e">
        <f t="shared" si="8"/>
        <v>#NUM!</v>
      </c>
      <c r="D192" s="554" t="e">
        <f t="shared" si="9"/>
        <v>#NUM!</v>
      </c>
      <c r="E192" s="554" t="e">
        <f t="shared" si="10"/>
        <v>#NUM!</v>
      </c>
      <c r="G192" s="554" t="e">
        <f t="shared" si="11"/>
        <v>#NUM!</v>
      </c>
    </row>
    <row r="193" spans="2:7" x14ac:dyDescent="0.3">
      <c r="B193" s="556">
        <v>184</v>
      </c>
      <c r="C193" s="554" t="e">
        <f t="shared" si="8"/>
        <v>#NUM!</v>
      </c>
      <c r="D193" s="554" t="e">
        <f t="shared" si="9"/>
        <v>#NUM!</v>
      </c>
      <c r="E193" s="554" t="e">
        <f t="shared" si="10"/>
        <v>#NUM!</v>
      </c>
      <c r="G193" s="554" t="e">
        <f t="shared" si="11"/>
        <v>#NUM!</v>
      </c>
    </row>
    <row r="194" spans="2:7" x14ac:dyDescent="0.3">
      <c r="B194" s="556">
        <v>185</v>
      </c>
      <c r="C194" s="554" t="e">
        <f t="shared" si="8"/>
        <v>#NUM!</v>
      </c>
      <c r="D194" s="554" t="e">
        <f t="shared" si="9"/>
        <v>#NUM!</v>
      </c>
      <c r="E194" s="554" t="e">
        <f t="shared" si="10"/>
        <v>#NUM!</v>
      </c>
      <c r="G194" s="554" t="e">
        <f t="shared" si="11"/>
        <v>#NUM!</v>
      </c>
    </row>
    <row r="195" spans="2:7" x14ac:dyDescent="0.3">
      <c r="B195" s="556">
        <v>186</v>
      </c>
      <c r="C195" s="554" t="e">
        <f t="shared" si="8"/>
        <v>#NUM!</v>
      </c>
      <c r="D195" s="554" t="e">
        <f t="shared" si="9"/>
        <v>#NUM!</v>
      </c>
      <c r="E195" s="554" t="e">
        <f t="shared" si="10"/>
        <v>#NUM!</v>
      </c>
      <c r="G195" s="554" t="e">
        <f t="shared" si="11"/>
        <v>#NUM!</v>
      </c>
    </row>
    <row r="196" spans="2:7" x14ac:dyDescent="0.3">
      <c r="B196" s="556">
        <v>187</v>
      </c>
      <c r="C196" s="554" t="e">
        <f t="shared" si="8"/>
        <v>#NUM!</v>
      </c>
      <c r="D196" s="554" t="e">
        <f t="shared" si="9"/>
        <v>#NUM!</v>
      </c>
      <c r="E196" s="554" t="e">
        <f t="shared" si="10"/>
        <v>#NUM!</v>
      </c>
      <c r="G196" s="554" t="e">
        <f t="shared" si="11"/>
        <v>#NUM!</v>
      </c>
    </row>
    <row r="197" spans="2:7" x14ac:dyDescent="0.3">
      <c r="B197" s="556">
        <v>188</v>
      </c>
      <c r="C197" s="554" t="e">
        <f t="shared" si="8"/>
        <v>#NUM!</v>
      </c>
      <c r="D197" s="554" t="e">
        <f t="shared" si="9"/>
        <v>#NUM!</v>
      </c>
      <c r="E197" s="554" t="e">
        <f t="shared" si="10"/>
        <v>#NUM!</v>
      </c>
      <c r="G197" s="554" t="e">
        <f t="shared" si="11"/>
        <v>#NUM!</v>
      </c>
    </row>
    <row r="198" spans="2:7" x14ac:dyDescent="0.3">
      <c r="B198" s="556">
        <v>189</v>
      </c>
      <c r="C198" s="554" t="e">
        <f t="shared" si="8"/>
        <v>#NUM!</v>
      </c>
      <c r="D198" s="554" t="e">
        <f t="shared" si="9"/>
        <v>#NUM!</v>
      </c>
      <c r="E198" s="554" t="e">
        <f t="shared" si="10"/>
        <v>#NUM!</v>
      </c>
      <c r="G198" s="554" t="e">
        <f t="shared" si="11"/>
        <v>#NUM!</v>
      </c>
    </row>
    <row r="199" spans="2:7" x14ac:dyDescent="0.3">
      <c r="B199" s="556">
        <v>190</v>
      </c>
      <c r="C199" s="554" t="e">
        <f t="shared" si="8"/>
        <v>#NUM!</v>
      </c>
      <c r="D199" s="554" t="e">
        <f t="shared" si="9"/>
        <v>#NUM!</v>
      </c>
      <c r="E199" s="554" t="e">
        <f t="shared" si="10"/>
        <v>#NUM!</v>
      </c>
      <c r="G199" s="554" t="e">
        <f t="shared" si="11"/>
        <v>#NUM!</v>
      </c>
    </row>
    <row r="200" spans="2:7" x14ac:dyDescent="0.3">
      <c r="B200" s="556">
        <v>191</v>
      </c>
      <c r="C200" s="554" t="e">
        <f t="shared" si="8"/>
        <v>#NUM!</v>
      </c>
      <c r="D200" s="554" t="e">
        <f t="shared" si="9"/>
        <v>#NUM!</v>
      </c>
      <c r="E200" s="554" t="e">
        <f t="shared" si="10"/>
        <v>#NUM!</v>
      </c>
      <c r="G200" s="554" t="e">
        <f t="shared" si="11"/>
        <v>#NUM!</v>
      </c>
    </row>
    <row r="201" spans="2:7" x14ac:dyDescent="0.3">
      <c r="B201" s="556">
        <v>192</v>
      </c>
      <c r="C201" s="554" t="e">
        <f t="shared" si="8"/>
        <v>#NUM!</v>
      </c>
      <c r="D201" s="554" t="e">
        <f t="shared" si="9"/>
        <v>#NUM!</v>
      </c>
      <c r="E201" s="554" t="e">
        <f t="shared" si="10"/>
        <v>#NUM!</v>
      </c>
      <c r="G201" s="554" t="e">
        <f t="shared" si="11"/>
        <v>#NUM!</v>
      </c>
    </row>
    <row r="202" spans="2:7" x14ac:dyDescent="0.3">
      <c r="B202" s="556">
        <v>193</v>
      </c>
      <c r="C202" s="554" t="e">
        <f t="shared" ref="C202:C265" si="12">IF($C$3&lt;G202+(G202*($C$4/$C$6)),$C$3,G202+(G202*($C$4/$C$6)))</f>
        <v>#NUM!</v>
      </c>
      <c r="D202" s="554" t="e">
        <f t="shared" ref="D202:D265" si="13">G202*$C$4/$C$6</f>
        <v>#NUM!</v>
      </c>
      <c r="E202" s="554" t="e">
        <f t="shared" ref="E202:E265" si="14">C202-D202</f>
        <v>#NUM!</v>
      </c>
      <c r="G202" s="554" t="e">
        <f t="shared" si="11"/>
        <v>#NUM!</v>
      </c>
    </row>
    <row r="203" spans="2:7" x14ac:dyDescent="0.3">
      <c r="B203" s="556">
        <v>194</v>
      </c>
      <c r="C203" s="554" t="e">
        <f t="shared" si="12"/>
        <v>#NUM!</v>
      </c>
      <c r="D203" s="554" t="e">
        <f t="shared" si="13"/>
        <v>#NUM!</v>
      </c>
      <c r="E203" s="554" t="e">
        <f t="shared" si="14"/>
        <v>#NUM!</v>
      </c>
      <c r="G203" s="554" t="e">
        <f t="shared" ref="G203:G266" si="15">G202-E202-F202</f>
        <v>#NUM!</v>
      </c>
    </row>
    <row r="204" spans="2:7" x14ac:dyDescent="0.3">
      <c r="B204" s="556">
        <v>195</v>
      </c>
      <c r="C204" s="554" t="e">
        <f t="shared" si="12"/>
        <v>#NUM!</v>
      </c>
      <c r="D204" s="554" t="e">
        <f t="shared" si="13"/>
        <v>#NUM!</v>
      </c>
      <c r="E204" s="554" t="e">
        <f t="shared" si="14"/>
        <v>#NUM!</v>
      </c>
      <c r="G204" s="554" t="e">
        <f t="shared" si="15"/>
        <v>#NUM!</v>
      </c>
    </row>
    <row r="205" spans="2:7" x14ac:dyDescent="0.3">
      <c r="B205" s="556">
        <v>196</v>
      </c>
      <c r="C205" s="554" t="e">
        <f t="shared" si="12"/>
        <v>#NUM!</v>
      </c>
      <c r="D205" s="554" t="e">
        <f t="shared" si="13"/>
        <v>#NUM!</v>
      </c>
      <c r="E205" s="554" t="e">
        <f t="shared" si="14"/>
        <v>#NUM!</v>
      </c>
      <c r="G205" s="554" t="e">
        <f t="shared" si="15"/>
        <v>#NUM!</v>
      </c>
    </row>
    <row r="206" spans="2:7" x14ac:dyDescent="0.3">
      <c r="B206" s="556">
        <v>197</v>
      </c>
      <c r="C206" s="554" t="e">
        <f t="shared" si="12"/>
        <v>#NUM!</v>
      </c>
      <c r="D206" s="554" t="e">
        <f t="shared" si="13"/>
        <v>#NUM!</v>
      </c>
      <c r="E206" s="554" t="e">
        <f t="shared" si="14"/>
        <v>#NUM!</v>
      </c>
      <c r="G206" s="554" t="e">
        <f t="shared" si="15"/>
        <v>#NUM!</v>
      </c>
    </row>
    <row r="207" spans="2:7" x14ac:dyDescent="0.3">
      <c r="B207" s="556">
        <v>198</v>
      </c>
      <c r="C207" s="554" t="e">
        <f t="shared" si="12"/>
        <v>#NUM!</v>
      </c>
      <c r="D207" s="554" t="e">
        <f t="shared" si="13"/>
        <v>#NUM!</v>
      </c>
      <c r="E207" s="554" t="e">
        <f t="shared" si="14"/>
        <v>#NUM!</v>
      </c>
      <c r="G207" s="554" t="e">
        <f t="shared" si="15"/>
        <v>#NUM!</v>
      </c>
    </row>
    <row r="208" spans="2:7" x14ac:dyDescent="0.3">
      <c r="B208" s="556">
        <v>199</v>
      </c>
      <c r="C208" s="554" t="e">
        <f t="shared" si="12"/>
        <v>#NUM!</v>
      </c>
      <c r="D208" s="554" t="e">
        <f t="shared" si="13"/>
        <v>#NUM!</v>
      </c>
      <c r="E208" s="554" t="e">
        <f t="shared" si="14"/>
        <v>#NUM!</v>
      </c>
      <c r="G208" s="554" t="e">
        <f t="shared" si="15"/>
        <v>#NUM!</v>
      </c>
    </row>
    <row r="209" spans="2:7" x14ac:dyDescent="0.3">
      <c r="B209" s="556">
        <v>200</v>
      </c>
      <c r="C209" s="554" t="e">
        <f t="shared" si="12"/>
        <v>#NUM!</v>
      </c>
      <c r="D209" s="554" t="e">
        <f t="shared" si="13"/>
        <v>#NUM!</v>
      </c>
      <c r="E209" s="554" t="e">
        <f t="shared" si="14"/>
        <v>#NUM!</v>
      </c>
      <c r="G209" s="554" t="e">
        <f t="shared" si="15"/>
        <v>#NUM!</v>
      </c>
    </row>
    <row r="210" spans="2:7" x14ac:dyDescent="0.3">
      <c r="B210" s="556">
        <v>201</v>
      </c>
      <c r="C210" s="554" t="e">
        <f t="shared" si="12"/>
        <v>#NUM!</v>
      </c>
      <c r="D210" s="554" t="e">
        <f t="shared" si="13"/>
        <v>#NUM!</v>
      </c>
      <c r="E210" s="554" t="e">
        <f t="shared" si="14"/>
        <v>#NUM!</v>
      </c>
      <c r="G210" s="554" t="e">
        <f t="shared" si="15"/>
        <v>#NUM!</v>
      </c>
    </row>
    <row r="211" spans="2:7" x14ac:dyDescent="0.3">
      <c r="B211" s="556">
        <v>202</v>
      </c>
      <c r="C211" s="554" t="e">
        <f t="shared" si="12"/>
        <v>#NUM!</v>
      </c>
      <c r="D211" s="554" t="e">
        <f t="shared" si="13"/>
        <v>#NUM!</v>
      </c>
      <c r="E211" s="554" t="e">
        <f t="shared" si="14"/>
        <v>#NUM!</v>
      </c>
      <c r="G211" s="554" t="e">
        <f t="shared" si="15"/>
        <v>#NUM!</v>
      </c>
    </row>
    <row r="212" spans="2:7" x14ac:dyDescent="0.3">
      <c r="B212" s="556">
        <v>203</v>
      </c>
      <c r="C212" s="554" t="e">
        <f t="shared" si="12"/>
        <v>#NUM!</v>
      </c>
      <c r="D212" s="554" t="e">
        <f t="shared" si="13"/>
        <v>#NUM!</v>
      </c>
      <c r="E212" s="554" t="e">
        <f t="shared" si="14"/>
        <v>#NUM!</v>
      </c>
      <c r="G212" s="554" t="e">
        <f t="shared" si="15"/>
        <v>#NUM!</v>
      </c>
    </row>
    <row r="213" spans="2:7" x14ac:dyDescent="0.3">
      <c r="B213" s="556">
        <v>204</v>
      </c>
      <c r="C213" s="554" t="e">
        <f t="shared" si="12"/>
        <v>#NUM!</v>
      </c>
      <c r="D213" s="554" t="e">
        <f t="shared" si="13"/>
        <v>#NUM!</v>
      </c>
      <c r="E213" s="554" t="e">
        <f t="shared" si="14"/>
        <v>#NUM!</v>
      </c>
      <c r="G213" s="554" t="e">
        <f t="shared" si="15"/>
        <v>#NUM!</v>
      </c>
    </row>
    <row r="214" spans="2:7" x14ac:dyDescent="0.3">
      <c r="B214" s="556">
        <v>205</v>
      </c>
      <c r="C214" s="554" t="e">
        <f t="shared" si="12"/>
        <v>#NUM!</v>
      </c>
      <c r="D214" s="554" t="e">
        <f t="shared" si="13"/>
        <v>#NUM!</v>
      </c>
      <c r="E214" s="554" t="e">
        <f t="shared" si="14"/>
        <v>#NUM!</v>
      </c>
      <c r="G214" s="554" t="e">
        <f t="shared" si="15"/>
        <v>#NUM!</v>
      </c>
    </row>
    <row r="215" spans="2:7" x14ac:dyDescent="0.3">
      <c r="B215" s="556">
        <v>206</v>
      </c>
      <c r="C215" s="554" t="e">
        <f t="shared" si="12"/>
        <v>#NUM!</v>
      </c>
      <c r="D215" s="554" t="e">
        <f t="shared" si="13"/>
        <v>#NUM!</v>
      </c>
      <c r="E215" s="554" t="e">
        <f t="shared" si="14"/>
        <v>#NUM!</v>
      </c>
      <c r="G215" s="554" t="e">
        <f t="shared" si="15"/>
        <v>#NUM!</v>
      </c>
    </row>
    <row r="216" spans="2:7" x14ac:dyDescent="0.3">
      <c r="B216" s="556">
        <v>207</v>
      </c>
      <c r="C216" s="554" t="e">
        <f t="shared" si="12"/>
        <v>#NUM!</v>
      </c>
      <c r="D216" s="554" t="e">
        <f t="shared" si="13"/>
        <v>#NUM!</v>
      </c>
      <c r="E216" s="554" t="e">
        <f t="shared" si="14"/>
        <v>#NUM!</v>
      </c>
      <c r="G216" s="554" t="e">
        <f t="shared" si="15"/>
        <v>#NUM!</v>
      </c>
    </row>
    <row r="217" spans="2:7" x14ac:dyDescent="0.3">
      <c r="B217" s="556">
        <v>208</v>
      </c>
      <c r="C217" s="554" t="e">
        <f t="shared" si="12"/>
        <v>#NUM!</v>
      </c>
      <c r="D217" s="554" t="e">
        <f t="shared" si="13"/>
        <v>#NUM!</v>
      </c>
      <c r="E217" s="554" t="e">
        <f t="shared" si="14"/>
        <v>#NUM!</v>
      </c>
      <c r="G217" s="554" t="e">
        <f t="shared" si="15"/>
        <v>#NUM!</v>
      </c>
    </row>
    <row r="218" spans="2:7" x14ac:dyDescent="0.3">
      <c r="B218" s="556">
        <v>209</v>
      </c>
      <c r="C218" s="554" t="e">
        <f t="shared" si="12"/>
        <v>#NUM!</v>
      </c>
      <c r="D218" s="554" t="e">
        <f t="shared" si="13"/>
        <v>#NUM!</v>
      </c>
      <c r="E218" s="554" t="e">
        <f t="shared" si="14"/>
        <v>#NUM!</v>
      </c>
      <c r="G218" s="554" t="e">
        <f t="shared" si="15"/>
        <v>#NUM!</v>
      </c>
    </row>
    <row r="219" spans="2:7" x14ac:dyDescent="0.3">
      <c r="B219" s="556">
        <v>210</v>
      </c>
      <c r="C219" s="554" t="e">
        <f t="shared" si="12"/>
        <v>#NUM!</v>
      </c>
      <c r="D219" s="554" t="e">
        <f t="shared" si="13"/>
        <v>#NUM!</v>
      </c>
      <c r="E219" s="554" t="e">
        <f t="shared" si="14"/>
        <v>#NUM!</v>
      </c>
      <c r="G219" s="554" t="e">
        <f t="shared" si="15"/>
        <v>#NUM!</v>
      </c>
    </row>
    <row r="220" spans="2:7" x14ac:dyDescent="0.3">
      <c r="B220" s="556">
        <v>211</v>
      </c>
      <c r="C220" s="554" t="e">
        <f t="shared" si="12"/>
        <v>#NUM!</v>
      </c>
      <c r="D220" s="554" t="e">
        <f t="shared" si="13"/>
        <v>#NUM!</v>
      </c>
      <c r="E220" s="554" t="e">
        <f t="shared" si="14"/>
        <v>#NUM!</v>
      </c>
      <c r="G220" s="554" t="e">
        <f t="shared" si="15"/>
        <v>#NUM!</v>
      </c>
    </row>
    <row r="221" spans="2:7" x14ac:dyDescent="0.3">
      <c r="B221" s="556">
        <v>212</v>
      </c>
      <c r="C221" s="554" t="e">
        <f t="shared" si="12"/>
        <v>#NUM!</v>
      </c>
      <c r="D221" s="554" t="e">
        <f t="shared" si="13"/>
        <v>#NUM!</v>
      </c>
      <c r="E221" s="554" t="e">
        <f t="shared" si="14"/>
        <v>#NUM!</v>
      </c>
      <c r="G221" s="554" t="e">
        <f t="shared" si="15"/>
        <v>#NUM!</v>
      </c>
    </row>
    <row r="222" spans="2:7" x14ac:dyDescent="0.3">
      <c r="B222" s="556">
        <v>213</v>
      </c>
      <c r="C222" s="554" t="e">
        <f t="shared" si="12"/>
        <v>#NUM!</v>
      </c>
      <c r="D222" s="554" t="e">
        <f t="shared" si="13"/>
        <v>#NUM!</v>
      </c>
      <c r="E222" s="554" t="e">
        <f t="shared" si="14"/>
        <v>#NUM!</v>
      </c>
      <c r="G222" s="554" t="e">
        <f t="shared" si="15"/>
        <v>#NUM!</v>
      </c>
    </row>
    <row r="223" spans="2:7" x14ac:dyDescent="0.3">
      <c r="B223" s="556">
        <v>214</v>
      </c>
      <c r="C223" s="554" t="e">
        <f t="shared" si="12"/>
        <v>#NUM!</v>
      </c>
      <c r="D223" s="554" t="e">
        <f t="shared" si="13"/>
        <v>#NUM!</v>
      </c>
      <c r="E223" s="554" t="e">
        <f t="shared" si="14"/>
        <v>#NUM!</v>
      </c>
      <c r="G223" s="554" t="e">
        <f t="shared" si="15"/>
        <v>#NUM!</v>
      </c>
    </row>
    <row r="224" spans="2:7" x14ac:dyDescent="0.3">
      <c r="B224" s="556">
        <v>215</v>
      </c>
      <c r="C224" s="554" t="e">
        <f t="shared" si="12"/>
        <v>#NUM!</v>
      </c>
      <c r="D224" s="554" t="e">
        <f t="shared" si="13"/>
        <v>#NUM!</v>
      </c>
      <c r="E224" s="554" t="e">
        <f t="shared" si="14"/>
        <v>#NUM!</v>
      </c>
      <c r="G224" s="554" t="e">
        <f t="shared" si="15"/>
        <v>#NUM!</v>
      </c>
    </row>
    <row r="225" spans="2:7" x14ac:dyDescent="0.3">
      <c r="B225" s="556">
        <v>216</v>
      </c>
      <c r="C225" s="554" t="e">
        <f t="shared" si="12"/>
        <v>#NUM!</v>
      </c>
      <c r="D225" s="554" t="e">
        <f t="shared" si="13"/>
        <v>#NUM!</v>
      </c>
      <c r="E225" s="554" t="e">
        <f t="shared" si="14"/>
        <v>#NUM!</v>
      </c>
      <c r="G225" s="554" t="e">
        <f t="shared" si="15"/>
        <v>#NUM!</v>
      </c>
    </row>
    <row r="226" spans="2:7" x14ac:dyDescent="0.3">
      <c r="B226" s="556">
        <v>217</v>
      </c>
      <c r="C226" s="554" t="e">
        <f t="shared" si="12"/>
        <v>#NUM!</v>
      </c>
      <c r="D226" s="554" t="e">
        <f t="shared" si="13"/>
        <v>#NUM!</v>
      </c>
      <c r="E226" s="554" t="e">
        <f t="shared" si="14"/>
        <v>#NUM!</v>
      </c>
      <c r="G226" s="554" t="e">
        <f t="shared" si="15"/>
        <v>#NUM!</v>
      </c>
    </row>
    <row r="227" spans="2:7" x14ac:dyDescent="0.3">
      <c r="B227" s="556">
        <v>218</v>
      </c>
      <c r="C227" s="554" t="e">
        <f t="shared" si="12"/>
        <v>#NUM!</v>
      </c>
      <c r="D227" s="554" t="e">
        <f t="shared" si="13"/>
        <v>#NUM!</v>
      </c>
      <c r="E227" s="554" t="e">
        <f t="shared" si="14"/>
        <v>#NUM!</v>
      </c>
      <c r="G227" s="554" t="e">
        <f t="shared" si="15"/>
        <v>#NUM!</v>
      </c>
    </row>
    <row r="228" spans="2:7" x14ac:dyDescent="0.3">
      <c r="B228" s="556">
        <v>219</v>
      </c>
      <c r="C228" s="554" t="e">
        <f t="shared" si="12"/>
        <v>#NUM!</v>
      </c>
      <c r="D228" s="554" t="e">
        <f t="shared" si="13"/>
        <v>#NUM!</v>
      </c>
      <c r="E228" s="554" t="e">
        <f t="shared" si="14"/>
        <v>#NUM!</v>
      </c>
      <c r="G228" s="554" t="e">
        <f t="shared" si="15"/>
        <v>#NUM!</v>
      </c>
    </row>
    <row r="229" spans="2:7" x14ac:dyDescent="0.3">
      <c r="B229" s="556">
        <v>220</v>
      </c>
      <c r="C229" s="554" t="e">
        <f t="shared" si="12"/>
        <v>#NUM!</v>
      </c>
      <c r="D229" s="554" t="e">
        <f t="shared" si="13"/>
        <v>#NUM!</v>
      </c>
      <c r="E229" s="554" t="e">
        <f t="shared" si="14"/>
        <v>#NUM!</v>
      </c>
      <c r="G229" s="554" t="e">
        <f t="shared" si="15"/>
        <v>#NUM!</v>
      </c>
    </row>
    <row r="230" spans="2:7" x14ac:dyDescent="0.3">
      <c r="B230" s="556">
        <v>221</v>
      </c>
      <c r="C230" s="554" t="e">
        <f t="shared" si="12"/>
        <v>#NUM!</v>
      </c>
      <c r="D230" s="554" t="e">
        <f t="shared" si="13"/>
        <v>#NUM!</v>
      </c>
      <c r="E230" s="554" t="e">
        <f t="shared" si="14"/>
        <v>#NUM!</v>
      </c>
      <c r="G230" s="554" t="e">
        <f t="shared" si="15"/>
        <v>#NUM!</v>
      </c>
    </row>
    <row r="231" spans="2:7" x14ac:dyDescent="0.3">
      <c r="B231" s="556">
        <v>222</v>
      </c>
      <c r="C231" s="554" t="e">
        <f t="shared" si="12"/>
        <v>#NUM!</v>
      </c>
      <c r="D231" s="554" t="e">
        <f t="shared" si="13"/>
        <v>#NUM!</v>
      </c>
      <c r="E231" s="554" t="e">
        <f t="shared" si="14"/>
        <v>#NUM!</v>
      </c>
      <c r="G231" s="554" t="e">
        <f t="shared" si="15"/>
        <v>#NUM!</v>
      </c>
    </row>
    <row r="232" spans="2:7" x14ac:dyDescent="0.3">
      <c r="B232" s="556">
        <v>223</v>
      </c>
      <c r="C232" s="554" t="e">
        <f t="shared" si="12"/>
        <v>#NUM!</v>
      </c>
      <c r="D232" s="554" t="e">
        <f t="shared" si="13"/>
        <v>#NUM!</v>
      </c>
      <c r="E232" s="554" t="e">
        <f t="shared" si="14"/>
        <v>#NUM!</v>
      </c>
      <c r="G232" s="554" t="e">
        <f t="shared" si="15"/>
        <v>#NUM!</v>
      </c>
    </row>
    <row r="233" spans="2:7" x14ac:dyDescent="0.3">
      <c r="B233" s="556">
        <v>224</v>
      </c>
      <c r="C233" s="554" t="e">
        <f t="shared" si="12"/>
        <v>#NUM!</v>
      </c>
      <c r="D233" s="554" t="e">
        <f t="shared" si="13"/>
        <v>#NUM!</v>
      </c>
      <c r="E233" s="554" t="e">
        <f t="shared" si="14"/>
        <v>#NUM!</v>
      </c>
      <c r="G233" s="554" t="e">
        <f t="shared" si="15"/>
        <v>#NUM!</v>
      </c>
    </row>
    <row r="234" spans="2:7" x14ac:dyDescent="0.3">
      <c r="B234" s="556">
        <v>225</v>
      </c>
      <c r="C234" s="554" t="e">
        <f t="shared" si="12"/>
        <v>#NUM!</v>
      </c>
      <c r="D234" s="554" t="e">
        <f t="shared" si="13"/>
        <v>#NUM!</v>
      </c>
      <c r="E234" s="554" t="e">
        <f t="shared" si="14"/>
        <v>#NUM!</v>
      </c>
      <c r="G234" s="554" t="e">
        <f t="shared" si="15"/>
        <v>#NUM!</v>
      </c>
    </row>
    <row r="235" spans="2:7" x14ac:dyDescent="0.3">
      <c r="B235" s="556">
        <v>226</v>
      </c>
      <c r="C235" s="554" t="e">
        <f t="shared" si="12"/>
        <v>#NUM!</v>
      </c>
      <c r="D235" s="554" t="e">
        <f t="shared" si="13"/>
        <v>#NUM!</v>
      </c>
      <c r="E235" s="554" t="e">
        <f t="shared" si="14"/>
        <v>#NUM!</v>
      </c>
      <c r="G235" s="554" t="e">
        <f t="shared" si="15"/>
        <v>#NUM!</v>
      </c>
    </row>
    <row r="236" spans="2:7" x14ac:dyDescent="0.3">
      <c r="B236" s="556">
        <v>227</v>
      </c>
      <c r="C236" s="554" t="e">
        <f t="shared" si="12"/>
        <v>#NUM!</v>
      </c>
      <c r="D236" s="554" t="e">
        <f t="shared" si="13"/>
        <v>#NUM!</v>
      </c>
      <c r="E236" s="554" t="e">
        <f t="shared" si="14"/>
        <v>#NUM!</v>
      </c>
      <c r="G236" s="554" t="e">
        <f t="shared" si="15"/>
        <v>#NUM!</v>
      </c>
    </row>
    <row r="237" spans="2:7" x14ac:dyDescent="0.3">
      <c r="B237" s="556">
        <v>228</v>
      </c>
      <c r="C237" s="554" t="e">
        <f t="shared" si="12"/>
        <v>#NUM!</v>
      </c>
      <c r="D237" s="554" t="e">
        <f t="shared" si="13"/>
        <v>#NUM!</v>
      </c>
      <c r="E237" s="554" t="e">
        <f t="shared" si="14"/>
        <v>#NUM!</v>
      </c>
      <c r="G237" s="554" t="e">
        <f t="shared" si="15"/>
        <v>#NUM!</v>
      </c>
    </row>
    <row r="238" spans="2:7" x14ac:dyDescent="0.3">
      <c r="B238" s="556">
        <v>229</v>
      </c>
      <c r="C238" s="554" t="e">
        <f t="shared" si="12"/>
        <v>#NUM!</v>
      </c>
      <c r="D238" s="554" t="e">
        <f t="shared" si="13"/>
        <v>#NUM!</v>
      </c>
      <c r="E238" s="554" t="e">
        <f t="shared" si="14"/>
        <v>#NUM!</v>
      </c>
      <c r="G238" s="554" t="e">
        <f t="shared" si="15"/>
        <v>#NUM!</v>
      </c>
    </row>
    <row r="239" spans="2:7" x14ac:dyDescent="0.3">
      <c r="B239" s="556">
        <v>230</v>
      </c>
      <c r="C239" s="554" t="e">
        <f t="shared" si="12"/>
        <v>#NUM!</v>
      </c>
      <c r="D239" s="554" t="e">
        <f t="shared" si="13"/>
        <v>#NUM!</v>
      </c>
      <c r="E239" s="554" t="e">
        <f t="shared" si="14"/>
        <v>#NUM!</v>
      </c>
      <c r="G239" s="554" t="e">
        <f t="shared" si="15"/>
        <v>#NUM!</v>
      </c>
    </row>
    <row r="240" spans="2:7" x14ac:dyDescent="0.3">
      <c r="B240" s="556">
        <v>231</v>
      </c>
      <c r="C240" s="554" t="e">
        <f t="shared" si="12"/>
        <v>#NUM!</v>
      </c>
      <c r="D240" s="554" t="e">
        <f t="shared" si="13"/>
        <v>#NUM!</v>
      </c>
      <c r="E240" s="554" t="e">
        <f t="shared" si="14"/>
        <v>#NUM!</v>
      </c>
      <c r="G240" s="554" t="e">
        <f t="shared" si="15"/>
        <v>#NUM!</v>
      </c>
    </row>
    <row r="241" spans="2:7" x14ac:dyDescent="0.3">
      <c r="B241" s="556">
        <v>232</v>
      </c>
      <c r="C241" s="554" t="e">
        <f t="shared" si="12"/>
        <v>#NUM!</v>
      </c>
      <c r="D241" s="554" t="e">
        <f t="shared" si="13"/>
        <v>#NUM!</v>
      </c>
      <c r="E241" s="554" t="e">
        <f t="shared" si="14"/>
        <v>#NUM!</v>
      </c>
      <c r="G241" s="554" t="e">
        <f t="shared" si="15"/>
        <v>#NUM!</v>
      </c>
    </row>
    <row r="242" spans="2:7" x14ac:dyDescent="0.3">
      <c r="B242" s="556">
        <v>233</v>
      </c>
      <c r="C242" s="554" t="e">
        <f t="shared" si="12"/>
        <v>#NUM!</v>
      </c>
      <c r="D242" s="554" t="e">
        <f t="shared" si="13"/>
        <v>#NUM!</v>
      </c>
      <c r="E242" s="554" t="e">
        <f t="shared" si="14"/>
        <v>#NUM!</v>
      </c>
      <c r="G242" s="554" t="e">
        <f t="shared" si="15"/>
        <v>#NUM!</v>
      </c>
    </row>
    <row r="243" spans="2:7" x14ac:dyDescent="0.3">
      <c r="B243" s="556">
        <v>234</v>
      </c>
      <c r="C243" s="554" t="e">
        <f t="shared" si="12"/>
        <v>#NUM!</v>
      </c>
      <c r="D243" s="554" t="e">
        <f t="shared" si="13"/>
        <v>#NUM!</v>
      </c>
      <c r="E243" s="554" t="e">
        <f t="shared" si="14"/>
        <v>#NUM!</v>
      </c>
      <c r="G243" s="554" t="e">
        <f t="shared" si="15"/>
        <v>#NUM!</v>
      </c>
    </row>
    <row r="244" spans="2:7" x14ac:dyDescent="0.3">
      <c r="B244" s="556">
        <v>235</v>
      </c>
      <c r="C244" s="554" t="e">
        <f t="shared" si="12"/>
        <v>#NUM!</v>
      </c>
      <c r="D244" s="554" t="e">
        <f t="shared" si="13"/>
        <v>#NUM!</v>
      </c>
      <c r="E244" s="554" t="e">
        <f t="shared" si="14"/>
        <v>#NUM!</v>
      </c>
      <c r="G244" s="554" t="e">
        <f t="shared" si="15"/>
        <v>#NUM!</v>
      </c>
    </row>
    <row r="245" spans="2:7" x14ac:dyDescent="0.3">
      <c r="B245" s="556">
        <v>236</v>
      </c>
      <c r="C245" s="554" t="e">
        <f t="shared" si="12"/>
        <v>#NUM!</v>
      </c>
      <c r="D245" s="554" t="e">
        <f t="shared" si="13"/>
        <v>#NUM!</v>
      </c>
      <c r="E245" s="554" t="e">
        <f t="shared" si="14"/>
        <v>#NUM!</v>
      </c>
      <c r="G245" s="554" t="e">
        <f t="shared" si="15"/>
        <v>#NUM!</v>
      </c>
    </row>
    <row r="246" spans="2:7" x14ac:dyDescent="0.3">
      <c r="B246" s="556">
        <v>237</v>
      </c>
      <c r="C246" s="554" t="e">
        <f t="shared" si="12"/>
        <v>#NUM!</v>
      </c>
      <c r="D246" s="554" t="e">
        <f t="shared" si="13"/>
        <v>#NUM!</v>
      </c>
      <c r="E246" s="554" t="e">
        <f t="shared" si="14"/>
        <v>#NUM!</v>
      </c>
      <c r="G246" s="554" t="e">
        <f t="shared" si="15"/>
        <v>#NUM!</v>
      </c>
    </row>
    <row r="247" spans="2:7" x14ac:dyDescent="0.3">
      <c r="B247" s="556">
        <v>238</v>
      </c>
      <c r="C247" s="554" t="e">
        <f t="shared" si="12"/>
        <v>#NUM!</v>
      </c>
      <c r="D247" s="554" t="e">
        <f t="shared" si="13"/>
        <v>#NUM!</v>
      </c>
      <c r="E247" s="554" t="e">
        <f t="shared" si="14"/>
        <v>#NUM!</v>
      </c>
      <c r="G247" s="554" t="e">
        <f t="shared" si="15"/>
        <v>#NUM!</v>
      </c>
    </row>
    <row r="248" spans="2:7" x14ac:dyDescent="0.3">
      <c r="B248" s="556">
        <v>239</v>
      </c>
      <c r="C248" s="554" t="e">
        <f t="shared" si="12"/>
        <v>#NUM!</v>
      </c>
      <c r="D248" s="554" t="e">
        <f t="shared" si="13"/>
        <v>#NUM!</v>
      </c>
      <c r="E248" s="554" t="e">
        <f t="shared" si="14"/>
        <v>#NUM!</v>
      </c>
      <c r="G248" s="554" t="e">
        <f t="shared" si="15"/>
        <v>#NUM!</v>
      </c>
    </row>
    <row r="249" spans="2:7" x14ac:dyDescent="0.3">
      <c r="B249" s="556">
        <v>240</v>
      </c>
      <c r="C249" s="554" t="e">
        <f t="shared" si="12"/>
        <v>#NUM!</v>
      </c>
      <c r="D249" s="554" t="e">
        <f t="shared" si="13"/>
        <v>#NUM!</v>
      </c>
      <c r="E249" s="554" t="e">
        <f t="shared" si="14"/>
        <v>#NUM!</v>
      </c>
      <c r="G249" s="554" t="e">
        <f t="shared" si="15"/>
        <v>#NUM!</v>
      </c>
    </row>
    <row r="250" spans="2:7" x14ac:dyDescent="0.3">
      <c r="B250" s="556">
        <v>241</v>
      </c>
      <c r="C250" s="554" t="e">
        <f t="shared" si="12"/>
        <v>#NUM!</v>
      </c>
      <c r="D250" s="554" t="e">
        <f t="shared" si="13"/>
        <v>#NUM!</v>
      </c>
      <c r="E250" s="554" t="e">
        <f t="shared" si="14"/>
        <v>#NUM!</v>
      </c>
      <c r="G250" s="554" t="e">
        <f t="shared" si="15"/>
        <v>#NUM!</v>
      </c>
    </row>
    <row r="251" spans="2:7" x14ac:dyDescent="0.3">
      <c r="B251" s="556">
        <v>242</v>
      </c>
      <c r="C251" s="554" t="e">
        <f t="shared" si="12"/>
        <v>#NUM!</v>
      </c>
      <c r="D251" s="554" t="e">
        <f t="shared" si="13"/>
        <v>#NUM!</v>
      </c>
      <c r="E251" s="554" t="e">
        <f t="shared" si="14"/>
        <v>#NUM!</v>
      </c>
      <c r="G251" s="554" t="e">
        <f t="shared" si="15"/>
        <v>#NUM!</v>
      </c>
    </row>
    <row r="252" spans="2:7" x14ac:dyDescent="0.3">
      <c r="B252" s="556">
        <v>243</v>
      </c>
      <c r="C252" s="554" t="e">
        <f t="shared" si="12"/>
        <v>#NUM!</v>
      </c>
      <c r="D252" s="554" t="e">
        <f t="shared" si="13"/>
        <v>#NUM!</v>
      </c>
      <c r="E252" s="554" t="e">
        <f t="shared" si="14"/>
        <v>#NUM!</v>
      </c>
      <c r="G252" s="554" t="e">
        <f t="shared" si="15"/>
        <v>#NUM!</v>
      </c>
    </row>
    <row r="253" spans="2:7" x14ac:dyDescent="0.3">
      <c r="B253" s="556">
        <v>244</v>
      </c>
      <c r="C253" s="554" t="e">
        <f t="shared" si="12"/>
        <v>#NUM!</v>
      </c>
      <c r="D253" s="554" t="e">
        <f t="shared" si="13"/>
        <v>#NUM!</v>
      </c>
      <c r="E253" s="554" t="e">
        <f t="shared" si="14"/>
        <v>#NUM!</v>
      </c>
      <c r="G253" s="554" t="e">
        <f t="shared" si="15"/>
        <v>#NUM!</v>
      </c>
    </row>
    <row r="254" spans="2:7" x14ac:dyDescent="0.3">
      <c r="B254" s="556">
        <v>245</v>
      </c>
      <c r="C254" s="554" t="e">
        <f t="shared" si="12"/>
        <v>#NUM!</v>
      </c>
      <c r="D254" s="554" t="e">
        <f t="shared" si="13"/>
        <v>#NUM!</v>
      </c>
      <c r="E254" s="554" t="e">
        <f t="shared" si="14"/>
        <v>#NUM!</v>
      </c>
      <c r="G254" s="554" t="e">
        <f t="shared" si="15"/>
        <v>#NUM!</v>
      </c>
    </row>
    <row r="255" spans="2:7" x14ac:dyDescent="0.3">
      <c r="B255" s="556">
        <v>246</v>
      </c>
      <c r="C255" s="554" t="e">
        <f t="shared" si="12"/>
        <v>#NUM!</v>
      </c>
      <c r="D255" s="554" t="e">
        <f t="shared" si="13"/>
        <v>#NUM!</v>
      </c>
      <c r="E255" s="554" t="e">
        <f t="shared" si="14"/>
        <v>#NUM!</v>
      </c>
      <c r="G255" s="554" t="e">
        <f t="shared" si="15"/>
        <v>#NUM!</v>
      </c>
    </row>
    <row r="256" spans="2:7" x14ac:dyDescent="0.3">
      <c r="B256" s="556">
        <v>247</v>
      </c>
      <c r="C256" s="554" t="e">
        <f t="shared" si="12"/>
        <v>#NUM!</v>
      </c>
      <c r="D256" s="554" t="e">
        <f t="shared" si="13"/>
        <v>#NUM!</v>
      </c>
      <c r="E256" s="554" t="e">
        <f t="shared" si="14"/>
        <v>#NUM!</v>
      </c>
      <c r="G256" s="554" t="e">
        <f t="shared" si="15"/>
        <v>#NUM!</v>
      </c>
    </row>
    <row r="257" spans="2:7" x14ac:dyDescent="0.3">
      <c r="B257" s="556">
        <v>248</v>
      </c>
      <c r="C257" s="554" t="e">
        <f t="shared" si="12"/>
        <v>#NUM!</v>
      </c>
      <c r="D257" s="554" t="e">
        <f t="shared" si="13"/>
        <v>#NUM!</v>
      </c>
      <c r="E257" s="554" t="e">
        <f t="shared" si="14"/>
        <v>#NUM!</v>
      </c>
      <c r="G257" s="554" t="e">
        <f t="shared" si="15"/>
        <v>#NUM!</v>
      </c>
    </row>
    <row r="258" spans="2:7" x14ac:dyDescent="0.3">
      <c r="B258" s="556">
        <v>249</v>
      </c>
      <c r="C258" s="554" t="e">
        <f t="shared" si="12"/>
        <v>#NUM!</v>
      </c>
      <c r="D258" s="554" t="e">
        <f t="shared" si="13"/>
        <v>#NUM!</v>
      </c>
      <c r="E258" s="554" t="e">
        <f t="shared" si="14"/>
        <v>#NUM!</v>
      </c>
      <c r="G258" s="554" t="e">
        <f t="shared" si="15"/>
        <v>#NUM!</v>
      </c>
    </row>
    <row r="259" spans="2:7" x14ac:dyDescent="0.3">
      <c r="B259" s="556">
        <v>250</v>
      </c>
      <c r="C259" s="554" t="e">
        <f t="shared" si="12"/>
        <v>#NUM!</v>
      </c>
      <c r="D259" s="554" t="e">
        <f t="shared" si="13"/>
        <v>#NUM!</v>
      </c>
      <c r="E259" s="554" t="e">
        <f t="shared" si="14"/>
        <v>#NUM!</v>
      </c>
      <c r="G259" s="554" t="e">
        <f t="shared" si="15"/>
        <v>#NUM!</v>
      </c>
    </row>
    <row r="260" spans="2:7" x14ac:dyDescent="0.3">
      <c r="B260" s="556">
        <v>251</v>
      </c>
      <c r="C260" s="554" t="e">
        <f t="shared" si="12"/>
        <v>#NUM!</v>
      </c>
      <c r="D260" s="554" t="e">
        <f t="shared" si="13"/>
        <v>#NUM!</v>
      </c>
      <c r="E260" s="554" t="e">
        <f t="shared" si="14"/>
        <v>#NUM!</v>
      </c>
      <c r="G260" s="554" t="e">
        <f t="shared" si="15"/>
        <v>#NUM!</v>
      </c>
    </row>
    <row r="261" spans="2:7" x14ac:dyDescent="0.3">
      <c r="B261" s="556">
        <v>252</v>
      </c>
      <c r="C261" s="554" t="e">
        <f t="shared" si="12"/>
        <v>#NUM!</v>
      </c>
      <c r="D261" s="554" t="e">
        <f t="shared" si="13"/>
        <v>#NUM!</v>
      </c>
      <c r="E261" s="554" t="e">
        <f t="shared" si="14"/>
        <v>#NUM!</v>
      </c>
      <c r="G261" s="554" t="e">
        <f t="shared" si="15"/>
        <v>#NUM!</v>
      </c>
    </row>
    <row r="262" spans="2:7" x14ac:dyDescent="0.3">
      <c r="B262" s="556">
        <v>253</v>
      </c>
      <c r="C262" s="554" t="e">
        <f t="shared" si="12"/>
        <v>#NUM!</v>
      </c>
      <c r="D262" s="554" t="e">
        <f t="shared" si="13"/>
        <v>#NUM!</v>
      </c>
      <c r="E262" s="554" t="e">
        <f t="shared" si="14"/>
        <v>#NUM!</v>
      </c>
      <c r="G262" s="554" t="e">
        <f t="shared" si="15"/>
        <v>#NUM!</v>
      </c>
    </row>
    <row r="263" spans="2:7" x14ac:dyDescent="0.3">
      <c r="B263" s="556">
        <v>254</v>
      </c>
      <c r="C263" s="554" t="e">
        <f t="shared" si="12"/>
        <v>#NUM!</v>
      </c>
      <c r="D263" s="554" t="e">
        <f t="shared" si="13"/>
        <v>#NUM!</v>
      </c>
      <c r="E263" s="554" t="e">
        <f t="shared" si="14"/>
        <v>#NUM!</v>
      </c>
      <c r="G263" s="554" t="e">
        <f t="shared" si="15"/>
        <v>#NUM!</v>
      </c>
    </row>
    <row r="264" spans="2:7" x14ac:dyDescent="0.3">
      <c r="B264" s="556">
        <v>255</v>
      </c>
      <c r="C264" s="554" t="e">
        <f t="shared" si="12"/>
        <v>#NUM!</v>
      </c>
      <c r="D264" s="554" t="e">
        <f t="shared" si="13"/>
        <v>#NUM!</v>
      </c>
      <c r="E264" s="554" t="e">
        <f t="shared" si="14"/>
        <v>#NUM!</v>
      </c>
      <c r="G264" s="554" t="e">
        <f t="shared" si="15"/>
        <v>#NUM!</v>
      </c>
    </row>
    <row r="265" spans="2:7" x14ac:dyDescent="0.3">
      <c r="B265" s="556">
        <v>256</v>
      </c>
      <c r="C265" s="554" t="e">
        <f t="shared" si="12"/>
        <v>#NUM!</v>
      </c>
      <c r="D265" s="554" t="e">
        <f t="shared" si="13"/>
        <v>#NUM!</v>
      </c>
      <c r="E265" s="554" t="e">
        <f t="shared" si="14"/>
        <v>#NUM!</v>
      </c>
      <c r="G265" s="554" t="e">
        <f t="shared" si="15"/>
        <v>#NUM!</v>
      </c>
    </row>
    <row r="266" spans="2:7" x14ac:dyDescent="0.3">
      <c r="B266" s="556">
        <v>257</v>
      </c>
      <c r="C266" s="554" t="e">
        <f t="shared" ref="C266:C329" si="16">IF($C$3&lt;G266+(G266*($C$4/$C$6)),$C$3,G266+(G266*($C$4/$C$6)))</f>
        <v>#NUM!</v>
      </c>
      <c r="D266" s="554" t="e">
        <f t="shared" ref="D266:D329" si="17">G266*$C$4/$C$6</f>
        <v>#NUM!</v>
      </c>
      <c r="E266" s="554" t="e">
        <f t="shared" ref="E266:E329" si="18">C266-D266</f>
        <v>#NUM!</v>
      </c>
      <c r="G266" s="554" t="e">
        <f t="shared" si="15"/>
        <v>#NUM!</v>
      </c>
    </row>
    <row r="267" spans="2:7" x14ac:dyDescent="0.3">
      <c r="B267" s="556">
        <v>258</v>
      </c>
      <c r="C267" s="554" t="e">
        <f t="shared" si="16"/>
        <v>#NUM!</v>
      </c>
      <c r="D267" s="554" t="e">
        <f t="shared" si="17"/>
        <v>#NUM!</v>
      </c>
      <c r="E267" s="554" t="e">
        <f t="shared" si="18"/>
        <v>#NUM!</v>
      </c>
      <c r="G267" s="554" t="e">
        <f t="shared" ref="G267:G330" si="19">G266-E266-F266</f>
        <v>#NUM!</v>
      </c>
    </row>
    <row r="268" spans="2:7" x14ac:dyDescent="0.3">
      <c r="B268" s="556">
        <v>259</v>
      </c>
      <c r="C268" s="554" t="e">
        <f t="shared" si="16"/>
        <v>#NUM!</v>
      </c>
      <c r="D268" s="554" t="e">
        <f t="shared" si="17"/>
        <v>#NUM!</v>
      </c>
      <c r="E268" s="554" t="e">
        <f t="shared" si="18"/>
        <v>#NUM!</v>
      </c>
      <c r="G268" s="554" t="e">
        <f t="shared" si="19"/>
        <v>#NUM!</v>
      </c>
    </row>
    <row r="269" spans="2:7" x14ac:dyDescent="0.3">
      <c r="B269" s="556">
        <v>260</v>
      </c>
      <c r="C269" s="554" t="e">
        <f t="shared" si="16"/>
        <v>#NUM!</v>
      </c>
      <c r="D269" s="554" t="e">
        <f t="shared" si="17"/>
        <v>#NUM!</v>
      </c>
      <c r="E269" s="554" t="e">
        <f t="shared" si="18"/>
        <v>#NUM!</v>
      </c>
      <c r="G269" s="554" t="e">
        <f t="shared" si="19"/>
        <v>#NUM!</v>
      </c>
    </row>
    <row r="270" spans="2:7" x14ac:dyDescent="0.3">
      <c r="B270" s="556">
        <v>261</v>
      </c>
      <c r="C270" s="554" t="e">
        <f t="shared" si="16"/>
        <v>#NUM!</v>
      </c>
      <c r="D270" s="554" t="e">
        <f t="shared" si="17"/>
        <v>#NUM!</v>
      </c>
      <c r="E270" s="554" t="e">
        <f t="shared" si="18"/>
        <v>#NUM!</v>
      </c>
      <c r="G270" s="554" t="e">
        <f t="shared" si="19"/>
        <v>#NUM!</v>
      </c>
    </row>
    <row r="271" spans="2:7" x14ac:dyDescent="0.3">
      <c r="B271" s="556">
        <v>262</v>
      </c>
      <c r="C271" s="554" t="e">
        <f t="shared" si="16"/>
        <v>#NUM!</v>
      </c>
      <c r="D271" s="554" t="e">
        <f t="shared" si="17"/>
        <v>#NUM!</v>
      </c>
      <c r="E271" s="554" t="e">
        <f t="shared" si="18"/>
        <v>#NUM!</v>
      </c>
      <c r="G271" s="554" t="e">
        <f t="shared" si="19"/>
        <v>#NUM!</v>
      </c>
    </row>
    <row r="272" spans="2:7" x14ac:dyDescent="0.3">
      <c r="B272" s="556">
        <v>263</v>
      </c>
      <c r="C272" s="554" t="e">
        <f t="shared" si="16"/>
        <v>#NUM!</v>
      </c>
      <c r="D272" s="554" t="e">
        <f t="shared" si="17"/>
        <v>#NUM!</v>
      </c>
      <c r="E272" s="554" t="e">
        <f t="shared" si="18"/>
        <v>#NUM!</v>
      </c>
      <c r="G272" s="554" t="e">
        <f t="shared" si="19"/>
        <v>#NUM!</v>
      </c>
    </row>
    <row r="273" spans="2:7" x14ac:dyDescent="0.3">
      <c r="B273" s="556">
        <v>264</v>
      </c>
      <c r="C273" s="554" t="e">
        <f t="shared" si="16"/>
        <v>#NUM!</v>
      </c>
      <c r="D273" s="554" t="e">
        <f t="shared" si="17"/>
        <v>#NUM!</v>
      </c>
      <c r="E273" s="554" t="e">
        <f t="shared" si="18"/>
        <v>#NUM!</v>
      </c>
      <c r="G273" s="554" t="e">
        <f t="shared" si="19"/>
        <v>#NUM!</v>
      </c>
    </row>
    <row r="274" spans="2:7" x14ac:dyDescent="0.3">
      <c r="B274" s="556">
        <v>265</v>
      </c>
      <c r="C274" s="554" t="e">
        <f t="shared" si="16"/>
        <v>#NUM!</v>
      </c>
      <c r="D274" s="554" t="e">
        <f t="shared" si="17"/>
        <v>#NUM!</v>
      </c>
      <c r="E274" s="554" t="e">
        <f t="shared" si="18"/>
        <v>#NUM!</v>
      </c>
      <c r="G274" s="554" t="e">
        <f t="shared" si="19"/>
        <v>#NUM!</v>
      </c>
    </row>
    <row r="275" spans="2:7" x14ac:dyDescent="0.3">
      <c r="B275" s="556">
        <v>266</v>
      </c>
      <c r="C275" s="554" t="e">
        <f t="shared" si="16"/>
        <v>#NUM!</v>
      </c>
      <c r="D275" s="554" t="e">
        <f t="shared" si="17"/>
        <v>#NUM!</v>
      </c>
      <c r="E275" s="554" t="e">
        <f t="shared" si="18"/>
        <v>#NUM!</v>
      </c>
      <c r="G275" s="554" t="e">
        <f t="shared" si="19"/>
        <v>#NUM!</v>
      </c>
    </row>
    <row r="276" spans="2:7" x14ac:dyDescent="0.3">
      <c r="B276" s="556">
        <v>267</v>
      </c>
      <c r="C276" s="554" t="e">
        <f t="shared" si="16"/>
        <v>#NUM!</v>
      </c>
      <c r="D276" s="554" t="e">
        <f t="shared" si="17"/>
        <v>#NUM!</v>
      </c>
      <c r="E276" s="554" t="e">
        <f t="shared" si="18"/>
        <v>#NUM!</v>
      </c>
      <c r="G276" s="554" t="e">
        <f t="shared" si="19"/>
        <v>#NUM!</v>
      </c>
    </row>
    <row r="277" spans="2:7" x14ac:dyDescent="0.3">
      <c r="B277" s="556">
        <v>268</v>
      </c>
      <c r="C277" s="554" t="e">
        <f t="shared" si="16"/>
        <v>#NUM!</v>
      </c>
      <c r="D277" s="554" t="e">
        <f t="shared" si="17"/>
        <v>#NUM!</v>
      </c>
      <c r="E277" s="554" t="e">
        <f t="shared" si="18"/>
        <v>#NUM!</v>
      </c>
      <c r="G277" s="554" t="e">
        <f t="shared" si="19"/>
        <v>#NUM!</v>
      </c>
    </row>
    <row r="278" spans="2:7" x14ac:dyDescent="0.3">
      <c r="B278" s="556">
        <v>269</v>
      </c>
      <c r="C278" s="554" t="e">
        <f t="shared" si="16"/>
        <v>#NUM!</v>
      </c>
      <c r="D278" s="554" t="e">
        <f t="shared" si="17"/>
        <v>#NUM!</v>
      </c>
      <c r="E278" s="554" t="e">
        <f t="shared" si="18"/>
        <v>#NUM!</v>
      </c>
      <c r="G278" s="554" t="e">
        <f t="shared" si="19"/>
        <v>#NUM!</v>
      </c>
    </row>
    <row r="279" spans="2:7" x14ac:dyDescent="0.3">
      <c r="B279" s="556">
        <v>270</v>
      </c>
      <c r="C279" s="554" t="e">
        <f t="shared" si="16"/>
        <v>#NUM!</v>
      </c>
      <c r="D279" s="554" t="e">
        <f t="shared" si="17"/>
        <v>#NUM!</v>
      </c>
      <c r="E279" s="554" t="e">
        <f t="shared" si="18"/>
        <v>#NUM!</v>
      </c>
      <c r="G279" s="554" t="e">
        <f t="shared" si="19"/>
        <v>#NUM!</v>
      </c>
    </row>
    <row r="280" spans="2:7" x14ac:dyDescent="0.3">
      <c r="B280" s="556">
        <v>271</v>
      </c>
      <c r="C280" s="554" t="e">
        <f t="shared" si="16"/>
        <v>#NUM!</v>
      </c>
      <c r="D280" s="554" t="e">
        <f t="shared" si="17"/>
        <v>#NUM!</v>
      </c>
      <c r="E280" s="554" t="e">
        <f t="shared" si="18"/>
        <v>#NUM!</v>
      </c>
      <c r="G280" s="554" t="e">
        <f t="shared" si="19"/>
        <v>#NUM!</v>
      </c>
    </row>
    <row r="281" spans="2:7" x14ac:dyDescent="0.3">
      <c r="B281" s="556">
        <v>272</v>
      </c>
      <c r="C281" s="554" t="e">
        <f t="shared" si="16"/>
        <v>#NUM!</v>
      </c>
      <c r="D281" s="554" t="e">
        <f t="shared" si="17"/>
        <v>#NUM!</v>
      </c>
      <c r="E281" s="554" t="e">
        <f t="shared" si="18"/>
        <v>#NUM!</v>
      </c>
      <c r="G281" s="554" t="e">
        <f t="shared" si="19"/>
        <v>#NUM!</v>
      </c>
    </row>
    <row r="282" spans="2:7" x14ac:dyDescent="0.3">
      <c r="B282" s="556">
        <v>273</v>
      </c>
      <c r="C282" s="554" t="e">
        <f t="shared" si="16"/>
        <v>#NUM!</v>
      </c>
      <c r="D282" s="554" t="e">
        <f t="shared" si="17"/>
        <v>#NUM!</v>
      </c>
      <c r="E282" s="554" t="e">
        <f t="shared" si="18"/>
        <v>#NUM!</v>
      </c>
      <c r="G282" s="554" t="e">
        <f t="shared" si="19"/>
        <v>#NUM!</v>
      </c>
    </row>
    <row r="283" spans="2:7" x14ac:dyDescent="0.3">
      <c r="B283" s="556">
        <v>274</v>
      </c>
      <c r="C283" s="554" t="e">
        <f t="shared" si="16"/>
        <v>#NUM!</v>
      </c>
      <c r="D283" s="554" t="e">
        <f t="shared" si="17"/>
        <v>#NUM!</v>
      </c>
      <c r="E283" s="554" t="e">
        <f t="shared" si="18"/>
        <v>#NUM!</v>
      </c>
      <c r="G283" s="554" t="e">
        <f t="shared" si="19"/>
        <v>#NUM!</v>
      </c>
    </row>
    <row r="284" spans="2:7" x14ac:dyDescent="0.3">
      <c r="B284" s="556">
        <v>275</v>
      </c>
      <c r="C284" s="554" t="e">
        <f t="shared" si="16"/>
        <v>#NUM!</v>
      </c>
      <c r="D284" s="554" t="e">
        <f t="shared" si="17"/>
        <v>#NUM!</v>
      </c>
      <c r="E284" s="554" t="e">
        <f t="shared" si="18"/>
        <v>#NUM!</v>
      </c>
      <c r="G284" s="554" t="e">
        <f t="shared" si="19"/>
        <v>#NUM!</v>
      </c>
    </row>
    <row r="285" spans="2:7" x14ac:dyDescent="0.3">
      <c r="B285" s="556">
        <v>276</v>
      </c>
      <c r="C285" s="554" t="e">
        <f t="shared" si="16"/>
        <v>#NUM!</v>
      </c>
      <c r="D285" s="554" t="e">
        <f t="shared" si="17"/>
        <v>#NUM!</v>
      </c>
      <c r="E285" s="554" t="e">
        <f t="shared" si="18"/>
        <v>#NUM!</v>
      </c>
      <c r="G285" s="554" t="e">
        <f t="shared" si="19"/>
        <v>#NUM!</v>
      </c>
    </row>
    <row r="286" spans="2:7" x14ac:dyDescent="0.3">
      <c r="B286" s="556">
        <v>277</v>
      </c>
      <c r="C286" s="554" t="e">
        <f t="shared" si="16"/>
        <v>#NUM!</v>
      </c>
      <c r="D286" s="554" t="e">
        <f t="shared" si="17"/>
        <v>#NUM!</v>
      </c>
      <c r="E286" s="554" t="e">
        <f t="shared" si="18"/>
        <v>#NUM!</v>
      </c>
      <c r="G286" s="554" t="e">
        <f t="shared" si="19"/>
        <v>#NUM!</v>
      </c>
    </row>
    <row r="287" spans="2:7" x14ac:dyDescent="0.3">
      <c r="B287" s="556">
        <v>278</v>
      </c>
      <c r="C287" s="554" t="e">
        <f t="shared" si="16"/>
        <v>#NUM!</v>
      </c>
      <c r="D287" s="554" t="e">
        <f t="shared" si="17"/>
        <v>#NUM!</v>
      </c>
      <c r="E287" s="554" t="e">
        <f t="shared" si="18"/>
        <v>#NUM!</v>
      </c>
      <c r="G287" s="554" t="e">
        <f t="shared" si="19"/>
        <v>#NUM!</v>
      </c>
    </row>
    <row r="288" spans="2:7" x14ac:dyDescent="0.3">
      <c r="B288" s="556">
        <v>279</v>
      </c>
      <c r="C288" s="554" t="e">
        <f t="shared" si="16"/>
        <v>#NUM!</v>
      </c>
      <c r="D288" s="554" t="e">
        <f t="shared" si="17"/>
        <v>#NUM!</v>
      </c>
      <c r="E288" s="554" t="e">
        <f t="shared" si="18"/>
        <v>#NUM!</v>
      </c>
      <c r="G288" s="554" t="e">
        <f t="shared" si="19"/>
        <v>#NUM!</v>
      </c>
    </row>
    <row r="289" spans="2:7" x14ac:dyDescent="0.3">
      <c r="B289" s="556">
        <v>280</v>
      </c>
      <c r="C289" s="554" t="e">
        <f t="shared" si="16"/>
        <v>#NUM!</v>
      </c>
      <c r="D289" s="554" t="e">
        <f t="shared" si="17"/>
        <v>#NUM!</v>
      </c>
      <c r="E289" s="554" t="e">
        <f t="shared" si="18"/>
        <v>#NUM!</v>
      </c>
      <c r="G289" s="554" t="e">
        <f t="shared" si="19"/>
        <v>#NUM!</v>
      </c>
    </row>
    <row r="290" spans="2:7" x14ac:dyDescent="0.3">
      <c r="B290" s="556">
        <v>281</v>
      </c>
      <c r="C290" s="554" t="e">
        <f t="shared" si="16"/>
        <v>#NUM!</v>
      </c>
      <c r="D290" s="554" t="e">
        <f t="shared" si="17"/>
        <v>#NUM!</v>
      </c>
      <c r="E290" s="554" t="e">
        <f t="shared" si="18"/>
        <v>#NUM!</v>
      </c>
      <c r="G290" s="554" t="e">
        <f t="shared" si="19"/>
        <v>#NUM!</v>
      </c>
    </row>
    <row r="291" spans="2:7" x14ac:dyDescent="0.3">
      <c r="B291" s="556">
        <v>282</v>
      </c>
      <c r="C291" s="554" t="e">
        <f t="shared" si="16"/>
        <v>#NUM!</v>
      </c>
      <c r="D291" s="554" t="e">
        <f t="shared" si="17"/>
        <v>#NUM!</v>
      </c>
      <c r="E291" s="554" t="e">
        <f t="shared" si="18"/>
        <v>#NUM!</v>
      </c>
      <c r="G291" s="554" t="e">
        <f t="shared" si="19"/>
        <v>#NUM!</v>
      </c>
    </row>
    <row r="292" spans="2:7" x14ac:dyDescent="0.3">
      <c r="B292" s="556">
        <v>283</v>
      </c>
      <c r="C292" s="554" t="e">
        <f t="shared" si="16"/>
        <v>#NUM!</v>
      </c>
      <c r="D292" s="554" t="e">
        <f t="shared" si="17"/>
        <v>#NUM!</v>
      </c>
      <c r="E292" s="554" t="e">
        <f t="shared" si="18"/>
        <v>#NUM!</v>
      </c>
      <c r="G292" s="554" t="e">
        <f t="shared" si="19"/>
        <v>#NUM!</v>
      </c>
    </row>
    <row r="293" spans="2:7" x14ac:dyDescent="0.3">
      <c r="B293" s="556">
        <v>284</v>
      </c>
      <c r="C293" s="554" t="e">
        <f t="shared" si="16"/>
        <v>#NUM!</v>
      </c>
      <c r="D293" s="554" t="e">
        <f t="shared" si="17"/>
        <v>#NUM!</v>
      </c>
      <c r="E293" s="554" t="e">
        <f t="shared" si="18"/>
        <v>#NUM!</v>
      </c>
      <c r="G293" s="554" t="e">
        <f t="shared" si="19"/>
        <v>#NUM!</v>
      </c>
    </row>
    <row r="294" spans="2:7" x14ac:dyDescent="0.3">
      <c r="B294" s="556">
        <v>285</v>
      </c>
      <c r="C294" s="554" t="e">
        <f t="shared" si="16"/>
        <v>#NUM!</v>
      </c>
      <c r="D294" s="554" t="e">
        <f t="shared" si="17"/>
        <v>#NUM!</v>
      </c>
      <c r="E294" s="554" t="e">
        <f t="shared" si="18"/>
        <v>#NUM!</v>
      </c>
      <c r="G294" s="554" t="e">
        <f t="shared" si="19"/>
        <v>#NUM!</v>
      </c>
    </row>
    <row r="295" spans="2:7" x14ac:dyDescent="0.3">
      <c r="B295" s="556">
        <v>286</v>
      </c>
      <c r="C295" s="554" t="e">
        <f t="shared" si="16"/>
        <v>#NUM!</v>
      </c>
      <c r="D295" s="554" t="e">
        <f t="shared" si="17"/>
        <v>#NUM!</v>
      </c>
      <c r="E295" s="554" t="e">
        <f t="shared" si="18"/>
        <v>#NUM!</v>
      </c>
      <c r="G295" s="554" t="e">
        <f t="shared" si="19"/>
        <v>#NUM!</v>
      </c>
    </row>
    <row r="296" spans="2:7" x14ac:dyDescent="0.3">
      <c r="B296" s="556">
        <v>287</v>
      </c>
      <c r="C296" s="554" t="e">
        <f t="shared" si="16"/>
        <v>#NUM!</v>
      </c>
      <c r="D296" s="554" t="e">
        <f t="shared" si="17"/>
        <v>#NUM!</v>
      </c>
      <c r="E296" s="554" t="e">
        <f t="shared" si="18"/>
        <v>#NUM!</v>
      </c>
      <c r="G296" s="554" t="e">
        <f t="shared" si="19"/>
        <v>#NUM!</v>
      </c>
    </row>
    <row r="297" spans="2:7" x14ac:dyDescent="0.3">
      <c r="B297" s="556">
        <v>288</v>
      </c>
      <c r="C297" s="554" t="e">
        <f t="shared" si="16"/>
        <v>#NUM!</v>
      </c>
      <c r="D297" s="554" t="e">
        <f t="shared" si="17"/>
        <v>#NUM!</v>
      </c>
      <c r="E297" s="554" t="e">
        <f t="shared" si="18"/>
        <v>#NUM!</v>
      </c>
      <c r="G297" s="554" t="e">
        <f t="shared" si="19"/>
        <v>#NUM!</v>
      </c>
    </row>
    <row r="298" spans="2:7" x14ac:dyDescent="0.3">
      <c r="B298" s="556">
        <v>289</v>
      </c>
      <c r="C298" s="554" t="e">
        <f t="shared" si="16"/>
        <v>#NUM!</v>
      </c>
      <c r="D298" s="554" t="e">
        <f t="shared" si="17"/>
        <v>#NUM!</v>
      </c>
      <c r="E298" s="554" t="e">
        <f t="shared" si="18"/>
        <v>#NUM!</v>
      </c>
      <c r="G298" s="554" t="e">
        <f t="shared" si="19"/>
        <v>#NUM!</v>
      </c>
    </row>
    <row r="299" spans="2:7" x14ac:dyDescent="0.3">
      <c r="B299" s="556">
        <v>290</v>
      </c>
      <c r="C299" s="554" t="e">
        <f t="shared" si="16"/>
        <v>#NUM!</v>
      </c>
      <c r="D299" s="554" t="e">
        <f t="shared" si="17"/>
        <v>#NUM!</v>
      </c>
      <c r="E299" s="554" t="e">
        <f t="shared" si="18"/>
        <v>#NUM!</v>
      </c>
      <c r="G299" s="554" t="e">
        <f t="shared" si="19"/>
        <v>#NUM!</v>
      </c>
    </row>
    <row r="300" spans="2:7" x14ac:dyDescent="0.3">
      <c r="B300" s="556">
        <v>291</v>
      </c>
      <c r="C300" s="554" t="e">
        <f t="shared" si="16"/>
        <v>#NUM!</v>
      </c>
      <c r="D300" s="554" t="e">
        <f t="shared" si="17"/>
        <v>#NUM!</v>
      </c>
      <c r="E300" s="554" t="e">
        <f t="shared" si="18"/>
        <v>#NUM!</v>
      </c>
      <c r="G300" s="554" t="e">
        <f t="shared" si="19"/>
        <v>#NUM!</v>
      </c>
    </row>
    <row r="301" spans="2:7" x14ac:dyDescent="0.3">
      <c r="B301" s="556">
        <v>292</v>
      </c>
      <c r="C301" s="554" t="e">
        <f t="shared" si="16"/>
        <v>#NUM!</v>
      </c>
      <c r="D301" s="554" t="e">
        <f t="shared" si="17"/>
        <v>#NUM!</v>
      </c>
      <c r="E301" s="554" t="e">
        <f t="shared" si="18"/>
        <v>#NUM!</v>
      </c>
      <c r="G301" s="554" t="e">
        <f t="shared" si="19"/>
        <v>#NUM!</v>
      </c>
    </row>
    <row r="302" spans="2:7" x14ac:dyDescent="0.3">
      <c r="B302" s="556">
        <v>293</v>
      </c>
      <c r="C302" s="554" t="e">
        <f t="shared" si="16"/>
        <v>#NUM!</v>
      </c>
      <c r="D302" s="554" t="e">
        <f t="shared" si="17"/>
        <v>#NUM!</v>
      </c>
      <c r="E302" s="554" t="e">
        <f t="shared" si="18"/>
        <v>#NUM!</v>
      </c>
      <c r="G302" s="554" t="e">
        <f t="shared" si="19"/>
        <v>#NUM!</v>
      </c>
    </row>
    <row r="303" spans="2:7" x14ac:dyDescent="0.3">
      <c r="B303" s="556">
        <v>294</v>
      </c>
      <c r="C303" s="554" t="e">
        <f t="shared" si="16"/>
        <v>#NUM!</v>
      </c>
      <c r="D303" s="554" t="e">
        <f t="shared" si="17"/>
        <v>#NUM!</v>
      </c>
      <c r="E303" s="554" t="e">
        <f t="shared" si="18"/>
        <v>#NUM!</v>
      </c>
      <c r="G303" s="554" t="e">
        <f t="shared" si="19"/>
        <v>#NUM!</v>
      </c>
    </row>
    <row r="304" spans="2:7" x14ac:dyDescent="0.3">
      <c r="B304" s="556">
        <v>295</v>
      </c>
      <c r="C304" s="554" t="e">
        <f t="shared" si="16"/>
        <v>#NUM!</v>
      </c>
      <c r="D304" s="554" t="e">
        <f t="shared" si="17"/>
        <v>#NUM!</v>
      </c>
      <c r="E304" s="554" t="e">
        <f t="shared" si="18"/>
        <v>#NUM!</v>
      </c>
      <c r="G304" s="554" t="e">
        <f t="shared" si="19"/>
        <v>#NUM!</v>
      </c>
    </row>
    <row r="305" spans="2:7" x14ac:dyDescent="0.3">
      <c r="B305" s="556">
        <v>296</v>
      </c>
      <c r="C305" s="554" t="e">
        <f t="shared" si="16"/>
        <v>#NUM!</v>
      </c>
      <c r="D305" s="554" t="e">
        <f t="shared" si="17"/>
        <v>#NUM!</v>
      </c>
      <c r="E305" s="554" t="e">
        <f t="shared" si="18"/>
        <v>#NUM!</v>
      </c>
      <c r="G305" s="554" t="e">
        <f t="shared" si="19"/>
        <v>#NUM!</v>
      </c>
    </row>
    <row r="306" spans="2:7" x14ac:dyDescent="0.3">
      <c r="B306" s="556">
        <v>297</v>
      </c>
      <c r="C306" s="554" t="e">
        <f t="shared" si="16"/>
        <v>#NUM!</v>
      </c>
      <c r="D306" s="554" t="e">
        <f t="shared" si="17"/>
        <v>#NUM!</v>
      </c>
      <c r="E306" s="554" t="e">
        <f t="shared" si="18"/>
        <v>#NUM!</v>
      </c>
      <c r="G306" s="554" t="e">
        <f t="shared" si="19"/>
        <v>#NUM!</v>
      </c>
    </row>
    <row r="307" spans="2:7" x14ac:dyDescent="0.3">
      <c r="B307" s="556">
        <v>298</v>
      </c>
      <c r="C307" s="554" t="e">
        <f t="shared" si="16"/>
        <v>#NUM!</v>
      </c>
      <c r="D307" s="554" t="e">
        <f t="shared" si="17"/>
        <v>#NUM!</v>
      </c>
      <c r="E307" s="554" t="e">
        <f t="shared" si="18"/>
        <v>#NUM!</v>
      </c>
      <c r="G307" s="554" t="e">
        <f t="shared" si="19"/>
        <v>#NUM!</v>
      </c>
    </row>
    <row r="308" spans="2:7" x14ac:dyDescent="0.3">
      <c r="B308" s="556">
        <v>299</v>
      </c>
      <c r="C308" s="554" t="e">
        <f t="shared" si="16"/>
        <v>#NUM!</v>
      </c>
      <c r="D308" s="554" t="e">
        <f t="shared" si="17"/>
        <v>#NUM!</v>
      </c>
      <c r="E308" s="554" t="e">
        <f t="shared" si="18"/>
        <v>#NUM!</v>
      </c>
      <c r="G308" s="554" t="e">
        <f t="shared" si="19"/>
        <v>#NUM!</v>
      </c>
    </row>
    <row r="309" spans="2:7" x14ac:dyDescent="0.3">
      <c r="B309" s="556">
        <v>300</v>
      </c>
      <c r="C309" s="554" t="e">
        <f t="shared" si="16"/>
        <v>#NUM!</v>
      </c>
      <c r="D309" s="554" t="e">
        <f t="shared" si="17"/>
        <v>#NUM!</v>
      </c>
      <c r="E309" s="554" t="e">
        <f t="shared" si="18"/>
        <v>#NUM!</v>
      </c>
      <c r="G309" s="554" t="e">
        <f t="shared" si="19"/>
        <v>#NUM!</v>
      </c>
    </row>
    <row r="310" spans="2:7" x14ac:dyDescent="0.3">
      <c r="B310" s="556">
        <v>301</v>
      </c>
      <c r="C310" s="554" t="e">
        <f t="shared" si="16"/>
        <v>#NUM!</v>
      </c>
      <c r="D310" s="554" t="e">
        <f t="shared" si="17"/>
        <v>#NUM!</v>
      </c>
      <c r="E310" s="554" t="e">
        <f t="shared" si="18"/>
        <v>#NUM!</v>
      </c>
      <c r="G310" s="554" t="e">
        <f t="shared" si="19"/>
        <v>#NUM!</v>
      </c>
    </row>
    <row r="311" spans="2:7" x14ac:dyDescent="0.3">
      <c r="B311" s="556">
        <v>302</v>
      </c>
      <c r="C311" s="554" t="e">
        <f t="shared" si="16"/>
        <v>#NUM!</v>
      </c>
      <c r="D311" s="554" t="e">
        <f t="shared" si="17"/>
        <v>#NUM!</v>
      </c>
      <c r="E311" s="554" t="e">
        <f t="shared" si="18"/>
        <v>#NUM!</v>
      </c>
      <c r="G311" s="554" t="e">
        <f t="shared" si="19"/>
        <v>#NUM!</v>
      </c>
    </row>
    <row r="312" spans="2:7" x14ac:dyDescent="0.3">
      <c r="B312" s="556">
        <v>303</v>
      </c>
      <c r="C312" s="554" t="e">
        <f t="shared" si="16"/>
        <v>#NUM!</v>
      </c>
      <c r="D312" s="554" t="e">
        <f t="shared" si="17"/>
        <v>#NUM!</v>
      </c>
      <c r="E312" s="554" t="e">
        <f t="shared" si="18"/>
        <v>#NUM!</v>
      </c>
      <c r="G312" s="554" t="e">
        <f t="shared" si="19"/>
        <v>#NUM!</v>
      </c>
    </row>
    <row r="313" spans="2:7" x14ac:dyDescent="0.3">
      <c r="B313" s="556">
        <v>304</v>
      </c>
      <c r="C313" s="554" t="e">
        <f t="shared" si="16"/>
        <v>#NUM!</v>
      </c>
      <c r="D313" s="554" t="e">
        <f t="shared" si="17"/>
        <v>#NUM!</v>
      </c>
      <c r="E313" s="554" t="e">
        <f t="shared" si="18"/>
        <v>#NUM!</v>
      </c>
      <c r="G313" s="554" t="e">
        <f t="shared" si="19"/>
        <v>#NUM!</v>
      </c>
    </row>
    <row r="314" spans="2:7" x14ac:dyDescent="0.3">
      <c r="B314" s="556">
        <v>305</v>
      </c>
      <c r="C314" s="554" t="e">
        <f t="shared" si="16"/>
        <v>#NUM!</v>
      </c>
      <c r="D314" s="554" t="e">
        <f t="shared" si="17"/>
        <v>#NUM!</v>
      </c>
      <c r="E314" s="554" t="e">
        <f t="shared" si="18"/>
        <v>#NUM!</v>
      </c>
      <c r="G314" s="554" t="e">
        <f t="shared" si="19"/>
        <v>#NUM!</v>
      </c>
    </row>
    <row r="315" spans="2:7" x14ac:dyDescent="0.3">
      <c r="B315" s="556">
        <v>306</v>
      </c>
      <c r="C315" s="554" t="e">
        <f t="shared" si="16"/>
        <v>#NUM!</v>
      </c>
      <c r="D315" s="554" t="e">
        <f t="shared" si="17"/>
        <v>#NUM!</v>
      </c>
      <c r="E315" s="554" t="e">
        <f t="shared" si="18"/>
        <v>#NUM!</v>
      </c>
      <c r="G315" s="554" t="e">
        <f t="shared" si="19"/>
        <v>#NUM!</v>
      </c>
    </row>
    <row r="316" spans="2:7" x14ac:dyDescent="0.3">
      <c r="B316" s="556">
        <v>307</v>
      </c>
      <c r="C316" s="554" t="e">
        <f t="shared" si="16"/>
        <v>#NUM!</v>
      </c>
      <c r="D316" s="554" t="e">
        <f t="shared" si="17"/>
        <v>#NUM!</v>
      </c>
      <c r="E316" s="554" t="e">
        <f t="shared" si="18"/>
        <v>#NUM!</v>
      </c>
      <c r="G316" s="554" t="e">
        <f t="shared" si="19"/>
        <v>#NUM!</v>
      </c>
    </row>
    <row r="317" spans="2:7" x14ac:dyDescent="0.3">
      <c r="B317" s="556">
        <v>308</v>
      </c>
      <c r="C317" s="554" t="e">
        <f t="shared" si="16"/>
        <v>#NUM!</v>
      </c>
      <c r="D317" s="554" t="e">
        <f t="shared" si="17"/>
        <v>#NUM!</v>
      </c>
      <c r="E317" s="554" t="e">
        <f t="shared" si="18"/>
        <v>#NUM!</v>
      </c>
      <c r="G317" s="554" t="e">
        <f t="shared" si="19"/>
        <v>#NUM!</v>
      </c>
    </row>
    <row r="318" spans="2:7" x14ac:dyDescent="0.3">
      <c r="B318" s="556">
        <v>309</v>
      </c>
      <c r="C318" s="554" t="e">
        <f t="shared" si="16"/>
        <v>#NUM!</v>
      </c>
      <c r="D318" s="554" t="e">
        <f t="shared" si="17"/>
        <v>#NUM!</v>
      </c>
      <c r="E318" s="554" t="e">
        <f t="shared" si="18"/>
        <v>#NUM!</v>
      </c>
      <c r="G318" s="554" t="e">
        <f t="shared" si="19"/>
        <v>#NUM!</v>
      </c>
    </row>
    <row r="319" spans="2:7" x14ac:dyDescent="0.3">
      <c r="B319" s="556">
        <v>310</v>
      </c>
      <c r="C319" s="554" t="e">
        <f t="shared" si="16"/>
        <v>#NUM!</v>
      </c>
      <c r="D319" s="554" t="e">
        <f t="shared" si="17"/>
        <v>#NUM!</v>
      </c>
      <c r="E319" s="554" t="e">
        <f t="shared" si="18"/>
        <v>#NUM!</v>
      </c>
      <c r="G319" s="554" t="e">
        <f t="shared" si="19"/>
        <v>#NUM!</v>
      </c>
    </row>
    <row r="320" spans="2:7" x14ac:dyDescent="0.3">
      <c r="B320" s="556">
        <v>311</v>
      </c>
      <c r="C320" s="554" t="e">
        <f t="shared" si="16"/>
        <v>#NUM!</v>
      </c>
      <c r="D320" s="554" t="e">
        <f t="shared" si="17"/>
        <v>#NUM!</v>
      </c>
      <c r="E320" s="554" t="e">
        <f t="shared" si="18"/>
        <v>#NUM!</v>
      </c>
      <c r="G320" s="554" t="e">
        <f t="shared" si="19"/>
        <v>#NUM!</v>
      </c>
    </row>
    <row r="321" spans="2:7" x14ac:dyDescent="0.3">
      <c r="B321" s="556">
        <v>312</v>
      </c>
      <c r="C321" s="554" t="e">
        <f t="shared" si="16"/>
        <v>#NUM!</v>
      </c>
      <c r="D321" s="554" t="e">
        <f t="shared" si="17"/>
        <v>#NUM!</v>
      </c>
      <c r="E321" s="554" t="e">
        <f t="shared" si="18"/>
        <v>#NUM!</v>
      </c>
      <c r="G321" s="554" t="e">
        <f t="shared" si="19"/>
        <v>#NUM!</v>
      </c>
    </row>
    <row r="322" spans="2:7" x14ac:dyDescent="0.3">
      <c r="B322" s="556">
        <v>313</v>
      </c>
      <c r="C322" s="554" t="e">
        <f t="shared" si="16"/>
        <v>#NUM!</v>
      </c>
      <c r="D322" s="554" t="e">
        <f t="shared" si="17"/>
        <v>#NUM!</v>
      </c>
      <c r="E322" s="554" t="e">
        <f t="shared" si="18"/>
        <v>#NUM!</v>
      </c>
      <c r="G322" s="554" t="e">
        <f t="shared" si="19"/>
        <v>#NUM!</v>
      </c>
    </row>
    <row r="323" spans="2:7" x14ac:dyDescent="0.3">
      <c r="B323" s="556">
        <v>314</v>
      </c>
      <c r="C323" s="554" t="e">
        <f t="shared" si="16"/>
        <v>#NUM!</v>
      </c>
      <c r="D323" s="554" t="e">
        <f t="shared" si="17"/>
        <v>#NUM!</v>
      </c>
      <c r="E323" s="554" t="e">
        <f t="shared" si="18"/>
        <v>#NUM!</v>
      </c>
      <c r="G323" s="554" t="e">
        <f t="shared" si="19"/>
        <v>#NUM!</v>
      </c>
    </row>
    <row r="324" spans="2:7" x14ac:dyDescent="0.3">
      <c r="B324" s="556">
        <v>315</v>
      </c>
      <c r="C324" s="554" t="e">
        <f t="shared" si="16"/>
        <v>#NUM!</v>
      </c>
      <c r="D324" s="554" t="e">
        <f t="shared" si="17"/>
        <v>#NUM!</v>
      </c>
      <c r="E324" s="554" t="e">
        <f t="shared" si="18"/>
        <v>#NUM!</v>
      </c>
      <c r="G324" s="554" t="e">
        <f t="shared" si="19"/>
        <v>#NUM!</v>
      </c>
    </row>
    <row r="325" spans="2:7" x14ac:dyDescent="0.3">
      <c r="B325" s="556">
        <v>316</v>
      </c>
      <c r="C325" s="554" t="e">
        <f t="shared" si="16"/>
        <v>#NUM!</v>
      </c>
      <c r="D325" s="554" t="e">
        <f t="shared" si="17"/>
        <v>#NUM!</v>
      </c>
      <c r="E325" s="554" t="e">
        <f t="shared" si="18"/>
        <v>#NUM!</v>
      </c>
      <c r="G325" s="554" t="e">
        <f t="shared" si="19"/>
        <v>#NUM!</v>
      </c>
    </row>
    <row r="326" spans="2:7" x14ac:dyDescent="0.3">
      <c r="B326" s="556">
        <v>317</v>
      </c>
      <c r="C326" s="554" t="e">
        <f t="shared" si="16"/>
        <v>#NUM!</v>
      </c>
      <c r="D326" s="554" t="e">
        <f t="shared" si="17"/>
        <v>#NUM!</v>
      </c>
      <c r="E326" s="554" t="e">
        <f t="shared" si="18"/>
        <v>#NUM!</v>
      </c>
      <c r="G326" s="554" t="e">
        <f t="shared" si="19"/>
        <v>#NUM!</v>
      </c>
    </row>
    <row r="327" spans="2:7" x14ac:dyDescent="0.3">
      <c r="B327" s="556">
        <v>318</v>
      </c>
      <c r="C327" s="554" t="e">
        <f t="shared" si="16"/>
        <v>#NUM!</v>
      </c>
      <c r="D327" s="554" t="e">
        <f t="shared" si="17"/>
        <v>#NUM!</v>
      </c>
      <c r="E327" s="554" t="e">
        <f t="shared" si="18"/>
        <v>#NUM!</v>
      </c>
      <c r="G327" s="554" t="e">
        <f t="shared" si="19"/>
        <v>#NUM!</v>
      </c>
    </row>
    <row r="328" spans="2:7" x14ac:dyDescent="0.3">
      <c r="B328" s="556">
        <v>319</v>
      </c>
      <c r="C328" s="554" t="e">
        <f t="shared" si="16"/>
        <v>#NUM!</v>
      </c>
      <c r="D328" s="554" t="e">
        <f t="shared" si="17"/>
        <v>#NUM!</v>
      </c>
      <c r="E328" s="554" t="e">
        <f t="shared" si="18"/>
        <v>#NUM!</v>
      </c>
      <c r="G328" s="554" t="e">
        <f t="shared" si="19"/>
        <v>#NUM!</v>
      </c>
    </row>
    <row r="329" spans="2:7" x14ac:dyDescent="0.3">
      <c r="B329" s="556">
        <v>320</v>
      </c>
      <c r="C329" s="554" t="e">
        <f t="shared" si="16"/>
        <v>#NUM!</v>
      </c>
      <c r="D329" s="554" t="e">
        <f t="shared" si="17"/>
        <v>#NUM!</v>
      </c>
      <c r="E329" s="554" t="e">
        <f t="shared" si="18"/>
        <v>#NUM!</v>
      </c>
      <c r="G329" s="554" t="e">
        <f t="shared" si="19"/>
        <v>#NUM!</v>
      </c>
    </row>
    <row r="330" spans="2:7" x14ac:dyDescent="0.3">
      <c r="B330" s="556">
        <v>321</v>
      </c>
      <c r="C330" s="554" t="e">
        <f t="shared" ref="C330:C371" si="20">IF($C$3&lt;G330+(G330*($C$4/$C$6)),$C$3,G330+(G330*($C$4/$C$6)))</f>
        <v>#NUM!</v>
      </c>
      <c r="D330" s="554" t="e">
        <f t="shared" ref="D330:D371" si="21">G330*$C$4/$C$6</f>
        <v>#NUM!</v>
      </c>
      <c r="E330" s="554" t="e">
        <f t="shared" ref="E330:E371" si="22">C330-D330</f>
        <v>#NUM!</v>
      </c>
      <c r="G330" s="554" t="e">
        <f t="shared" si="19"/>
        <v>#NUM!</v>
      </c>
    </row>
    <row r="331" spans="2:7" x14ac:dyDescent="0.3">
      <c r="B331" s="556">
        <v>322</v>
      </c>
      <c r="C331" s="554" t="e">
        <f t="shared" si="20"/>
        <v>#NUM!</v>
      </c>
      <c r="D331" s="554" t="e">
        <f t="shared" si="21"/>
        <v>#NUM!</v>
      </c>
      <c r="E331" s="554" t="e">
        <f t="shared" si="22"/>
        <v>#NUM!</v>
      </c>
      <c r="G331" s="554" t="e">
        <f t="shared" ref="G331:G371" si="23">G330-E330-F330</f>
        <v>#NUM!</v>
      </c>
    </row>
    <row r="332" spans="2:7" x14ac:dyDescent="0.3">
      <c r="B332" s="556">
        <v>323</v>
      </c>
      <c r="C332" s="554" t="e">
        <f t="shared" si="20"/>
        <v>#NUM!</v>
      </c>
      <c r="D332" s="554" t="e">
        <f t="shared" si="21"/>
        <v>#NUM!</v>
      </c>
      <c r="E332" s="554" t="e">
        <f t="shared" si="22"/>
        <v>#NUM!</v>
      </c>
      <c r="G332" s="554" t="e">
        <f t="shared" si="23"/>
        <v>#NUM!</v>
      </c>
    </row>
    <row r="333" spans="2:7" x14ac:dyDescent="0.3">
      <c r="B333" s="556">
        <v>324</v>
      </c>
      <c r="C333" s="554" t="e">
        <f t="shared" si="20"/>
        <v>#NUM!</v>
      </c>
      <c r="D333" s="554" t="e">
        <f t="shared" si="21"/>
        <v>#NUM!</v>
      </c>
      <c r="E333" s="554" t="e">
        <f t="shared" si="22"/>
        <v>#NUM!</v>
      </c>
      <c r="G333" s="554" t="e">
        <f t="shared" si="23"/>
        <v>#NUM!</v>
      </c>
    </row>
    <row r="334" spans="2:7" x14ac:dyDescent="0.3">
      <c r="B334" s="556">
        <v>325</v>
      </c>
      <c r="C334" s="554" t="e">
        <f t="shared" si="20"/>
        <v>#NUM!</v>
      </c>
      <c r="D334" s="554" t="e">
        <f t="shared" si="21"/>
        <v>#NUM!</v>
      </c>
      <c r="E334" s="554" t="e">
        <f t="shared" si="22"/>
        <v>#NUM!</v>
      </c>
      <c r="G334" s="554" t="e">
        <f t="shared" si="23"/>
        <v>#NUM!</v>
      </c>
    </row>
    <row r="335" spans="2:7" x14ac:dyDescent="0.3">
      <c r="B335" s="556">
        <v>326</v>
      </c>
      <c r="C335" s="554" t="e">
        <f t="shared" si="20"/>
        <v>#NUM!</v>
      </c>
      <c r="D335" s="554" t="e">
        <f t="shared" si="21"/>
        <v>#NUM!</v>
      </c>
      <c r="E335" s="554" t="e">
        <f t="shared" si="22"/>
        <v>#NUM!</v>
      </c>
      <c r="G335" s="554" t="e">
        <f t="shared" si="23"/>
        <v>#NUM!</v>
      </c>
    </row>
    <row r="336" spans="2:7" x14ac:dyDescent="0.3">
      <c r="B336" s="556">
        <v>327</v>
      </c>
      <c r="C336" s="554" t="e">
        <f t="shared" si="20"/>
        <v>#NUM!</v>
      </c>
      <c r="D336" s="554" t="e">
        <f t="shared" si="21"/>
        <v>#NUM!</v>
      </c>
      <c r="E336" s="554" t="e">
        <f t="shared" si="22"/>
        <v>#NUM!</v>
      </c>
      <c r="G336" s="554" t="e">
        <f t="shared" si="23"/>
        <v>#NUM!</v>
      </c>
    </row>
    <row r="337" spans="2:7" x14ac:dyDescent="0.3">
      <c r="B337" s="556">
        <v>328</v>
      </c>
      <c r="C337" s="554" t="e">
        <f t="shared" si="20"/>
        <v>#NUM!</v>
      </c>
      <c r="D337" s="554" t="e">
        <f t="shared" si="21"/>
        <v>#NUM!</v>
      </c>
      <c r="E337" s="554" t="e">
        <f t="shared" si="22"/>
        <v>#NUM!</v>
      </c>
      <c r="G337" s="554" t="e">
        <f t="shared" si="23"/>
        <v>#NUM!</v>
      </c>
    </row>
    <row r="338" spans="2:7" x14ac:dyDescent="0.3">
      <c r="B338" s="556">
        <v>329</v>
      </c>
      <c r="C338" s="554" t="e">
        <f t="shared" si="20"/>
        <v>#NUM!</v>
      </c>
      <c r="D338" s="554" t="e">
        <f t="shared" si="21"/>
        <v>#NUM!</v>
      </c>
      <c r="E338" s="554" t="e">
        <f t="shared" si="22"/>
        <v>#NUM!</v>
      </c>
      <c r="G338" s="554" t="e">
        <f t="shared" si="23"/>
        <v>#NUM!</v>
      </c>
    </row>
    <row r="339" spans="2:7" x14ac:dyDescent="0.3">
      <c r="B339" s="556">
        <v>330</v>
      </c>
      <c r="C339" s="554" t="e">
        <f t="shared" si="20"/>
        <v>#NUM!</v>
      </c>
      <c r="D339" s="554" t="e">
        <f t="shared" si="21"/>
        <v>#NUM!</v>
      </c>
      <c r="E339" s="554" t="e">
        <f t="shared" si="22"/>
        <v>#NUM!</v>
      </c>
      <c r="G339" s="554" t="e">
        <f t="shared" si="23"/>
        <v>#NUM!</v>
      </c>
    </row>
    <row r="340" spans="2:7" x14ac:dyDescent="0.3">
      <c r="B340" s="556">
        <v>331</v>
      </c>
      <c r="C340" s="554" t="e">
        <f t="shared" si="20"/>
        <v>#NUM!</v>
      </c>
      <c r="D340" s="554" t="e">
        <f t="shared" si="21"/>
        <v>#NUM!</v>
      </c>
      <c r="E340" s="554" t="e">
        <f t="shared" si="22"/>
        <v>#NUM!</v>
      </c>
      <c r="G340" s="554" t="e">
        <f t="shared" si="23"/>
        <v>#NUM!</v>
      </c>
    </row>
    <row r="341" spans="2:7" x14ac:dyDescent="0.3">
      <c r="B341" s="556">
        <v>332</v>
      </c>
      <c r="C341" s="554" t="e">
        <f t="shared" si="20"/>
        <v>#NUM!</v>
      </c>
      <c r="D341" s="554" t="e">
        <f t="shared" si="21"/>
        <v>#NUM!</v>
      </c>
      <c r="E341" s="554" t="e">
        <f t="shared" si="22"/>
        <v>#NUM!</v>
      </c>
      <c r="G341" s="554" t="e">
        <f t="shared" si="23"/>
        <v>#NUM!</v>
      </c>
    </row>
    <row r="342" spans="2:7" x14ac:dyDescent="0.3">
      <c r="B342" s="556">
        <v>333</v>
      </c>
      <c r="C342" s="554" t="e">
        <f t="shared" si="20"/>
        <v>#NUM!</v>
      </c>
      <c r="D342" s="554" t="e">
        <f t="shared" si="21"/>
        <v>#NUM!</v>
      </c>
      <c r="E342" s="554" t="e">
        <f t="shared" si="22"/>
        <v>#NUM!</v>
      </c>
      <c r="G342" s="554" t="e">
        <f t="shared" si="23"/>
        <v>#NUM!</v>
      </c>
    </row>
    <row r="343" spans="2:7" x14ac:dyDescent="0.3">
      <c r="B343" s="556">
        <v>334</v>
      </c>
      <c r="C343" s="554" t="e">
        <f t="shared" si="20"/>
        <v>#NUM!</v>
      </c>
      <c r="D343" s="554" t="e">
        <f t="shared" si="21"/>
        <v>#NUM!</v>
      </c>
      <c r="E343" s="554" t="e">
        <f t="shared" si="22"/>
        <v>#NUM!</v>
      </c>
      <c r="G343" s="554" t="e">
        <f t="shared" si="23"/>
        <v>#NUM!</v>
      </c>
    </row>
    <row r="344" spans="2:7" x14ac:dyDescent="0.3">
      <c r="B344" s="556">
        <v>335</v>
      </c>
      <c r="C344" s="554" t="e">
        <f t="shared" si="20"/>
        <v>#NUM!</v>
      </c>
      <c r="D344" s="554" t="e">
        <f t="shared" si="21"/>
        <v>#NUM!</v>
      </c>
      <c r="E344" s="554" t="e">
        <f t="shared" si="22"/>
        <v>#NUM!</v>
      </c>
      <c r="G344" s="554" t="e">
        <f t="shared" si="23"/>
        <v>#NUM!</v>
      </c>
    </row>
    <row r="345" spans="2:7" x14ac:dyDescent="0.3">
      <c r="B345" s="556">
        <v>336</v>
      </c>
      <c r="C345" s="554" t="e">
        <f t="shared" si="20"/>
        <v>#NUM!</v>
      </c>
      <c r="D345" s="554" t="e">
        <f t="shared" si="21"/>
        <v>#NUM!</v>
      </c>
      <c r="E345" s="554" t="e">
        <f t="shared" si="22"/>
        <v>#NUM!</v>
      </c>
      <c r="G345" s="554" t="e">
        <f t="shared" si="23"/>
        <v>#NUM!</v>
      </c>
    </row>
    <row r="346" spans="2:7" x14ac:dyDescent="0.3">
      <c r="B346" s="556">
        <v>337</v>
      </c>
      <c r="C346" s="554" t="e">
        <f t="shared" si="20"/>
        <v>#NUM!</v>
      </c>
      <c r="D346" s="554" t="e">
        <f t="shared" si="21"/>
        <v>#NUM!</v>
      </c>
      <c r="E346" s="554" t="e">
        <f t="shared" si="22"/>
        <v>#NUM!</v>
      </c>
      <c r="G346" s="554" t="e">
        <f t="shared" si="23"/>
        <v>#NUM!</v>
      </c>
    </row>
    <row r="347" spans="2:7" x14ac:dyDescent="0.3">
      <c r="B347" s="556">
        <v>338</v>
      </c>
      <c r="C347" s="554" t="e">
        <f t="shared" si="20"/>
        <v>#NUM!</v>
      </c>
      <c r="D347" s="554" t="e">
        <f t="shared" si="21"/>
        <v>#NUM!</v>
      </c>
      <c r="E347" s="554" t="e">
        <f t="shared" si="22"/>
        <v>#NUM!</v>
      </c>
      <c r="G347" s="554" t="e">
        <f t="shared" si="23"/>
        <v>#NUM!</v>
      </c>
    </row>
    <row r="348" spans="2:7" x14ac:dyDescent="0.3">
      <c r="B348" s="556">
        <v>339</v>
      </c>
      <c r="C348" s="554" t="e">
        <f t="shared" si="20"/>
        <v>#NUM!</v>
      </c>
      <c r="D348" s="554" t="e">
        <f t="shared" si="21"/>
        <v>#NUM!</v>
      </c>
      <c r="E348" s="554" t="e">
        <f t="shared" si="22"/>
        <v>#NUM!</v>
      </c>
      <c r="G348" s="554" t="e">
        <f t="shared" si="23"/>
        <v>#NUM!</v>
      </c>
    </row>
    <row r="349" spans="2:7" x14ac:dyDescent="0.3">
      <c r="B349" s="556">
        <v>340</v>
      </c>
      <c r="C349" s="554" t="e">
        <f t="shared" si="20"/>
        <v>#NUM!</v>
      </c>
      <c r="D349" s="554" t="e">
        <f t="shared" si="21"/>
        <v>#NUM!</v>
      </c>
      <c r="E349" s="554" t="e">
        <f t="shared" si="22"/>
        <v>#NUM!</v>
      </c>
      <c r="G349" s="554" t="e">
        <f t="shared" si="23"/>
        <v>#NUM!</v>
      </c>
    </row>
    <row r="350" spans="2:7" x14ac:dyDescent="0.3">
      <c r="B350" s="556">
        <v>341</v>
      </c>
      <c r="C350" s="554" t="e">
        <f t="shared" si="20"/>
        <v>#NUM!</v>
      </c>
      <c r="D350" s="554" t="e">
        <f t="shared" si="21"/>
        <v>#NUM!</v>
      </c>
      <c r="E350" s="554" t="e">
        <f t="shared" si="22"/>
        <v>#NUM!</v>
      </c>
      <c r="G350" s="554" t="e">
        <f t="shared" si="23"/>
        <v>#NUM!</v>
      </c>
    </row>
    <row r="351" spans="2:7" x14ac:dyDescent="0.3">
      <c r="B351" s="556">
        <v>342</v>
      </c>
      <c r="C351" s="554" t="e">
        <f t="shared" si="20"/>
        <v>#NUM!</v>
      </c>
      <c r="D351" s="554" t="e">
        <f t="shared" si="21"/>
        <v>#NUM!</v>
      </c>
      <c r="E351" s="554" t="e">
        <f t="shared" si="22"/>
        <v>#NUM!</v>
      </c>
      <c r="G351" s="554" t="e">
        <f t="shared" si="23"/>
        <v>#NUM!</v>
      </c>
    </row>
    <row r="352" spans="2:7" x14ac:dyDescent="0.3">
      <c r="B352" s="556">
        <v>343</v>
      </c>
      <c r="C352" s="554" t="e">
        <f t="shared" si="20"/>
        <v>#NUM!</v>
      </c>
      <c r="D352" s="554" t="e">
        <f t="shared" si="21"/>
        <v>#NUM!</v>
      </c>
      <c r="E352" s="554" t="e">
        <f t="shared" si="22"/>
        <v>#NUM!</v>
      </c>
      <c r="G352" s="554" t="e">
        <f t="shared" si="23"/>
        <v>#NUM!</v>
      </c>
    </row>
    <row r="353" spans="2:7" x14ac:dyDescent="0.3">
      <c r="B353" s="556">
        <v>344</v>
      </c>
      <c r="C353" s="554" t="e">
        <f t="shared" si="20"/>
        <v>#NUM!</v>
      </c>
      <c r="D353" s="554" t="e">
        <f t="shared" si="21"/>
        <v>#NUM!</v>
      </c>
      <c r="E353" s="554" t="e">
        <f t="shared" si="22"/>
        <v>#NUM!</v>
      </c>
      <c r="G353" s="554" t="e">
        <f t="shared" si="23"/>
        <v>#NUM!</v>
      </c>
    </row>
    <row r="354" spans="2:7" x14ac:dyDescent="0.3">
      <c r="B354" s="556">
        <v>345</v>
      </c>
      <c r="C354" s="554" t="e">
        <f t="shared" si="20"/>
        <v>#NUM!</v>
      </c>
      <c r="D354" s="554" t="e">
        <f t="shared" si="21"/>
        <v>#NUM!</v>
      </c>
      <c r="E354" s="554" t="e">
        <f t="shared" si="22"/>
        <v>#NUM!</v>
      </c>
      <c r="G354" s="554" t="e">
        <f t="shared" si="23"/>
        <v>#NUM!</v>
      </c>
    </row>
    <row r="355" spans="2:7" x14ac:dyDescent="0.3">
      <c r="B355" s="556">
        <v>346</v>
      </c>
      <c r="C355" s="554" t="e">
        <f t="shared" si="20"/>
        <v>#NUM!</v>
      </c>
      <c r="D355" s="554" t="e">
        <f t="shared" si="21"/>
        <v>#NUM!</v>
      </c>
      <c r="E355" s="554" t="e">
        <f t="shared" si="22"/>
        <v>#NUM!</v>
      </c>
      <c r="G355" s="554" t="e">
        <f t="shared" si="23"/>
        <v>#NUM!</v>
      </c>
    </row>
    <row r="356" spans="2:7" x14ac:dyDescent="0.3">
      <c r="B356" s="556">
        <v>347</v>
      </c>
      <c r="C356" s="554" t="e">
        <f t="shared" si="20"/>
        <v>#NUM!</v>
      </c>
      <c r="D356" s="554" t="e">
        <f t="shared" si="21"/>
        <v>#NUM!</v>
      </c>
      <c r="E356" s="554" t="e">
        <f t="shared" si="22"/>
        <v>#NUM!</v>
      </c>
      <c r="G356" s="554" t="e">
        <f t="shared" si="23"/>
        <v>#NUM!</v>
      </c>
    </row>
    <row r="357" spans="2:7" x14ac:dyDescent="0.3">
      <c r="B357" s="556">
        <v>348</v>
      </c>
      <c r="C357" s="554" t="e">
        <f t="shared" si="20"/>
        <v>#NUM!</v>
      </c>
      <c r="D357" s="554" t="e">
        <f t="shared" si="21"/>
        <v>#NUM!</v>
      </c>
      <c r="E357" s="554" t="e">
        <f t="shared" si="22"/>
        <v>#NUM!</v>
      </c>
      <c r="G357" s="554" t="e">
        <f t="shared" si="23"/>
        <v>#NUM!</v>
      </c>
    </row>
    <row r="358" spans="2:7" x14ac:dyDescent="0.3">
      <c r="B358" s="556">
        <v>349</v>
      </c>
      <c r="C358" s="554" t="e">
        <f t="shared" si="20"/>
        <v>#NUM!</v>
      </c>
      <c r="D358" s="554" t="e">
        <f t="shared" si="21"/>
        <v>#NUM!</v>
      </c>
      <c r="E358" s="554" t="e">
        <f t="shared" si="22"/>
        <v>#NUM!</v>
      </c>
      <c r="G358" s="554" t="e">
        <f t="shared" si="23"/>
        <v>#NUM!</v>
      </c>
    </row>
    <row r="359" spans="2:7" x14ac:dyDescent="0.3">
      <c r="B359" s="556">
        <v>350</v>
      </c>
      <c r="C359" s="554" t="e">
        <f t="shared" si="20"/>
        <v>#NUM!</v>
      </c>
      <c r="D359" s="554" t="e">
        <f t="shared" si="21"/>
        <v>#NUM!</v>
      </c>
      <c r="E359" s="554" t="e">
        <f t="shared" si="22"/>
        <v>#NUM!</v>
      </c>
      <c r="G359" s="554" t="e">
        <f t="shared" si="23"/>
        <v>#NUM!</v>
      </c>
    </row>
    <row r="360" spans="2:7" x14ac:dyDescent="0.3">
      <c r="B360" s="556">
        <v>351</v>
      </c>
      <c r="C360" s="554" t="e">
        <f t="shared" si="20"/>
        <v>#NUM!</v>
      </c>
      <c r="D360" s="554" t="e">
        <f t="shared" si="21"/>
        <v>#NUM!</v>
      </c>
      <c r="E360" s="554" t="e">
        <f t="shared" si="22"/>
        <v>#NUM!</v>
      </c>
      <c r="G360" s="554" t="e">
        <f t="shared" si="23"/>
        <v>#NUM!</v>
      </c>
    </row>
    <row r="361" spans="2:7" x14ac:dyDescent="0.3">
      <c r="B361" s="556">
        <v>352</v>
      </c>
      <c r="C361" s="554" t="e">
        <f t="shared" si="20"/>
        <v>#NUM!</v>
      </c>
      <c r="D361" s="554" t="e">
        <f t="shared" si="21"/>
        <v>#NUM!</v>
      </c>
      <c r="E361" s="554" t="e">
        <f t="shared" si="22"/>
        <v>#NUM!</v>
      </c>
      <c r="G361" s="554" t="e">
        <f t="shared" si="23"/>
        <v>#NUM!</v>
      </c>
    </row>
    <row r="362" spans="2:7" x14ac:dyDescent="0.3">
      <c r="B362" s="556">
        <v>353</v>
      </c>
      <c r="C362" s="554" t="e">
        <f t="shared" si="20"/>
        <v>#NUM!</v>
      </c>
      <c r="D362" s="554" t="e">
        <f t="shared" si="21"/>
        <v>#NUM!</v>
      </c>
      <c r="E362" s="554" t="e">
        <f t="shared" si="22"/>
        <v>#NUM!</v>
      </c>
      <c r="G362" s="554" t="e">
        <f t="shared" si="23"/>
        <v>#NUM!</v>
      </c>
    </row>
    <row r="363" spans="2:7" x14ac:dyDescent="0.3">
      <c r="B363" s="556">
        <v>354</v>
      </c>
      <c r="C363" s="554" t="e">
        <f t="shared" si="20"/>
        <v>#NUM!</v>
      </c>
      <c r="D363" s="554" t="e">
        <f t="shared" si="21"/>
        <v>#NUM!</v>
      </c>
      <c r="E363" s="554" t="e">
        <f t="shared" si="22"/>
        <v>#NUM!</v>
      </c>
      <c r="G363" s="554" t="e">
        <f t="shared" si="23"/>
        <v>#NUM!</v>
      </c>
    </row>
    <row r="364" spans="2:7" x14ac:dyDescent="0.3">
      <c r="B364" s="556">
        <v>355</v>
      </c>
      <c r="C364" s="554" t="e">
        <f t="shared" si="20"/>
        <v>#NUM!</v>
      </c>
      <c r="D364" s="554" t="e">
        <f t="shared" si="21"/>
        <v>#NUM!</v>
      </c>
      <c r="E364" s="554" t="e">
        <f t="shared" si="22"/>
        <v>#NUM!</v>
      </c>
      <c r="G364" s="554" t="e">
        <f t="shared" si="23"/>
        <v>#NUM!</v>
      </c>
    </row>
    <row r="365" spans="2:7" x14ac:dyDescent="0.3">
      <c r="B365" s="556">
        <v>356</v>
      </c>
      <c r="C365" s="554" t="e">
        <f t="shared" si="20"/>
        <v>#NUM!</v>
      </c>
      <c r="D365" s="554" t="e">
        <f t="shared" si="21"/>
        <v>#NUM!</v>
      </c>
      <c r="E365" s="554" t="e">
        <f t="shared" si="22"/>
        <v>#NUM!</v>
      </c>
      <c r="G365" s="554" t="e">
        <f t="shared" si="23"/>
        <v>#NUM!</v>
      </c>
    </row>
    <row r="366" spans="2:7" x14ac:dyDescent="0.3">
      <c r="B366" s="556">
        <v>357</v>
      </c>
      <c r="C366" s="554" t="e">
        <f t="shared" si="20"/>
        <v>#NUM!</v>
      </c>
      <c r="D366" s="554" t="e">
        <f t="shared" si="21"/>
        <v>#NUM!</v>
      </c>
      <c r="E366" s="554" t="e">
        <f t="shared" si="22"/>
        <v>#NUM!</v>
      </c>
      <c r="G366" s="554" t="e">
        <f t="shared" si="23"/>
        <v>#NUM!</v>
      </c>
    </row>
    <row r="367" spans="2:7" x14ac:dyDescent="0.3">
      <c r="B367" s="556">
        <v>358</v>
      </c>
      <c r="C367" s="554" t="e">
        <f t="shared" si="20"/>
        <v>#NUM!</v>
      </c>
      <c r="D367" s="554" t="e">
        <f t="shared" si="21"/>
        <v>#NUM!</v>
      </c>
      <c r="E367" s="554" t="e">
        <f t="shared" si="22"/>
        <v>#NUM!</v>
      </c>
      <c r="G367" s="554" t="e">
        <f t="shared" si="23"/>
        <v>#NUM!</v>
      </c>
    </row>
    <row r="368" spans="2:7" x14ac:dyDescent="0.3">
      <c r="B368" s="556">
        <v>359</v>
      </c>
      <c r="C368" s="554" t="e">
        <f t="shared" si="20"/>
        <v>#NUM!</v>
      </c>
      <c r="D368" s="554" t="e">
        <f t="shared" si="21"/>
        <v>#NUM!</v>
      </c>
      <c r="E368" s="554" t="e">
        <f t="shared" si="22"/>
        <v>#NUM!</v>
      </c>
      <c r="G368" s="554" t="e">
        <f t="shared" si="23"/>
        <v>#NUM!</v>
      </c>
    </row>
    <row r="369" spans="2:7" x14ac:dyDescent="0.3">
      <c r="B369" s="556">
        <v>360</v>
      </c>
      <c r="C369" s="554" t="e">
        <f t="shared" si="20"/>
        <v>#NUM!</v>
      </c>
      <c r="D369" s="554" t="e">
        <f t="shared" si="21"/>
        <v>#NUM!</v>
      </c>
      <c r="E369" s="554" t="e">
        <f t="shared" si="22"/>
        <v>#NUM!</v>
      </c>
      <c r="G369" s="554" t="e">
        <f t="shared" si="23"/>
        <v>#NUM!</v>
      </c>
    </row>
    <row r="370" spans="2:7" x14ac:dyDescent="0.3">
      <c r="B370" s="556">
        <v>361</v>
      </c>
      <c r="C370" s="554" t="e">
        <f t="shared" si="20"/>
        <v>#NUM!</v>
      </c>
      <c r="D370" s="554" t="e">
        <f t="shared" si="21"/>
        <v>#NUM!</v>
      </c>
      <c r="E370" s="554" t="e">
        <f t="shared" si="22"/>
        <v>#NUM!</v>
      </c>
      <c r="G370" s="554" t="e">
        <f t="shared" si="23"/>
        <v>#NUM!</v>
      </c>
    </row>
    <row r="371" spans="2:7" x14ac:dyDescent="0.3">
      <c r="B371" s="556">
        <v>362</v>
      </c>
      <c r="C371" s="554" t="e">
        <f t="shared" si="20"/>
        <v>#NUM!</v>
      </c>
      <c r="D371" s="554" t="e">
        <f t="shared" si="21"/>
        <v>#NUM!</v>
      </c>
      <c r="E371" s="554" t="e">
        <f t="shared" si="22"/>
        <v>#NUM!</v>
      </c>
      <c r="G371" s="554" t="e">
        <f t="shared" si="23"/>
        <v>#NUM!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56"/>
    <col min="2" max="2" width="28.44140625" style="560" customWidth="1"/>
    <col min="3" max="3" width="17.88671875" style="561" customWidth="1"/>
    <col min="4" max="4" width="25.5546875" style="560" customWidth="1"/>
    <col min="5" max="5" width="16" style="561" customWidth="1"/>
    <col min="6" max="6" width="12.77734375" style="562" customWidth="1"/>
    <col min="7" max="7" width="13.5546875" style="562" customWidth="1"/>
    <col min="8" max="8" width="26.33203125" style="556" customWidth="1"/>
    <col min="9" max="9" width="17.21875" style="556" customWidth="1"/>
    <col min="10" max="16384" width="8.77734375" style="556"/>
  </cols>
  <sheetData>
    <row r="1" spans="1:8" x14ac:dyDescent="0.3">
      <c r="A1" s="626" t="s">
        <v>454</v>
      </c>
    </row>
    <row r="2" spans="1:8" ht="15" thickBot="1" x14ac:dyDescent="0.35"/>
    <row r="3" spans="1:8" s="567" customFormat="1" ht="29.4" thickBot="1" x14ac:dyDescent="0.35">
      <c r="B3" s="563" t="s">
        <v>385</v>
      </c>
      <c r="C3" s="564" t="e">
        <f>'Principle Recapture ARV'!C3</f>
        <v>#NUM!</v>
      </c>
      <c r="D3" s="563"/>
      <c r="E3" s="564"/>
      <c r="F3" s="565" t="s">
        <v>445</v>
      </c>
      <c r="G3" s="566" t="s">
        <v>446</v>
      </c>
      <c r="H3"/>
    </row>
    <row r="4" spans="1:8" x14ac:dyDescent="0.3">
      <c r="B4" s="568" t="s">
        <v>384</v>
      </c>
      <c r="C4" s="569" t="e">
        <f>SUM('Principle Recapture ARV'!E9:E20)</f>
        <v>#NUM!</v>
      </c>
      <c r="D4" s="570" t="s">
        <v>415</v>
      </c>
      <c r="E4" s="569" t="e">
        <f>SUM('Principle Recapture ARV'!D9:D20)</f>
        <v>#NUM!</v>
      </c>
      <c r="F4" s="571" t="e">
        <f>C4/(C4+E4)</f>
        <v>#NUM!</v>
      </c>
      <c r="G4" s="572" t="e">
        <f>C4/'ROI Detail ARV'!$I$3</f>
        <v>#NUM!</v>
      </c>
      <c r="H4"/>
    </row>
    <row r="5" spans="1:8" x14ac:dyDescent="0.3">
      <c r="B5" s="573" t="s">
        <v>386</v>
      </c>
      <c r="C5" s="574" t="e">
        <f>SUM('Principle Recapture ARV'!E21:E32)</f>
        <v>#NUM!</v>
      </c>
      <c r="D5" s="575" t="s">
        <v>416</v>
      </c>
      <c r="E5" s="574" t="e">
        <f>SUM('Principle Recapture ARV'!D21:D32)</f>
        <v>#NUM!</v>
      </c>
      <c r="F5" s="576" t="e">
        <f t="shared" ref="F5:F33" si="0">C5/(C5+E5)</f>
        <v>#NUM!</v>
      </c>
      <c r="G5" s="572" t="e">
        <f>C5/'ROI Detail ARV'!$I$3</f>
        <v>#NUM!</v>
      </c>
      <c r="H5"/>
    </row>
    <row r="6" spans="1:8" x14ac:dyDescent="0.3">
      <c r="B6" s="573" t="s">
        <v>387</v>
      </c>
      <c r="C6" s="574" t="e">
        <f>SUM('Principle Recapture ARV'!E33:E44)</f>
        <v>#NUM!</v>
      </c>
      <c r="D6" s="575" t="s">
        <v>417</v>
      </c>
      <c r="E6" s="574" t="e">
        <f>SUM('Principle Recapture ARV'!D33:D44)</f>
        <v>#NUM!</v>
      </c>
      <c r="F6" s="576" t="e">
        <f t="shared" si="0"/>
        <v>#NUM!</v>
      </c>
      <c r="G6" s="572" t="e">
        <f>C6/'ROI Detail ARV'!$I$3</f>
        <v>#NUM!</v>
      </c>
      <c r="H6"/>
    </row>
    <row r="7" spans="1:8" x14ac:dyDescent="0.3">
      <c r="B7" s="573" t="s">
        <v>388</v>
      </c>
      <c r="C7" s="574" t="e">
        <f>SUM('Principle Recapture ARV'!E45:E56)</f>
        <v>#NUM!</v>
      </c>
      <c r="D7" s="575" t="s">
        <v>418</v>
      </c>
      <c r="E7" s="574" t="e">
        <f>SUM('Principle Recapture ARV'!D45:D56)</f>
        <v>#NUM!</v>
      </c>
      <c r="F7" s="576" t="e">
        <f t="shared" si="0"/>
        <v>#NUM!</v>
      </c>
      <c r="G7" s="572" t="e">
        <f>C7/'ROI Detail ARV'!$I$3</f>
        <v>#NUM!</v>
      </c>
      <c r="H7"/>
    </row>
    <row r="8" spans="1:8" x14ac:dyDescent="0.3">
      <c r="B8" s="573" t="s">
        <v>389</v>
      </c>
      <c r="C8" s="574" t="e">
        <f>SUM('Principle Recapture ARV'!E57:E68)</f>
        <v>#NUM!</v>
      </c>
      <c r="D8" s="575" t="s">
        <v>419</v>
      </c>
      <c r="E8" s="574" t="e">
        <f>SUM('Principle Recapture ARV'!D57:D68)</f>
        <v>#NUM!</v>
      </c>
      <c r="F8" s="576" t="e">
        <f t="shared" si="0"/>
        <v>#NUM!</v>
      </c>
      <c r="G8" s="572" t="e">
        <f>C8/'ROI Detail ARV'!$I$3</f>
        <v>#NUM!</v>
      </c>
      <c r="H8"/>
    </row>
    <row r="9" spans="1:8" x14ac:dyDescent="0.3">
      <c r="B9" s="573" t="s">
        <v>390</v>
      </c>
      <c r="C9" s="574" t="e">
        <f>SUM('Principle Recapture ARV'!E69:E80)</f>
        <v>#NUM!</v>
      </c>
      <c r="D9" s="575" t="s">
        <v>420</v>
      </c>
      <c r="E9" s="574" t="e">
        <f>SUM('Principle Recapture ARV'!D69:D80)</f>
        <v>#NUM!</v>
      </c>
      <c r="F9" s="576" t="e">
        <f t="shared" si="0"/>
        <v>#NUM!</v>
      </c>
      <c r="G9" s="572" t="e">
        <f>C9/'ROI Detail ARV'!$I$3</f>
        <v>#NUM!</v>
      </c>
      <c r="H9"/>
    </row>
    <row r="10" spans="1:8" x14ac:dyDescent="0.3">
      <c r="B10" s="573" t="s">
        <v>391</v>
      </c>
      <c r="C10" s="574" t="e">
        <f>SUM('Principle Recapture ARV'!E81:E92)</f>
        <v>#NUM!</v>
      </c>
      <c r="D10" s="575" t="s">
        <v>421</v>
      </c>
      <c r="E10" s="574" t="e">
        <f>SUM('Principle Recapture ARV'!D81:D92)</f>
        <v>#NUM!</v>
      </c>
      <c r="F10" s="576" t="e">
        <f t="shared" si="0"/>
        <v>#NUM!</v>
      </c>
      <c r="G10" s="572" t="e">
        <f>C10/'ROI Detail ARV'!$I$3</f>
        <v>#NUM!</v>
      </c>
      <c r="H10"/>
    </row>
    <row r="11" spans="1:8" x14ac:dyDescent="0.3">
      <c r="B11" s="573" t="s">
        <v>392</v>
      </c>
      <c r="C11" s="574" t="e">
        <f>SUM('Principle Recapture ARV'!E93:E104)</f>
        <v>#NUM!</v>
      </c>
      <c r="D11" s="575" t="s">
        <v>422</v>
      </c>
      <c r="E11" s="574" t="e">
        <f>SUM('Principle Recapture ARV'!D93:D104)</f>
        <v>#NUM!</v>
      </c>
      <c r="F11" s="576" t="e">
        <f t="shared" si="0"/>
        <v>#NUM!</v>
      </c>
      <c r="G11" s="572" t="e">
        <f>C11/'ROI Detail ARV'!$I$3</f>
        <v>#NUM!</v>
      </c>
      <c r="H11"/>
    </row>
    <row r="12" spans="1:8" x14ac:dyDescent="0.3">
      <c r="B12" s="573" t="s">
        <v>393</v>
      </c>
      <c r="C12" s="574" t="e">
        <f>SUM('Principle Recapture ARV'!E105:E116)</f>
        <v>#NUM!</v>
      </c>
      <c r="D12" s="575" t="s">
        <v>423</v>
      </c>
      <c r="E12" s="574" t="e">
        <f>SUM('Principle Recapture ARV'!D105:D116)</f>
        <v>#NUM!</v>
      </c>
      <c r="F12" s="576" t="e">
        <f t="shared" si="0"/>
        <v>#NUM!</v>
      </c>
      <c r="G12" s="572" t="e">
        <f>C12/'ROI Detail ARV'!$I$3</f>
        <v>#NUM!</v>
      </c>
      <c r="H12"/>
    </row>
    <row r="13" spans="1:8" x14ac:dyDescent="0.3">
      <c r="B13" s="573" t="s">
        <v>394</v>
      </c>
      <c r="C13" s="574" t="e">
        <f>SUM('Principle Recapture ARV'!E117:E128)</f>
        <v>#NUM!</v>
      </c>
      <c r="D13" s="575" t="s">
        <v>424</v>
      </c>
      <c r="E13" s="574" t="e">
        <f>SUM('Principle Recapture ARV'!D117:D128)</f>
        <v>#NUM!</v>
      </c>
      <c r="F13" s="576" t="e">
        <f t="shared" si="0"/>
        <v>#NUM!</v>
      </c>
      <c r="G13" s="572" t="e">
        <f>C13/'ROI Detail ARV'!$I$3</f>
        <v>#NUM!</v>
      </c>
      <c r="H13"/>
    </row>
    <row r="14" spans="1:8" x14ac:dyDescent="0.3">
      <c r="B14" s="573" t="s">
        <v>395</v>
      </c>
      <c r="C14" s="574" t="e">
        <f>SUM('Principle Recapture ARV'!E129:E140)</f>
        <v>#NUM!</v>
      </c>
      <c r="D14" s="575" t="s">
        <v>425</v>
      </c>
      <c r="E14" s="574" t="e">
        <f>SUM('Principle Recapture ARV'!D129:D140)</f>
        <v>#NUM!</v>
      </c>
      <c r="F14" s="576" t="e">
        <f t="shared" si="0"/>
        <v>#NUM!</v>
      </c>
      <c r="G14" s="572" t="e">
        <f>C14/'ROI Detail ARV'!$I$3</f>
        <v>#NUM!</v>
      </c>
      <c r="H14"/>
    </row>
    <row r="15" spans="1:8" x14ac:dyDescent="0.3">
      <c r="B15" s="573" t="s">
        <v>396</v>
      </c>
      <c r="C15" s="574" t="e">
        <f>SUM('Principle Recapture ARV'!E141:E152)</f>
        <v>#NUM!</v>
      </c>
      <c r="D15" s="575" t="s">
        <v>426</v>
      </c>
      <c r="E15" s="574" t="e">
        <f>SUM('Principle Recapture ARV'!D141:D152)</f>
        <v>#NUM!</v>
      </c>
      <c r="F15" s="576" t="e">
        <f t="shared" si="0"/>
        <v>#NUM!</v>
      </c>
      <c r="G15" s="572" t="e">
        <f>C15/'ROI Detail ARV'!$I$3</f>
        <v>#NUM!</v>
      </c>
      <c r="H15"/>
    </row>
    <row r="16" spans="1:8" x14ac:dyDescent="0.3">
      <c r="B16" s="573" t="s">
        <v>397</v>
      </c>
      <c r="C16" s="574" t="e">
        <f>SUM('Principle Recapture ARV'!E153:E164)</f>
        <v>#NUM!</v>
      </c>
      <c r="D16" s="575" t="s">
        <v>427</v>
      </c>
      <c r="E16" s="574" t="e">
        <f>SUM('Principle Recapture ARV'!D153:D164)</f>
        <v>#NUM!</v>
      </c>
      <c r="F16" s="576" t="e">
        <f t="shared" si="0"/>
        <v>#NUM!</v>
      </c>
      <c r="G16" s="572" t="e">
        <f>C16/'ROI Detail ARV'!$I$3</f>
        <v>#NUM!</v>
      </c>
      <c r="H16"/>
    </row>
    <row r="17" spans="2:8" x14ac:dyDescent="0.3">
      <c r="B17" s="573" t="s">
        <v>398</v>
      </c>
      <c r="C17" s="574" t="e">
        <f>SUM('Principle Recapture ARV'!E165:E176)</f>
        <v>#NUM!</v>
      </c>
      <c r="D17" s="575" t="s">
        <v>428</v>
      </c>
      <c r="E17" s="574" t="e">
        <f>SUM('Principle Recapture ARV'!D165:D176)</f>
        <v>#NUM!</v>
      </c>
      <c r="F17" s="576" t="e">
        <f t="shared" si="0"/>
        <v>#NUM!</v>
      </c>
      <c r="G17" s="572" t="e">
        <f>C17/'ROI Detail ARV'!$I$3</f>
        <v>#NUM!</v>
      </c>
      <c r="H17"/>
    </row>
    <row r="18" spans="2:8" x14ac:dyDescent="0.3">
      <c r="B18" s="573" t="s">
        <v>399</v>
      </c>
      <c r="C18" s="574" t="e">
        <f>SUM('Principle Recapture ARV'!E177:E188)</f>
        <v>#NUM!</v>
      </c>
      <c r="D18" s="575" t="s">
        <v>429</v>
      </c>
      <c r="E18" s="574" t="e">
        <f>SUM('Principle Recapture ARV'!D177:D188)</f>
        <v>#NUM!</v>
      </c>
      <c r="F18" s="576" t="e">
        <f t="shared" si="0"/>
        <v>#NUM!</v>
      </c>
      <c r="G18" s="572" t="e">
        <f>C18/'ROI Detail ARV'!$I$3</f>
        <v>#NUM!</v>
      </c>
    </row>
    <row r="19" spans="2:8" x14ac:dyDescent="0.3">
      <c r="B19" s="573" t="s">
        <v>400</v>
      </c>
      <c r="C19" s="574" t="e">
        <f>SUM('Principle Recapture ARV'!E189:E200)</f>
        <v>#NUM!</v>
      </c>
      <c r="D19" s="575" t="s">
        <v>430</v>
      </c>
      <c r="E19" s="574" t="e">
        <f>SUM('Principle Recapture ARV'!D189:D200)</f>
        <v>#NUM!</v>
      </c>
      <c r="F19" s="576" t="e">
        <f t="shared" si="0"/>
        <v>#NUM!</v>
      </c>
      <c r="G19" s="572" t="e">
        <f>C19/'ROI Detail ARV'!$I$3</f>
        <v>#NUM!</v>
      </c>
    </row>
    <row r="20" spans="2:8" x14ac:dyDescent="0.3">
      <c r="B20" s="573" t="s">
        <v>401</v>
      </c>
      <c r="C20" s="574" t="e">
        <f>SUM('Principle Recapture ARV'!E201:E212)</f>
        <v>#NUM!</v>
      </c>
      <c r="D20" s="575" t="s">
        <v>431</v>
      </c>
      <c r="E20" s="574" t="e">
        <f>SUM('Principle Recapture ARV'!D201:D212)</f>
        <v>#NUM!</v>
      </c>
      <c r="F20" s="576" t="e">
        <f t="shared" si="0"/>
        <v>#NUM!</v>
      </c>
      <c r="G20" s="572" t="e">
        <f>C20/'ROI Detail ARV'!$I$3</f>
        <v>#NUM!</v>
      </c>
    </row>
    <row r="21" spans="2:8" x14ac:dyDescent="0.3">
      <c r="B21" s="573" t="s">
        <v>402</v>
      </c>
      <c r="C21" s="574" t="e">
        <f>SUM('Principle Recapture ARV'!E213:E224)</f>
        <v>#NUM!</v>
      </c>
      <c r="D21" s="575" t="s">
        <v>432</v>
      </c>
      <c r="E21" s="574" t="e">
        <f>SUM('Principle Recapture ARV'!D213:D224)</f>
        <v>#NUM!</v>
      </c>
      <c r="F21" s="576" t="e">
        <f t="shared" si="0"/>
        <v>#NUM!</v>
      </c>
      <c r="G21" s="572" t="e">
        <f>C21/'ROI Detail ARV'!$I$3</f>
        <v>#NUM!</v>
      </c>
    </row>
    <row r="22" spans="2:8" x14ac:dyDescent="0.3">
      <c r="B22" s="573" t="s">
        <v>403</v>
      </c>
      <c r="C22" s="574" t="e">
        <f>SUM('Principle Recapture ARV'!E225:E236)</f>
        <v>#NUM!</v>
      </c>
      <c r="D22" s="575" t="s">
        <v>433</v>
      </c>
      <c r="E22" s="574" t="e">
        <f>SUM('Principle Recapture ARV'!D225:D236)</f>
        <v>#NUM!</v>
      </c>
      <c r="F22" s="576" t="e">
        <f t="shared" si="0"/>
        <v>#NUM!</v>
      </c>
      <c r="G22" s="572" t="e">
        <f>C22/'ROI Detail ARV'!$I$3</f>
        <v>#NUM!</v>
      </c>
    </row>
    <row r="23" spans="2:8" x14ac:dyDescent="0.3">
      <c r="B23" s="573" t="s">
        <v>404</v>
      </c>
      <c r="C23" s="574" t="e">
        <f>SUM('Principle Recapture ARV'!E237:E248)</f>
        <v>#NUM!</v>
      </c>
      <c r="D23" s="575" t="s">
        <v>434</v>
      </c>
      <c r="E23" s="574" t="e">
        <f>SUM('Principle Recapture ARV'!D237:D248)</f>
        <v>#NUM!</v>
      </c>
      <c r="F23" s="576" t="e">
        <f t="shared" si="0"/>
        <v>#NUM!</v>
      </c>
      <c r="G23" s="572" t="e">
        <f>C23/'ROI Detail ARV'!$I$3</f>
        <v>#NUM!</v>
      </c>
    </row>
    <row r="24" spans="2:8" x14ac:dyDescent="0.3">
      <c r="B24" s="573" t="s">
        <v>405</v>
      </c>
      <c r="C24" s="574" t="e">
        <f>SUM('Principle Recapture ARV'!E249:E260)</f>
        <v>#NUM!</v>
      </c>
      <c r="D24" s="575" t="s">
        <v>435</v>
      </c>
      <c r="E24" s="574" t="e">
        <f>SUM('Principle Recapture ARV'!D249:D260)</f>
        <v>#NUM!</v>
      </c>
      <c r="F24" s="576" t="e">
        <f t="shared" si="0"/>
        <v>#NUM!</v>
      </c>
      <c r="G24" s="572" t="e">
        <f>C24/'ROI Detail ARV'!$I$3</f>
        <v>#NUM!</v>
      </c>
    </row>
    <row r="25" spans="2:8" x14ac:dyDescent="0.3">
      <c r="B25" s="573" t="s">
        <v>406</v>
      </c>
      <c r="C25" s="574" t="e">
        <f>SUM('Principle Recapture ARV'!E261:E272)</f>
        <v>#NUM!</v>
      </c>
      <c r="D25" s="575" t="s">
        <v>436</v>
      </c>
      <c r="E25" s="574" t="e">
        <f>SUM('Principle Recapture ARV'!D261:D272)</f>
        <v>#NUM!</v>
      </c>
      <c r="F25" s="576" t="e">
        <f t="shared" si="0"/>
        <v>#NUM!</v>
      </c>
      <c r="G25" s="572" t="e">
        <f>C25/'ROI Detail ARV'!$I$3</f>
        <v>#NUM!</v>
      </c>
    </row>
    <row r="26" spans="2:8" x14ac:dyDescent="0.3">
      <c r="B26" s="573" t="s">
        <v>407</v>
      </c>
      <c r="C26" s="574" t="e">
        <f>SUM('Principle Recapture ARV'!E273:E284)</f>
        <v>#NUM!</v>
      </c>
      <c r="D26" s="575" t="s">
        <v>437</v>
      </c>
      <c r="E26" s="574" t="e">
        <f>SUM('Principle Recapture ARV'!D273:D284)</f>
        <v>#NUM!</v>
      </c>
      <c r="F26" s="576" t="e">
        <f t="shared" si="0"/>
        <v>#NUM!</v>
      </c>
      <c r="G26" s="572" t="e">
        <f>C26/'ROI Detail ARV'!$I$3</f>
        <v>#NUM!</v>
      </c>
    </row>
    <row r="27" spans="2:8" x14ac:dyDescent="0.3">
      <c r="B27" s="573" t="s">
        <v>408</v>
      </c>
      <c r="C27" s="574" t="e">
        <f>SUM('Principle Recapture ARV'!E285:E296)</f>
        <v>#NUM!</v>
      </c>
      <c r="D27" s="575" t="s">
        <v>438</v>
      </c>
      <c r="E27" s="574" t="e">
        <f>SUM('Principle Recapture ARV'!D285:D296)</f>
        <v>#NUM!</v>
      </c>
      <c r="F27" s="576" t="e">
        <f t="shared" si="0"/>
        <v>#NUM!</v>
      </c>
      <c r="G27" s="572" t="e">
        <f>C27/'ROI Detail ARV'!$I$3</f>
        <v>#NUM!</v>
      </c>
    </row>
    <row r="28" spans="2:8" x14ac:dyDescent="0.3">
      <c r="B28" s="573" t="s">
        <v>409</v>
      </c>
      <c r="C28" s="574" t="e">
        <f>SUM('Principle Recapture ARV'!E297:E308)</f>
        <v>#NUM!</v>
      </c>
      <c r="D28" s="575" t="s">
        <v>439</v>
      </c>
      <c r="E28" s="574" t="e">
        <f>SUM('Principle Recapture ARV'!D297:D308)</f>
        <v>#NUM!</v>
      </c>
      <c r="F28" s="576" t="e">
        <f t="shared" si="0"/>
        <v>#NUM!</v>
      </c>
      <c r="G28" s="572" t="e">
        <f>C28/'ROI Detail ARV'!$I$3</f>
        <v>#NUM!</v>
      </c>
    </row>
    <row r="29" spans="2:8" x14ac:dyDescent="0.3">
      <c r="B29" s="573" t="s">
        <v>410</v>
      </c>
      <c r="C29" s="574" t="e">
        <f>SUM('Principle Recapture ARV'!E309:E320)</f>
        <v>#NUM!</v>
      </c>
      <c r="D29" s="575" t="s">
        <v>440</v>
      </c>
      <c r="E29" s="574" t="e">
        <f>SUM('Principle Recapture ARV'!D309:D320)</f>
        <v>#NUM!</v>
      </c>
      <c r="F29" s="576" t="e">
        <f t="shared" si="0"/>
        <v>#NUM!</v>
      </c>
      <c r="G29" s="572" t="e">
        <f>C29/'ROI Detail ARV'!$I$3</f>
        <v>#NUM!</v>
      </c>
    </row>
    <row r="30" spans="2:8" x14ac:dyDescent="0.3">
      <c r="B30" s="573" t="s">
        <v>411</v>
      </c>
      <c r="C30" s="574" t="e">
        <f>SUM('Principle Recapture ARV'!E321:E332)</f>
        <v>#NUM!</v>
      </c>
      <c r="D30" s="575" t="s">
        <v>441</v>
      </c>
      <c r="E30" s="574" t="e">
        <f>SUM('Principle Recapture ARV'!D321:D332)</f>
        <v>#NUM!</v>
      </c>
      <c r="F30" s="576" t="e">
        <f t="shared" si="0"/>
        <v>#NUM!</v>
      </c>
      <c r="G30" s="572" t="e">
        <f>C30/'ROI Detail ARV'!$I$3</f>
        <v>#NUM!</v>
      </c>
    </row>
    <row r="31" spans="2:8" x14ac:dyDescent="0.3">
      <c r="B31" s="573" t="s">
        <v>412</v>
      </c>
      <c r="C31" s="574" t="e">
        <f>SUM('Principle Recapture ARV'!E333:E344)</f>
        <v>#NUM!</v>
      </c>
      <c r="D31" s="575" t="s">
        <v>442</v>
      </c>
      <c r="E31" s="574" t="e">
        <f>SUM('Principle Recapture ARV'!D333:D344)</f>
        <v>#NUM!</v>
      </c>
      <c r="F31" s="576" t="e">
        <f t="shared" si="0"/>
        <v>#NUM!</v>
      </c>
      <c r="G31" s="572" t="e">
        <f>C31/'ROI Detail ARV'!$I$3</f>
        <v>#NUM!</v>
      </c>
    </row>
    <row r="32" spans="2:8" x14ac:dyDescent="0.3">
      <c r="B32" s="573" t="s">
        <v>413</v>
      </c>
      <c r="C32" s="574" t="e">
        <f>SUM('Principle Recapture ARV'!E345:E356)</f>
        <v>#NUM!</v>
      </c>
      <c r="D32" s="575" t="s">
        <v>443</v>
      </c>
      <c r="E32" s="574" t="e">
        <f>SUM('Principle Recapture ARV'!D345:D356)</f>
        <v>#NUM!</v>
      </c>
      <c r="F32" s="576" t="e">
        <f t="shared" si="0"/>
        <v>#NUM!</v>
      </c>
      <c r="G32" s="572" t="e">
        <f>C32/'ROI Detail ARV'!$I$3</f>
        <v>#NUM!</v>
      </c>
    </row>
    <row r="33" spans="2:7" ht="15" thickBot="1" x14ac:dyDescent="0.35">
      <c r="B33" s="577" t="s">
        <v>414</v>
      </c>
      <c r="C33" s="578" t="e">
        <f>SUM('Principle Recapture ARV'!E357:E368)</f>
        <v>#NUM!</v>
      </c>
      <c r="D33" s="579" t="s">
        <v>444</v>
      </c>
      <c r="E33" s="578" t="e">
        <f>SUM('Principle Recapture ARV'!D357:D368)</f>
        <v>#NUM!</v>
      </c>
      <c r="F33" s="580" t="e">
        <f t="shared" si="0"/>
        <v>#NUM!</v>
      </c>
      <c r="G33" s="572" t="e">
        <f>C33/'ROI Detail ARV'!$I$3</f>
        <v>#NUM!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Calculating offering price</vt:lpstr>
      <vt:lpstr>ROI Number insert</vt:lpstr>
      <vt:lpstr>Outputs</vt:lpstr>
      <vt:lpstr>Total Result</vt:lpstr>
      <vt:lpstr>Financial Statement</vt:lpstr>
      <vt:lpstr>ROI details</vt:lpstr>
      <vt:lpstr>Total CF</vt:lpstr>
      <vt:lpstr>PR Result</vt:lpstr>
      <vt:lpstr>RepairMentenance</vt:lpstr>
      <vt:lpstr>Mortgage payment schedule</vt:lpstr>
      <vt:lpstr>Graph</vt:lpstr>
      <vt:lpstr>Capital Budgeting</vt:lpstr>
      <vt:lpstr>Deal structure</vt:lpstr>
      <vt:lpstr>Mortgage Caculator</vt:lpstr>
      <vt:lpstr>Debt payment Calculator</vt:lpstr>
      <vt:lpstr>Financial Statement ARV</vt:lpstr>
      <vt:lpstr>Calculating offering price ARV</vt:lpstr>
      <vt:lpstr>ROI Detail ARV</vt:lpstr>
      <vt:lpstr>ROI Number insert ARV</vt:lpstr>
      <vt:lpstr>Principle Recapture ARV</vt:lpstr>
      <vt:lpstr>PR ARV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2023-02-28T05:40:02Z</dcterms:modified>
</cp:coreProperties>
</file>