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webextensions/webextension1.xml" ContentType="application/vnd.ms-office.webextension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13.xml" ContentType="application/vnd.openxmlformats-officedocument.drawing+xml"/>
  <Override PartName="/xl/ctrlProps/ctrlProp16.xml" ContentType="application/vnd.ms-excel.controlpropertie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\Desktop\REAnalyzingTool\"/>
    </mc:Choice>
  </mc:AlternateContent>
  <xr:revisionPtr revIDLastSave="0" documentId="13_ncr:1_{26347117-6804-4DA8-B9E3-E7F52E40CA70}" xr6:coauthVersionLast="47" xr6:coauthVersionMax="47" xr10:uidLastSave="{00000000-0000-0000-0000-000000000000}"/>
  <workbookProtection workbookAlgorithmName="SHA-512" workbookHashValue="bp8euC9wgaHlkrMvJas8JcBd5pPWXhSMIm3x1imdVYPnCni5tdk5ZraHykiOzgSlbYXr44yu5kCf+GwH9cvTbA==" workbookSaltValue="XPvBmNQxYcrUkrLIFui2eg==" workbookSpinCount="100000" lockStructure="1"/>
  <bookViews>
    <workbookView xWindow="-108" yWindow="-108" windowWidth="23256" windowHeight="12456" firstSheet="1" activeTab="3" xr2:uid="{D473BC54-900F-4A3E-8C3D-C23A812F35C1}"/>
  </bookViews>
  <sheets>
    <sheet name="Table of contents" sheetId="22" r:id="rId1"/>
    <sheet name="Calculating offering price" sheetId="2" r:id="rId2"/>
    <sheet name="ROI Number insert" sheetId="3" r:id="rId3"/>
    <sheet name="Outputs" sheetId="21" r:id="rId4"/>
    <sheet name="Total Result" sheetId="7" r:id="rId5"/>
    <sheet name="Financial Statement" sheetId="9" r:id="rId6"/>
    <sheet name="ROI details" sheetId="8" r:id="rId7"/>
    <sheet name="Total CF" sheetId="20" r:id="rId8"/>
    <sheet name="PR Result" sheetId="18" r:id="rId9"/>
    <sheet name="RepairMentenance" sheetId="23" r:id="rId10"/>
    <sheet name="Mortgage payment schedule" sheetId="6" r:id="rId11"/>
    <sheet name="Graph" sheetId="16" r:id="rId12"/>
    <sheet name="Capital Budgeting" sheetId="10" r:id="rId13"/>
    <sheet name="Deal structure" sheetId="17" r:id="rId14"/>
    <sheet name="Mortgage Caculator" sheetId="4" r:id="rId15"/>
    <sheet name="Debt payment Calculator" sheetId="5" r:id="rId16"/>
    <sheet name="Financial Statement ARV" sheetId="11" r:id="rId17"/>
    <sheet name="Calculating offering price ARV" sheetId="13" r:id="rId18"/>
    <sheet name="ROI Detail ARV" sheetId="12" r:id="rId19"/>
    <sheet name="ROI Number insert ARV" sheetId="14" r:id="rId20"/>
    <sheet name="Principle Recapture ARV" sheetId="15" r:id="rId21"/>
    <sheet name="PR ARV result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21" l="1"/>
  <c r="C6" i="23"/>
  <c r="C7" i="23" s="1"/>
  <c r="C8" i="23" s="1"/>
  <c r="C9" i="23" s="1"/>
  <c r="C10" i="23" s="1"/>
  <c r="C11" i="23" s="1"/>
  <c r="C12" i="23" s="1"/>
  <c r="C13" i="23" s="1"/>
  <c r="C14" i="23" s="1"/>
  <c r="C15" i="23" s="1"/>
  <c r="C16" i="23" s="1"/>
  <c r="C17" i="23" s="1"/>
  <c r="C18" i="23" s="1"/>
  <c r="C19" i="23" s="1"/>
  <c r="C20" i="23" s="1"/>
  <c r="C21" i="23" s="1"/>
  <c r="C22" i="23" s="1"/>
  <c r="C5" i="23"/>
  <c r="C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4" i="23"/>
  <c r="B3" i="23"/>
  <c r="B22" i="21"/>
  <c r="F41" i="3"/>
  <c r="I9" i="10"/>
  <c r="F9" i="10"/>
  <c r="C5" i="2"/>
  <c r="C28" i="2"/>
  <c r="G28" i="2" l="1"/>
  <c r="C32" i="2" l="1"/>
  <c r="I3" i="3" l="1" a="1"/>
  <c r="I3" i="3" s="1"/>
  <c r="B6" i="21"/>
  <c r="B5" i="21"/>
  <c r="B4" i="21"/>
  <c r="B3" i="21"/>
  <c r="B2" i="21"/>
  <c r="B32" i="21"/>
  <c r="C19" i="13"/>
  <c r="F14" i="3"/>
  <c r="C38" i="9" l="1"/>
  <c r="C37" i="9"/>
  <c r="C39" i="9" l="1"/>
  <c r="E44" i="13" l="1"/>
  <c r="E43" i="13"/>
  <c r="D44" i="13"/>
  <c r="D43" i="13"/>
  <c r="C44" i="13"/>
  <c r="C43" i="13"/>
  <c r="C42" i="13"/>
  <c r="E13" i="14" l="1"/>
  <c r="D19" i="7" s="1"/>
  <c r="E6" i="14"/>
  <c r="C87" i="2"/>
  <c r="C95" i="2" s="1"/>
  <c r="C94" i="13" l="1"/>
  <c r="C105" i="13"/>
  <c r="C116" i="13"/>
  <c r="H16" i="8"/>
  <c r="C117" i="2"/>
  <c r="C106" i="2"/>
  <c r="C94" i="2"/>
  <c r="C116" i="2" s="1"/>
  <c r="H16" i="12"/>
  <c r="H56" i="7"/>
  <c r="H24" i="12"/>
  <c r="H24" i="8"/>
  <c r="D37" i="7"/>
  <c r="C6" i="15"/>
  <c r="C5" i="15"/>
  <c r="C4" i="15"/>
  <c r="E40" i="14"/>
  <c r="C12" i="11" s="1"/>
  <c r="E39" i="14"/>
  <c r="C11" i="11" s="1"/>
  <c r="H17" i="14"/>
  <c r="C21" i="11" s="1"/>
  <c r="H8" i="14"/>
  <c r="H7" i="14"/>
  <c r="H6" i="14"/>
  <c r="H5" i="14"/>
  <c r="H3" i="14"/>
  <c r="F7" i="4"/>
  <c r="F5" i="4"/>
  <c r="F8" i="4" s="1"/>
  <c r="C110" i="13"/>
  <c r="C117" i="13" s="1"/>
  <c r="H21" i="12" s="1"/>
  <c r="C99" i="13"/>
  <c r="C88" i="13"/>
  <c r="C87" i="13"/>
  <c r="E17" i="14"/>
  <c r="E50" i="14" s="1"/>
  <c r="H28" i="12" s="1"/>
  <c r="E18" i="14"/>
  <c r="E3" i="14"/>
  <c r="C5" i="11"/>
  <c r="C34" i="13"/>
  <c r="C52" i="13" s="1"/>
  <c r="C32" i="13"/>
  <c r="H18" i="14" s="1"/>
  <c r="E38" i="14" s="1"/>
  <c r="C9" i="11" s="1"/>
  <c r="C30" i="13"/>
  <c r="H16" i="14" s="1"/>
  <c r="C17" i="11" s="1"/>
  <c r="C28" i="13"/>
  <c r="H14" i="14" s="1"/>
  <c r="E32" i="14" s="1"/>
  <c r="C13" i="13"/>
  <c r="C6" i="13"/>
  <c r="C4" i="13"/>
  <c r="C79" i="13" s="1"/>
  <c r="C3" i="13"/>
  <c r="E40" i="13" s="1"/>
  <c r="F6" i="5"/>
  <c r="F18" i="4"/>
  <c r="F19" i="4" s="1"/>
  <c r="E9" i="14"/>
  <c r="F4" i="4" s="1"/>
  <c r="E2" i="14"/>
  <c r="C89" i="13"/>
  <c r="C75" i="13"/>
  <c r="C74" i="13"/>
  <c r="C73" i="13"/>
  <c r="C72" i="13"/>
  <c r="C69" i="13"/>
  <c r="E68" i="13"/>
  <c r="D68" i="13"/>
  <c r="C68" i="13"/>
  <c r="C51" i="13"/>
  <c r="C57" i="13" s="1"/>
  <c r="E23" i="14" s="1"/>
  <c r="E45" i="13"/>
  <c r="D45" i="13"/>
  <c r="C45" i="13"/>
  <c r="C46" i="13" s="1"/>
  <c r="C21" i="13" s="1"/>
  <c r="E42" i="13"/>
  <c r="D42" i="13"/>
  <c r="E41" i="13"/>
  <c r="D41" i="13"/>
  <c r="B23" i="13"/>
  <c r="B22" i="13"/>
  <c r="H29" i="12"/>
  <c r="C27" i="7"/>
  <c r="C2" i="7"/>
  <c r="C18" i="11" l="1"/>
  <c r="D31" i="7" s="1"/>
  <c r="H20" i="14"/>
  <c r="H21" i="14" s="1"/>
  <c r="F3" i="4"/>
  <c r="C41" i="7"/>
  <c r="C91" i="13"/>
  <c r="C102" i="13" s="1"/>
  <c r="C113" i="13" s="1"/>
  <c r="C114" i="13" s="1"/>
  <c r="C115" i="13" s="1"/>
  <c r="C106" i="13"/>
  <c r="H20" i="12" s="1"/>
  <c r="C70" i="13"/>
  <c r="C76" i="13" s="1"/>
  <c r="C105" i="2"/>
  <c r="C40" i="13"/>
  <c r="D40" i="13"/>
  <c r="F9" i="4"/>
  <c r="F10" i="4" s="1"/>
  <c r="F11" i="4" s="1"/>
  <c r="C4" i="11"/>
  <c r="E24" i="14"/>
  <c r="E26" i="14" s="1"/>
  <c r="C6" i="11" s="1"/>
  <c r="C95" i="13"/>
  <c r="H19" i="12" s="1"/>
  <c r="C29" i="13"/>
  <c r="C60" i="13"/>
  <c r="C63" i="13" s="1"/>
  <c r="C90" i="13"/>
  <c r="E11" i="14"/>
  <c r="E12" i="14" s="1"/>
  <c r="H11" i="14" s="1"/>
  <c r="C71" i="13"/>
  <c r="C82" i="13" s="1"/>
  <c r="C58" i="13"/>
  <c r="C35" i="13"/>
  <c r="E36" i="14"/>
  <c r="E37" i="14" s="1"/>
  <c r="C14" i="11" s="1"/>
  <c r="H15" i="14"/>
  <c r="C112" i="13"/>
  <c r="C101" i="13"/>
  <c r="B23" i="2"/>
  <c r="B22" i="2"/>
  <c r="C59" i="13" l="1"/>
  <c r="C23" i="13" s="1"/>
  <c r="C103" i="13"/>
  <c r="C104" i="13" s="1"/>
  <c r="C2" i="15"/>
  <c r="G9" i="15" s="1"/>
  <c r="D9" i="15" s="1"/>
  <c r="C92" i="13"/>
  <c r="C93" i="13" s="1"/>
  <c r="C3" i="11"/>
  <c r="D30" i="7" s="1"/>
  <c r="E33" i="14"/>
  <c r="E34" i="14" s="1"/>
  <c r="C13" i="11" s="1"/>
  <c r="C26" i="13"/>
  <c r="C3" i="15"/>
  <c r="E27" i="14"/>
  <c r="C77" i="13"/>
  <c r="C78" i="13" s="1"/>
  <c r="C64" i="13"/>
  <c r="C96" i="13"/>
  <c r="C107" i="13"/>
  <c r="C118" i="13"/>
  <c r="C26" i="7"/>
  <c r="D32" i="21" s="1"/>
  <c r="E32" i="21" s="1"/>
  <c r="D32" i="17" l="1"/>
  <c r="C9" i="15"/>
  <c r="E9" i="15" s="1"/>
  <c r="G10" i="15" s="1"/>
  <c r="D10" i="15" s="1"/>
  <c r="C3" i="19"/>
  <c r="E42" i="14"/>
  <c r="C15" i="11" s="1"/>
  <c r="E41" i="14"/>
  <c r="C27" i="13"/>
  <c r="D36" i="7" s="1"/>
  <c r="H12" i="14"/>
  <c r="C22" i="13"/>
  <c r="C83" i="13"/>
  <c r="C3" i="4"/>
  <c r="D34" i="7" l="1"/>
  <c r="C8" i="11"/>
  <c r="D33" i="7"/>
  <c r="C10" i="15"/>
  <c r="E10" i="15" s="1"/>
  <c r="H13" i="14"/>
  <c r="E29" i="14"/>
  <c r="E30" i="14" s="1"/>
  <c r="C4" i="7"/>
  <c r="C3" i="7"/>
  <c r="E46" i="14" l="1"/>
  <c r="C20" i="11"/>
  <c r="G11" i="15"/>
  <c r="C1" i="7"/>
  <c r="C11" i="7" s="1"/>
  <c r="D11" i="15" l="1"/>
  <c r="C11" i="15"/>
  <c r="D11" i="7"/>
  <c r="C12" i="9"/>
  <c r="C11" i="9"/>
  <c r="C5" i="9"/>
  <c r="E11" i="15" l="1"/>
  <c r="C89" i="2"/>
  <c r="C90" i="2" s="1"/>
  <c r="G12" i="15" l="1"/>
  <c r="D12" i="15" s="1"/>
  <c r="C112" i="2"/>
  <c r="C101" i="2"/>
  <c r="I17" i="3"/>
  <c r="C18" i="4"/>
  <c r="C19" i="4" s="1"/>
  <c r="C12" i="15" l="1"/>
  <c r="E12" i="15" s="1"/>
  <c r="G13" i="15" s="1"/>
  <c r="C37" i="7"/>
  <c r="E37" i="7" s="1"/>
  <c r="C21" i="9"/>
  <c r="C5" i="4"/>
  <c r="C7" i="4"/>
  <c r="C4" i="4"/>
  <c r="C6" i="6"/>
  <c r="C5" i="6"/>
  <c r="C4" i="6"/>
  <c r="C31" i="7"/>
  <c r="E31" i="7" s="1"/>
  <c r="F2" i="3"/>
  <c r="C14" i="7" s="1"/>
  <c r="F13" i="3"/>
  <c r="H27" i="12" s="1"/>
  <c r="F9" i="3"/>
  <c r="C27" i="10" s="1"/>
  <c r="C25" i="7"/>
  <c r="C23" i="7"/>
  <c r="H29" i="8"/>
  <c r="I20" i="3"/>
  <c r="I18" i="3"/>
  <c r="I14" i="3"/>
  <c r="D31" i="17" l="1"/>
  <c r="D33" i="17" s="1"/>
  <c r="D34" i="17" s="1"/>
  <c r="D35" i="17" s="1"/>
  <c r="D36" i="17" s="1"/>
  <c r="D37" i="17" s="1"/>
  <c r="D13" i="15"/>
  <c r="C13" i="15"/>
  <c r="C19" i="7"/>
  <c r="B8" i="21" s="1"/>
  <c r="C6" i="10"/>
  <c r="I13" i="10"/>
  <c r="I21" i="10"/>
  <c r="I29" i="10"/>
  <c r="F27" i="10"/>
  <c r="H27" i="8"/>
  <c r="E13" i="15" l="1"/>
  <c r="G14" i="15" s="1"/>
  <c r="I6" i="10"/>
  <c r="F6" i="10"/>
  <c r="C6" i="5"/>
  <c r="C30" i="2" s="1"/>
  <c r="I16" i="3" s="1"/>
  <c r="C17" i="9" s="1"/>
  <c r="C8" i="4"/>
  <c r="F32" i="3"/>
  <c r="F38" i="3"/>
  <c r="C9" i="9" s="1"/>
  <c r="I15" i="3"/>
  <c r="C91" i="2"/>
  <c r="C102" i="2" s="1"/>
  <c r="C113" i="2" s="1"/>
  <c r="C79" i="2"/>
  <c r="C74" i="2"/>
  <c r="C73" i="2"/>
  <c r="C72" i="2"/>
  <c r="C69" i="2"/>
  <c r="E68" i="2"/>
  <c r="D68" i="2"/>
  <c r="C68" i="2"/>
  <c r="C60" i="2"/>
  <c r="C75" i="2"/>
  <c r="C52" i="2"/>
  <c r="C71" i="2" s="1"/>
  <c r="C51" i="2"/>
  <c r="C4" i="9" s="1"/>
  <c r="C46" i="2"/>
  <c r="C21" i="2" s="1"/>
  <c r="E45" i="2"/>
  <c r="D45" i="2"/>
  <c r="C45" i="2"/>
  <c r="E42" i="2"/>
  <c r="D42" i="2"/>
  <c r="E41" i="2"/>
  <c r="D41" i="2"/>
  <c r="E40" i="2"/>
  <c r="D40" i="2"/>
  <c r="C40" i="2"/>
  <c r="C35" i="2"/>
  <c r="C29" i="2"/>
  <c r="C18" i="9" l="1"/>
  <c r="D14" i="15"/>
  <c r="C14" i="15"/>
  <c r="C82" i="2"/>
  <c r="C70" i="2"/>
  <c r="C76" i="2" s="1"/>
  <c r="C77" i="2" s="1"/>
  <c r="C78" i="2" s="1"/>
  <c r="C22" i="2" s="1"/>
  <c r="C92" i="2"/>
  <c r="C93" i="2" s="1"/>
  <c r="I21" i="3"/>
  <c r="F36" i="3"/>
  <c r="F37" i="3" s="1"/>
  <c r="C14" i="9" s="1"/>
  <c r="F50" i="3"/>
  <c r="C63" i="2"/>
  <c r="B15" i="21" s="1"/>
  <c r="C57" i="2"/>
  <c r="B16" i="21" s="1"/>
  <c r="E14" i="15" l="1"/>
  <c r="G15" i="15" s="1"/>
  <c r="D15" i="15" s="1"/>
  <c r="H28" i="8"/>
  <c r="H19" i="8"/>
  <c r="C58" i="2"/>
  <c r="C59" i="2" s="1"/>
  <c r="F23" i="3"/>
  <c r="C103" i="2"/>
  <c r="C104" i="2" s="1"/>
  <c r="C83" i="2"/>
  <c r="B13" i="21" l="1"/>
  <c r="B14" i="21" s="1"/>
  <c r="H17" i="12"/>
  <c r="C5" i="13"/>
  <c r="C24" i="7"/>
  <c r="C7" i="2"/>
  <c r="C33" i="2" s="1"/>
  <c r="H17" i="8"/>
  <c r="C8" i="2"/>
  <c r="I19" i="8"/>
  <c r="K19" i="8"/>
  <c r="C15" i="15"/>
  <c r="E15" i="15" s="1"/>
  <c r="G16" i="15" s="1"/>
  <c r="H20" i="8"/>
  <c r="F24" i="3"/>
  <c r="F26" i="3" s="1"/>
  <c r="F33" i="3"/>
  <c r="F34" i="3" s="1"/>
  <c r="I9" i="3"/>
  <c r="H9" i="14" s="1"/>
  <c r="C23" i="2"/>
  <c r="C64" i="2"/>
  <c r="C114" i="2"/>
  <c r="C115" i="2" s="1"/>
  <c r="F11" i="3"/>
  <c r="C17" i="7" s="1"/>
  <c r="D17" i="7" s="1"/>
  <c r="I4" i="3"/>
  <c r="H4" i="14" s="1"/>
  <c r="I19" i="3" l="1"/>
  <c r="F35" i="3" s="1"/>
  <c r="C10" i="9" s="1"/>
  <c r="C33" i="13"/>
  <c r="C7" i="13"/>
  <c r="C8" i="13"/>
  <c r="C16" i="15"/>
  <c r="D16" i="15"/>
  <c r="E20" i="14"/>
  <c r="C4" i="10"/>
  <c r="I4" i="10" s="1"/>
  <c r="C13" i="9"/>
  <c r="F27" i="3"/>
  <c r="C6" i="9"/>
  <c r="C3" i="9" s="1"/>
  <c r="F10" i="3"/>
  <c r="F12" i="3"/>
  <c r="H21" i="8"/>
  <c r="H19" i="14" l="1"/>
  <c r="C36" i="13"/>
  <c r="C37" i="13" s="1"/>
  <c r="C10" i="13" s="1"/>
  <c r="C12" i="13" s="1"/>
  <c r="C14" i="13" s="1"/>
  <c r="E43" i="14"/>
  <c r="E16" i="15"/>
  <c r="G17" i="15" s="1"/>
  <c r="C18" i="7"/>
  <c r="H25" i="12"/>
  <c r="F4" i="10"/>
  <c r="C30" i="7"/>
  <c r="E30" i="7" s="1"/>
  <c r="F20" i="3"/>
  <c r="H25" i="8"/>
  <c r="I11" i="3"/>
  <c r="C2" i="6"/>
  <c r="G9" i="6" s="1"/>
  <c r="C17" i="13" l="1"/>
  <c r="C16" i="13"/>
  <c r="C18" i="13" s="1"/>
  <c r="C81" i="13"/>
  <c r="C25" i="13"/>
  <c r="C62" i="13"/>
  <c r="C80" i="13"/>
  <c r="C61" i="13"/>
  <c r="E35" i="14"/>
  <c r="C10" i="11" s="1"/>
  <c r="H22" i="14"/>
  <c r="H23" i="14" s="1"/>
  <c r="E16" i="14" s="1"/>
  <c r="C16" i="9"/>
  <c r="H35" i="20"/>
  <c r="J35" i="20" s="1"/>
  <c r="H17" i="20"/>
  <c r="J17" i="20" s="1"/>
  <c r="H7" i="20"/>
  <c r="J7" i="20" s="1"/>
  <c r="H14" i="20"/>
  <c r="J14" i="20" s="1"/>
  <c r="H6" i="20"/>
  <c r="J6" i="20" s="1"/>
  <c r="H16" i="20"/>
  <c r="J16" i="20" s="1"/>
  <c r="H13" i="20"/>
  <c r="J13" i="20" s="1"/>
  <c r="H5" i="20"/>
  <c r="J5" i="20" s="1"/>
  <c r="C5" i="10"/>
  <c r="F5" i="10" s="1"/>
  <c r="D18" i="7"/>
  <c r="C16" i="11"/>
  <c r="C37" i="12"/>
  <c r="C6" i="12"/>
  <c r="C33" i="12"/>
  <c r="C9" i="12"/>
  <c r="C7" i="12"/>
  <c r="C22" i="12"/>
  <c r="C23" i="12"/>
  <c r="C42" i="12"/>
  <c r="C18" i="12"/>
  <c r="C24" i="12"/>
  <c r="C35" i="12"/>
  <c r="C38" i="12"/>
  <c r="C44" i="12"/>
  <c r="C17" i="15"/>
  <c r="D17" i="15"/>
  <c r="C15" i="9"/>
  <c r="C34" i="7"/>
  <c r="E34" i="7" s="1"/>
  <c r="C8" i="9"/>
  <c r="F44" i="3"/>
  <c r="F45" i="3" s="1"/>
  <c r="H34" i="8" s="1"/>
  <c r="C33" i="7"/>
  <c r="E33" i="7" s="1"/>
  <c r="D9" i="6"/>
  <c r="H36" i="20" l="1"/>
  <c r="J36" i="20" s="1"/>
  <c r="C19" i="12"/>
  <c r="E44" i="14"/>
  <c r="E45" i="14" s="1"/>
  <c r="H22" i="20"/>
  <c r="J22" i="20" s="1"/>
  <c r="H37" i="20"/>
  <c r="J37" i="20" s="1"/>
  <c r="H18" i="20"/>
  <c r="J18" i="20" s="1"/>
  <c r="C8" i="12"/>
  <c r="H26" i="20"/>
  <c r="J26" i="20" s="1"/>
  <c r="H34" i="20"/>
  <c r="J34" i="20" s="1"/>
  <c r="C21" i="12"/>
  <c r="C45" i="12"/>
  <c r="C40" i="12"/>
  <c r="H30" i="20"/>
  <c r="J30" i="20" s="1"/>
  <c r="H33" i="20"/>
  <c r="J33" i="20" s="1"/>
  <c r="H19" i="20"/>
  <c r="J19" i="20" s="1"/>
  <c r="C17" i="12"/>
  <c r="C34" i="12"/>
  <c r="H23" i="20"/>
  <c r="J23" i="20" s="1"/>
  <c r="C20" i="12"/>
  <c r="C36" i="12"/>
  <c r="C7" i="11"/>
  <c r="C19" i="11" s="1"/>
  <c r="H27" i="20"/>
  <c r="J27" i="20" s="1"/>
  <c r="D32" i="7"/>
  <c r="D35" i="7" s="1"/>
  <c r="D38" i="7" s="1"/>
  <c r="D39" i="7" s="1"/>
  <c r="C39" i="12"/>
  <c r="H31" i="20"/>
  <c r="J31" i="20" s="1"/>
  <c r="C43" i="12"/>
  <c r="C25" i="12"/>
  <c r="H4" i="20"/>
  <c r="J4" i="20" s="1"/>
  <c r="H9" i="20"/>
  <c r="J9" i="20" s="1"/>
  <c r="H8" i="20"/>
  <c r="J8" i="20" s="1"/>
  <c r="C41" i="12"/>
  <c r="C46" i="12"/>
  <c r="H11" i="20"/>
  <c r="J11" i="20" s="1"/>
  <c r="H15" i="20"/>
  <c r="J15" i="20" s="1"/>
  <c r="H12" i="20"/>
  <c r="J12" i="20" s="1"/>
  <c r="H20" i="20"/>
  <c r="J20" i="20" s="1"/>
  <c r="H24" i="20"/>
  <c r="J24" i="20" s="1"/>
  <c r="H28" i="20"/>
  <c r="J28" i="20" s="1"/>
  <c r="H32" i="20"/>
  <c r="J32" i="20" s="1"/>
  <c r="H29" i="20"/>
  <c r="J29" i="20" s="1"/>
  <c r="H10" i="20"/>
  <c r="J10" i="20" s="1"/>
  <c r="H21" i="20"/>
  <c r="J21" i="20" s="1"/>
  <c r="H25" i="20"/>
  <c r="J25" i="20" s="1"/>
  <c r="H37" i="8"/>
  <c r="B17" i="21" s="1"/>
  <c r="C8" i="7"/>
  <c r="I5" i="10"/>
  <c r="E47" i="14"/>
  <c r="H34" i="12"/>
  <c r="H35" i="12" s="1"/>
  <c r="E17" i="15"/>
  <c r="G18" i="15" s="1"/>
  <c r="H35" i="8"/>
  <c r="C7" i="7" s="1"/>
  <c r="B12" i="21" s="1"/>
  <c r="C7" i="9"/>
  <c r="C19" i="9" s="1"/>
  <c r="C32" i="7"/>
  <c r="C9" i="4"/>
  <c r="C10" i="4" s="1"/>
  <c r="C11" i="4" s="1"/>
  <c r="C26" i="2" s="1"/>
  <c r="C9" i="7" l="1"/>
  <c r="C10" i="7" s="1"/>
  <c r="D7" i="7"/>
  <c r="E7" i="7" s="1"/>
  <c r="D8" i="7"/>
  <c r="E8" i="7" s="1"/>
  <c r="E48" i="14"/>
  <c r="C5" i="12"/>
  <c r="H3" i="20" s="1"/>
  <c r="D18" i="15"/>
  <c r="C18" i="15"/>
  <c r="C35" i="7"/>
  <c r="E35" i="7" s="1"/>
  <c r="E32" i="7"/>
  <c r="I12" i="3"/>
  <c r="C27" i="2"/>
  <c r="C3" i="6"/>
  <c r="C4" i="18" s="1"/>
  <c r="C29" i="21" s="1"/>
  <c r="I13" i="3" l="1"/>
  <c r="F29" i="3"/>
  <c r="J3" i="20"/>
  <c r="H38" i="20"/>
  <c r="H41" i="20"/>
  <c r="E18" i="15"/>
  <c r="G19" i="15" s="1"/>
  <c r="C19" i="15" s="1"/>
  <c r="D12" i="7"/>
  <c r="C22" i="11"/>
  <c r="F30" i="3"/>
  <c r="C9" i="6"/>
  <c r="E9" i="6" s="1"/>
  <c r="C36" i="2"/>
  <c r="C37" i="2" s="1"/>
  <c r="C10" i="2" s="1"/>
  <c r="C12" i="2" s="1"/>
  <c r="C14" i="2" s="1"/>
  <c r="C16" i="2" s="1"/>
  <c r="C36" i="7"/>
  <c r="C20" i="9"/>
  <c r="I22" i="3"/>
  <c r="I23" i="3" s="1"/>
  <c r="F16" i="3" s="1"/>
  <c r="F15" i="3" s="1"/>
  <c r="C25" i="8" l="1"/>
  <c r="E25" i="8" s="1"/>
  <c r="C35" i="20"/>
  <c r="C36" i="20"/>
  <c r="C37" i="20"/>
  <c r="C34" i="20"/>
  <c r="C33" i="20"/>
  <c r="C7" i="8"/>
  <c r="E7" i="8" s="1"/>
  <c r="C10" i="20"/>
  <c r="C26" i="20"/>
  <c r="C30" i="20"/>
  <c r="C24" i="20"/>
  <c r="C21" i="20"/>
  <c r="C19" i="20"/>
  <c r="C7" i="20"/>
  <c r="C12" i="20"/>
  <c r="C6" i="20"/>
  <c r="C27" i="20"/>
  <c r="C29" i="20"/>
  <c r="C17" i="20"/>
  <c r="C14" i="20"/>
  <c r="C11" i="20"/>
  <c r="C4" i="20"/>
  <c r="C25" i="20"/>
  <c r="C8" i="20"/>
  <c r="C32" i="20"/>
  <c r="C23" i="20"/>
  <c r="C31" i="20"/>
  <c r="C9" i="20"/>
  <c r="C28" i="20"/>
  <c r="C18" i="20"/>
  <c r="C20" i="20"/>
  <c r="C15" i="20"/>
  <c r="C5" i="20"/>
  <c r="C16" i="20"/>
  <c r="C13" i="20"/>
  <c r="C22" i="20"/>
  <c r="C8" i="8"/>
  <c r="E8" i="8" s="1"/>
  <c r="C39" i="8"/>
  <c r="E39" i="8" s="1"/>
  <c r="C37" i="8"/>
  <c r="E37" i="8" s="1"/>
  <c r="C9" i="8"/>
  <c r="E9" i="8" s="1"/>
  <c r="C36" i="8"/>
  <c r="C15" i="10" s="1"/>
  <c r="C45" i="8"/>
  <c r="E45" i="8" s="1"/>
  <c r="C35" i="8"/>
  <c r="C14" i="10" s="1"/>
  <c r="F14" i="10" s="1"/>
  <c r="C23" i="8"/>
  <c r="E23" i="8" s="1"/>
  <c r="C38" i="8"/>
  <c r="E38" i="8" s="1"/>
  <c r="C6" i="8"/>
  <c r="E6" i="8" s="1"/>
  <c r="F46" i="3"/>
  <c r="F47" i="3" s="1"/>
  <c r="C5" i="8" s="1"/>
  <c r="C34" i="8"/>
  <c r="E34" i="8" s="1"/>
  <c r="C18" i="8"/>
  <c r="E18" i="8" s="1"/>
  <c r="C33" i="8"/>
  <c r="E33" i="8" s="1"/>
  <c r="C42" i="8"/>
  <c r="C21" i="10" s="1"/>
  <c r="F21" i="10" s="1"/>
  <c r="C21" i="8"/>
  <c r="E21" i="8" s="1"/>
  <c r="C43" i="8"/>
  <c r="E43" i="8" s="1"/>
  <c r="C19" i="8"/>
  <c r="E19" i="8" s="1"/>
  <c r="C41" i="8"/>
  <c r="C20" i="10" s="1"/>
  <c r="C20" i="8"/>
  <c r="E20" i="8" s="1"/>
  <c r="C22" i="8"/>
  <c r="E22" i="8" s="1"/>
  <c r="C40" i="8"/>
  <c r="E40" i="8" s="1"/>
  <c r="C44" i="8"/>
  <c r="E44" i="8" s="1"/>
  <c r="C24" i="8"/>
  <c r="E24" i="8" s="1"/>
  <c r="C46" i="8"/>
  <c r="E46" i="8" s="1"/>
  <c r="C17" i="8"/>
  <c r="E17" i="8" s="1"/>
  <c r="G10" i="6"/>
  <c r="D10" i="6" s="1"/>
  <c r="D19" i="15"/>
  <c r="E19" i="15" s="1"/>
  <c r="G20" i="15" s="1"/>
  <c r="C38" i="7"/>
  <c r="E36" i="7"/>
  <c r="E21" i="12"/>
  <c r="H26" i="12"/>
  <c r="C20" i="7"/>
  <c r="C21" i="7" s="1"/>
  <c r="C22" i="9"/>
  <c r="D13" i="17" s="1"/>
  <c r="D14" i="17" s="1"/>
  <c r="C12" i="7"/>
  <c r="C10" i="12"/>
  <c r="E54" i="7" s="1"/>
  <c r="C16" i="12"/>
  <c r="E5" i="12"/>
  <c r="C118" i="2"/>
  <c r="C96" i="2"/>
  <c r="C17" i="2"/>
  <c r="C25" i="2"/>
  <c r="C80" i="2"/>
  <c r="C81" i="2"/>
  <c r="C107" i="2"/>
  <c r="C61" i="2"/>
  <c r="C28" i="7"/>
  <c r="C62" i="2"/>
  <c r="F19" i="3"/>
  <c r="C7" i="10"/>
  <c r="H26" i="8"/>
  <c r="B9" i="21" s="1"/>
  <c r="E57" i="7" l="1"/>
  <c r="C6" i="7"/>
  <c r="B7" i="21"/>
  <c r="F32" i="21" s="1"/>
  <c r="C24" i="10"/>
  <c r="F24" i="10" s="1"/>
  <c r="C18" i="10"/>
  <c r="F18" i="10" s="1"/>
  <c r="E12" i="7"/>
  <c r="B10" i="21"/>
  <c r="H30" i="8"/>
  <c r="E35" i="8"/>
  <c r="E15" i="20"/>
  <c r="E32" i="20"/>
  <c r="E27" i="20"/>
  <c r="E19" i="20"/>
  <c r="E26" i="20"/>
  <c r="E13" i="20"/>
  <c r="E20" i="20"/>
  <c r="E31" i="20"/>
  <c r="E8" i="20"/>
  <c r="E37" i="20"/>
  <c r="E17" i="20"/>
  <c r="E6" i="20"/>
  <c r="E21" i="20"/>
  <c r="E10" i="20"/>
  <c r="E35" i="20"/>
  <c r="E16" i="20"/>
  <c r="E18" i="20"/>
  <c r="E33" i="20"/>
  <c r="E25" i="20"/>
  <c r="E11" i="20"/>
  <c r="E29" i="20"/>
  <c r="E12" i="20"/>
  <c r="E24" i="20"/>
  <c r="C3" i="20"/>
  <c r="E22" i="20"/>
  <c r="E9" i="20"/>
  <c r="E14" i="20"/>
  <c r="C16" i="10"/>
  <c r="F16" i="10" s="1"/>
  <c r="E41" i="8"/>
  <c r="E5" i="20"/>
  <c r="E28" i="20"/>
  <c r="E23" i="20"/>
  <c r="E4" i="20"/>
  <c r="E36" i="20"/>
  <c r="E34" i="20"/>
  <c r="E7" i="20"/>
  <c r="E30" i="20"/>
  <c r="C23" i="10"/>
  <c r="F23" i="10" s="1"/>
  <c r="E42" i="8"/>
  <c r="F48" i="3"/>
  <c r="C10" i="6"/>
  <c r="E10" i="6" s="1"/>
  <c r="C13" i="10"/>
  <c r="F13" i="10" s="1"/>
  <c r="C25" i="10"/>
  <c r="E36" i="8"/>
  <c r="C22" i="10"/>
  <c r="F22" i="10" s="1"/>
  <c r="C17" i="10"/>
  <c r="F17" i="10" s="1"/>
  <c r="D17" i="17"/>
  <c r="C23" i="9"/>
  <c r="C33" i="9" s="1"/>
  <c r="C40" i="9" s="1"/>
  <c r="C41" i="9" s="1"/>
  <c r="C49" i="7" s="1"/>
  <c r="C36" i="21" s="1"/>
  <c r="D4" i="17"/>
  <c r="D6" i="17" s="1"/>
  <c r="D7" i="17" s="1"/>
  <c r="D9" i="17" s="1"/>
  <c r="D11" i="17" s="1"/>
  <c r="C12" i="10"/>
  <c r="F12" i="10" s="1"/>
  <c r="C19" i="10"/>
  <c r="F19" i="10" s="1"/>
  <c r="D20" i="15"/>
  <c r="E4" i="19" s="1"/>
  <c r="C20" i="15"/>
  <c r="C39" i="7"/>
  <c r="E39" i="7" s="1"/>
  <c r="E38" i="7"/>
  <c r="H30" i="12"/>
  <c r="C26" i="12"/>
  <c r="E61" i="7" s="1"/>
  <c r="E16" i="12"/>
  <c r="C32" i="12"/>
  <c r="E18" i="12"/>
  <c r="E43" i="12"/>
  <c r="E34" i="12"/>
  <c r="C13" i="7"/>
  <c r="E20" i="12"/>
  <c r="E42" i="12"/>
  <c r="E17" i="12"/>
  <c r="E38" i="12"/>
  <c r="E6" i="12"/>
  <c r="E39" i="12"/>
  <c r="E40" i="12"/>
  <c r="E36" i="12"/>
  <c r="E46" i="12"/>
  <c r="H31" i="12"/>
  <c r="E23" i="12"/>
  <c r="E45" i="12"/>
  <c r="E25" i="12"/>
  <c r="E24" i="12"/>
  <c r="E41" i="12"/>
  <c r="E9" i="12"/>
  <c r="E19" i="12"/>
  <c r="E8" i="12"/>
  <c r="E37" i="12"/>
  <c r="E7" i="12"/>
  <c r="E35" i="12"/>
  <c r="E33" i="12"/>
  <c r="E44" i="12"/>
  <c r="E22" i="12"/>
  <c r="K21" i="12"/>
  <c r="I20" i="12"/>
  <c r="K20" i="12"/>
  <c r="K19" i="12"/>
  <c r="I21" i="12"/>
  <c r="I19" i="12"/>
  <c r="C18" i="2"/>
  <c r="I20" i="8"/>
  <c r="K21" i="8"/>
  <c r="I21" i="8"/>
  <c r="J21" i="8" s="1"/>
  <c r="D69" i="7" s="1"/>
  <c r="K20" i="8"/>
  <c r="J19" i="8"/>
  <c r="D56" i="7" s="1"/>
  <c r="C11" i="8"/>
  <c r="I3" i="8"/>
  <c r="H31" i="8"/>
  <c r="H32" i="8" s="1"/>
  <c r="C50" i="7" s="1"/>
  <c r="C37" i="21" s="1"/>
  <c r="I7" i="10"/>
  <c r="I3" i="10" s="1"/>
  <c r="F7" i="10"/>
  <c r="F3" i="10" s="1"/>
  <c r="F10" i="10" s="1"/>
  <c r="C3" i="10"/>
  <c r="C10" i="10" s="1"/>
  <c r="C10" i="8"/>
  <c r="C54" i="7" s="1"/>
  <c r="G54" i="7" s="1"/>
  <c r="C16" i="8"/>
  <c r="E5" i="8"/>
  <c r="C38" i="20" l="1"/>
  <c r="C26" i="21" a="1"/>
  <c r="C26" i="21" s="1"/>
  <c r="D18" i="17"/>
  <c r="B11" i="21"/>
  <c r="C24" i="9"/>
  <c r="C47" i="7" s="1"/>
  <c r="C34" i="21" s="1"/>
  <c r="C41" i="20"/>
  <c r="D5" i="8"/>
  <c r="C39" i="20"/>
  <c r="D3" i="20" s="1"/>
  <c r="D26" i="21" s="1" a="1"/>
  <c r="D26" i="21" s="1"/>
  <c r="G11" i="6"/>
  <c r="E3" i="20"/>
  <c r="E26" i="21" s="1" a="1"/>
  <c r="E26" i="21" s="1"/>
  <c r="D15" i="17"/>
  <c r="D16" i="17" s="1"/>
  <c r="E20" i="15"/>
  <c r="E56" i="7"/>
  <c r="E63" i="7"/>
  <c r="E69" i="7"/>
  <c r="H32" i="12"/>
  <c r="E32" i="12"/>
  <c r="C47" i="12"/>
  <c r="E67" i="7" s="1"/>
  <c r="I27" i="10"/>
  <c r="I28" i="10" s="1"/>
  <c r="I30" i="10" s="1"/>
  <c r="C69" i="7"/>
  <c r="C63" i="7"/>
  <c r="I19" i="10"/>
  <c r="I20" i="10" s="1"/>
  <c r="I22" i="10" s="1"/>
  <c r="J20" i="8"/>
  <c r="D63" i="7" s="1"/>
  <c r="I11" i="10"/>
  <c r="I12" i="10" s="1"/>
  <c r="C56" i="7"/>
  <c r="C12" i="8"/>
  <c r="D54" i="7" s="1"/>
  <c r="I10" i="10"/>
  <c r="D8" i="8"/>
  <c r="C48" i="8"/>
  <c r="C27" i="8"/>
  <c r="D9" i="8"/>
  <c r="C13" i="8" s="1"/>
  <c r="D7" i="8"/>
  <c r="D6" i="8"/>
  <c r="E16" i="8"/>
  <c r="C32" i="8"/>
  <c r="C26" i="8"/>
  <c r="I7" i="8"/>
  <c r="I11" i="8"/>
  <c r="I16" i="10" l="1"/>
  <c r="I17" i="10" s="1"/>
  <c r="I14" i="10"/>
  <c r="C11" i="6"/>
  <c r="D11" i="6"/>
  <c r="D15" i="20"/>
  <c r="D26" i="20"/>
  <c r="D8" i="20"/>
  <c r="D17" i="20"/>
  <c r="D35" i="20"/>
  <c r="D29" i="20"/>
  <c r="D24" i="20"/>
  <c r="D28" i="20"/>
  <c r="D4" i="20"/>
  <c r="D34" i="20"/>
  <c r="D19" i="20"/>
  <c r="D6" i="20"/>
  <c r="D10" i="20"/>
  <c r="D33" i="20"/>
  <c r="D11" i="20"/>
  <c r="D36" i="20"/>
  <c r="D32" i="20"/>
  <c r="D31" i="20"/>
  <c r="D16" i="20"/>
  <c r="D27" i="20"/>
  <c r="D20" i="20"/>
  <c r="D21" i="20"/>
  <c r="D18" i="20"/>
  <c r="D25" i="20"/>
  <c r="D9" i="20"/>
  <c r="D30" i="20"/>
  <c r="D37" i="20"/>
  <c r="D12" i="20"/>
  <c r="D22" i="20"/>
  <c r="D14" i="20"/>
  <c r="D23" i="20"/>
  <c r="D7" i="20"/>
  <c r="D13" i="20"/>
  <c r="D5" i="20"/>
  <c r="G21" i="15"/>
  <c r="C21" i="15" s="1"/>
  <c r="C4" i="19"/>
  <c r="F4" i="19" s="1"/>
  <c r="C40" i="20"/>
  <c r="G63" i="7"/>
  <c r="G69" i="7"/>
  <c r="G56" i="7"/>
  <c r="I32" i="10"/>
  <c r="I33" i="10" s="1"/>
  <c r="D22" i="8"/>
  <c r="D18" i="8"/>
  <c r="D21" i="8"/>
  <c r="D25" i="8"/>
  <c r="D24" i="8"/>
  <c r="D20" i="8"/>
  <c r="D23" i="8"/>
  <c r="D19" i="8"/>
  <c r="D17" i="8"/>
  <c r="D16" i="8"/>
  <c r="D33" i="8"/>
  <c r="D40" i="8"/>
  <c r="D37" i="8"/>
  <c r="D44" i="8"/>
  <c r="D35" i="8"/>
  <c r="D43" i="8"/>
  <c r="D41" i="8"/>
  <c r="D39" i="8"/>
  <c r="D46" i="8"/>
  <c r="D36" i="8"/>
  <c r="D38" i="8"/>
  <c r="D34" i="8"/>
  <c r="D45" i="8"/>
  <c r="D42" i="8"/>
  <c r="I26" i="10"/>
  <c r="I31" i="10" s="1"/>
  <c r="I15" i="10"/>
  <c r="I18" i="10"/>
  <c r="I23" i="10" s="1"/>
  <c r="C61" i="7"/>
  <c r="G61" i="7" s="1"/>
  <c r="C28" i="8"/>
  <c r="D61" i="7" s="1"/>
  <c r="D32" i="8"/>
  <c r="C11" i="10"/>
  <c r="C29" i="10" s="1"/>
  <c r="B19" i="21" s="1"/>
  <c r="E32" i="8"/>
  <c r="C47" i="8"/>
  <c r="I24" i="10"/>
  <c r="I25" i="10" s="1"/>
  <c r="D21" i="15" l="1"/>
  <c r="E21" i="15" s="1"/>
  <c r="E11" i="6"/>
  <c r="C29" i="8"/>
  <c r="C50" i="8"/>
  <c r="C26" i="10"/>
  <c r="F11" i="10"/>
  <c r="C67" i="7"/>
  <c r="G67" i="7" s="1"/>
  <c r="C49" i="8"/>
  <c r="D67" i="7" s="1"/>
  <c r="C28" i="10" l="1"/>
  <c r="B18" i="21"/>
  <c r="G12" i="6"/>
  <c r="G22" i="15"/>
  <c r="C30" i="10"/>
  <c r="C31" i="10" s="1"/>
  <c r="B20" i="21" s="1"/>
  <c r="C22" i="15" l="1"/>
  <c r="D22" i="15"/>
  <c r="C12" i="6"/>
  <c r="D12" i="6"/>
  <c r="E12" i="6" l="1"/>
  <c r="G13" i="6" s="1"/>
  <c r="E22" i="15"/>
  <c r="G23" i="15" l="1"/>
  <c r="C13" i="6"/>
  <c r="D13" i="6"/>
  <c r="E13" i="6" l="1"/>
  <c r="G14" i="6" s="1"/>
  <c r="D23" i="15"/>
  <c r="C23" i="15"/>
  <c r="E23" i="15" l="1"/>
  <c r="G24" i="15" s="1"/>
  <c r="C14" i="6"/>
  <c r="D14" i="6"/>
  <c r="E14" i="6" l="1"/>
  <c r="G15" i="6" s="1"/>
  <c r="C15" i="6" s="1"/>
  <c r="C24" i="15"/>
  <c r="D24" i="15"/>
  <c r="D15" i="6" l="1"/>
  <c r="E15" i="6" s="1"/>
  <c r="G16" i="6" s="1"/>
  <c r="D16" i="6" s="1"/>
  <c r="E24" i="15"/>
  <c r="G25" i="15" s="1"/>
  <c r="C16" i="6" l="1"/>
  <c r="E16" i="6" s="1"/>
  <c r="G17" i="6" s="1"/>
  <c r="D17" i="6" s="1"/>
  <c r="D25" i="15"/>
  <c r="C25" i="15"/>
  <c r="E25" i="15" l="1"/>
  <c r="G26" i="15" s="1"/>
  <c r="C17" i="6"/>
  <c r="E17" i="6" s="1"/>
  <c r="G18" i="6" s="1"/>
  <c r="C18" i="6" s="1"/>
  <c r="D18" i="6" l="1"/>
  <c r="E18" i="6" s="1"/>
  <c r="G19" i="6" s="1"/>
  <c r="C19" i="6" s="1"/>
  <c r="D26" i="15"/>
  <c r="C26" i="15"/>
  <c r="E26" i="15" s="1"/>
  <c r="G27" i="15" s="1"/>
  <c r="D19" i="6" l="1"/>
  <c r="E19" i="6" s="1"/>
  <c r="G20" i="6" s="1"/>
  <c r="D20" i="6" s="1"/>
  <c r="E5" i="18" s="1"/>
  <c r="E29" i="21" s="1" a="1"/>
  <c r="E29" i="21" s="1"/>
  <c r="D27" i="15"/>
  <c r="C27" i="15"/>
  <c r="C20" i="6" l="1"/>
  <c r="E20" i="6" s="1"/>
  <c r="C5" i="18" s="1"/>
  <c r="E27" i="15"/>
  <c r="G28" i="15" s="1"/>
  <c r="D28" i="15" s="1"/>
  <c r="F5" i="18" l="1"/>
  <c r="F29" i="21" s="1" a="1"/>
  <c r="F29" i="21" s="1"/>
  <c r="D29" i="21" a="1"/>
  <c r="D29" i="21" s="1"/>
  <c r="C28" i="15"/>
  <c r="E28" i="15" s="1"/>
  <c r="G29" i="15" s="1"/>
  <c r="D29" i="15" s="1"/>
  <c r="G5" i="18"/>
  <c r="G29" i="21" s="1" a="1"/>
  <c r="G29" i="21" s="1"/>
  <c r="C32" i="9"/>
  <c r="C25" i="9" s="1"/>
  <c r="G21" i="6"/>
  <c r="D21" i="6" s="1"/>
  <c r="C29" i="15" l="1"/>
  <c r="E29" i="15" s="1"/>
  <c r="G30" i="15" s="1"/>
  <c r="C30" i="15" s="1"/>
  <c r="C34" i="9"/>
  <c r="C43" i="9" s="1"/>
  <c r="C21" i="6"/>
  <c r="E21" i="6" s="1"/>
  <c r="C26" i="9"/>
  <c r="C27" i="9" s="1"/>
  <c r="C28" i="9"/>
  <c r="D30" i="15" l="1"/>
  <c r="E30" i="15" s="1"/>
  <c r="G31" i="15" s="1"/>
  <c r="C31" i="15" s="1"/>
  <c r="C48" i="7"/>
  <c r="G22" i="6"/>
  <c r="D22" i="6" s="1"/>
  <c r="C51" i="7" l="1"/>
  <c r="C38" i="21" s="1"/>
  <c r="C35" i="21"/>
  <c r="D31" i="15"/>
  <c r="E31" i="15" s="1"/>
  <c r="G32" i="15" s="1"/>
  <c r="C22" i="6"/>
  <c r="E22" i="6" s="1"/>
  <c r="D32" i="15" l="1"/>
  <c r="E5" i="19" s="1"/>
  <c r="C32" i="15"/>
  <c r="G23" i="6"/>
  <c r="E32" i="15" l="1"/>
  <c r="G33" i="15" s="1"/>
  <c r="D33" i="15" s="1"/>
  <c r="C5" i="19"/>
  <c r="F5" i="19" s="1"/>
  <c r="D23" i="6"/>
  <c r="C23" i="6"/>
  <c r="C33" i="15" l="1"/>
  <c r="E33" i="15" s="1"/>
  <c r="E23" i="6"/>
  <c r="G24" i="6" s="1"/>
  <c r="C24" i="6" l="1"/>
  <c r="D24" i="6"/>
  <c r="G34" i="15"/>
  <c r="E24" i="6" l="1"/>
  <c r="G25" i="6" s="1"/>
  <c r="D34" i="15"/>
  <c r="C34" i="15"/>
  <c r="E34" i="15" l="1"/>
  <c r="G35" i="15" s="1"/>
  <c r="D25" i="6"/>
  <c r="C25" i="6"/>
  <c r="E25" i="6" s="1"/>
  <c r="C35" i="15" l="1"/>
  <c r="D35" i="15"/>
  <c r="G26" i="6"/>
  <c r="C26" i="6" l="1"/>
  <c r="D26" i="6"/>
  <c r="E35" i="15"/>
  <c r="G36" i="15" l="1"/>
  <c r="E26" i="6"/>
  <c r="G27" i="6" s="1"/>
  <c r="C27" i="6" l="1"/>
  <c r="D27" i="6"/>
  <c r="D36" i="15"/>
  <c r="C36" i="15"/>
  <c r="E36" i="15" s="1"/>
  <c r="E27" i="6" l="1"/>
  <c r="G28" i="6" s="1"/>
  <c r="C28" i="6" s="1"/>
  <c r="G37" i="15"/>
  <c r="D28" i="6" l="1"/>
  <c r="E28" i="6" s="1"/>
  <c r="G29" i="6" s="1"/>
  <c r="C37" i="15"/>
  <c r="D37" i="15"/>
  <c r="E37" i="15" l="1"/>
  <c r="G38" i="15" s="1"/>
  <c r="C29" i="6"/>
  <c r="D29" i="6"/>
  <c r="E29" i="6" l="1"/>
  <c r="G30" i="6" s="1"/>
  <c r="C38" i="15"/>
  <c r="D38" i="15"/>
  <c r="E38" i="15" l="1"/>
  <c r="G39" i="15" s="1"/>
  <c r="D39" i="15" s="1"/>
  <c r="C30" i="6"/>
  <c r="D30" i="6"/>
  <c r="C39" i="15" l="1"/>
  <c r="E39" i="15" s="1"/>
  <c r="G40" i="15" s="1"/>
  <c r="E30" i="6"/>
  <c r="G31" i="6" s="1"/>
  <c r="D31" i="6" s="1"/>
  <c r="C31" i="6" l="1"/>
  <c r="E31" i="6" s="1"/>
  <c r="G32" i="6" s="1"/>
  <c r="C40" i="15"/>
  <c r="D40" i="15"/>
  <c r="D32" i="6" l="1"/>
  <c r="E6" i="18" s="1"/>
  <c r="C32" i="6"/>
  <c r="E40" i="15"/>
  <c r="G41" i="15" s="1"/>
  <c r="D41" i="15" s="1"/>
  <c r="E32" i="6" l="1"/>
  <c r="G33" i="6" s="1"/>
  <c r="C41" i="15"/>
  <c r="E41" i="15" s="1"/>
  <c r="G42" i="15" s="1"/>
  <c r="C6" i="18"/>
  <c r="D42" i="15" l="1"/>
  <c r="C42" i="15"/>
  <c r="E42" i="15" s="1"/>
  <c r="G43" i="15" s="1"/>
  <c r="D43" i="15" s="1"/>
  <c r="G6" i="18"/>
  <c r="F6" i="18"/>
  <c r="C33" i="6"/>
  <c r="D33" i="6"/>
  <c r="C43" i="15" l="1"/>
  <c r="E43" i="15" s="1"/>
  <c r="G44" i="15" s="1"/>
  <c r="D44" i="15" s="1"/>
  <c r="E6" i="19" s="1"/>
  <c r="E33" i="6"/>
  <c r="C44" i="15" l="1"/>
  <c r="E44" i="15" s="1"/>
  <c r="G45" i="15" s="1"/>
  <c r="G34" i="6"/>
  <c r="C6" i="19" l="1"/>
  <c r="F6" i="19" s="1"/>
  <c r="C34" i="6"/>
  <c r="D34" i="6"/>
  <c r="C45" i="15"/>
  <c r="D45" i="15"/>
  <c r="E45" i="15" l="1"/>
  <c r="E34" i="6"/>
  <c r="G35" i="6" l="1"/>
  <c r="G46" i="15"/>
  <c r="C46" i="15" l="1"/>
  <c r="D46" i="15"/>
  <c r="C35" i="6"/>
  <c r="D35" i="6"/>
  <c r="E35" i="6" l="1"/>
  <c r="E46" i="15"/>
  <c r="G47" i="15" l="1"/>
  <c r="G36" i="6"/>
  <c r="D36" i="6" l="1"/>
  <c r="C36" i="6"/>
  <c r="C47" i="15"/>
  <c r="D47" i="15"/>
  <c r="E47" i="15" l="1"/>
  <c r="G48" i="15" s="1"/>
  <c r="E36" i="6"/>
  <c r="G37" i="6" s="1"/>
  <c r="D37" i="6" l="1"/>
  <c r="C37" i="6"/>
  <c r="E37" i="6" s="1"/>
  <c r="C48" i="15"/>
  <c r="D48" i="15"/>
  <c r="E48" i="15" l="1"/>
  <c r="G38" i="6"/>
  <c r="D38" i="6" l="1"/>
  <c r="C38" i="6"/>
  <c r="E38" i="6" s="1"/>
  <c r="G39" i="6" s="1"/>
  <c r="G49" i="15"/>
  <c r="D49" i="15" l="1"/>
  <c r="C49" i="15"/>
  <c r="E49" i="15" s="1"/>
  <c r="D39" i="6"/>
  <c r="C39" i="6"/>
  <c r="E39" i="6" s="1"/>
  <c r="G40" i="6" s="1"/>
  <c r="G50" i="15" l="1"/>
  <c r="D40" i="6"/>
  <c r="C40" i="6"/>
  <c r="E40" i="6" s="1"/>
  <c r="G41" i="6" s="1"/>
  <c r="D41" i="6" l="1"/>
  <c r="C41" i="6"/>
  <c r="E41" i="6" s="1"/>
  <c r="G42" i="6" s="1"/>
  <c r="C50" i="15"/>
  <c r="D50" i="15"/>
  <c r="E50" i="15" s="1"/>
  <c r="G51" i="15" s="1"/>
  <c r="D51" i="15" l="1"/>
  <c r="C51" i="15"/>
  <c r="D42" i="6"/>
  <c r="C42" i="6"/>
  <c r="E42" i="6" s="1"/>
  <c r="G43" i="6" s="1"/>
  <c r="E51" i="15" l="1"/>
  <c r="G52" i="15" s="1"/>
  <c r="D52" i="15" s="1"/>
  <c r="D43" i="6"/>
  <c r="C43" i="6"/>
  <c r="E43" i="6" s="1"/>
  <c r="G44" i="6" s="1"/>
  <c r="C52" i="15" l="1"/>
  <c r="E52" i="15" s="1"/>
  <c r="G53" i="15" s="1"/>
  <c r="D44" i="6"/>
  <c r="E7" i="18" s="1"/>
  <c r="C44" i="6"/>
  <c r="E44" i="6" s="1"/>
  <c r="D53" i="15" l="1"/>
  <c r="C53" i="15"/>
  <c r="E53" i="15" s="1"/>
  <c r="G54" i="15" s="1"/>
  <c r="G45" i="6"/>
  <c r="C7" i="18"/>
  <c r="G7" i="18" s="1"/>
  <c r="D45" i="6" l="1"/>
  <c r="C45" i="6"/>
  <c r="D54" i="15"/>
  <c r="C54" i="15"/>
  <c r="F7" i="18"/>
  <c r="E45" i="6" l="1"/>
  <c r="E54" i="15"/>
  <c r="G55" i="15" s="1"/>
  <c r="G46" i="6"/>
  <c r="D46" i="6" l="1"/>
  <c r="C46" i="6"/>
  <c r="C55" i="15"/>
  <c r="D55" i="15"/>
  <c r="E55" i="15" l="1"/>
  <c r="G56" i="15" s="1"/>
  <c r="C56" i="15" s="1"/>
  <c r="E46" i="6"/>
  <c r="D56" i="15" l="1"/>
  <c r="E7" i="19" s="1"/>
  <c r="G47" i="6"/>
  <c r="E56" i="15" l="1"/>
  <c r="D47" i="6"/>
  <c r="C47" i="6"/>
  <c r="G57" i="15" l="1"/>
  <c r="C7" i="19"/>
  <c r="F7" i="19" s="1"/>
  <c r="E47" i="6"/>
  <c r="G48" i="6" s="1"/>
  <c r="C57" i="15" l="1"/>
  <c r="D57" i="15"/>
  <c r="C48" i="6"/>
  <c r="D48" i="6"/>
  <c r="E57" i="15" l="1"/>
  <c r="G58" i="15" s="1"/>
  <c r="E48" i="6"/>
  <c r="G49" i="6" s="1"/>
  <c r="D58" i="15" l="1"/>
  <c r="C58" i="15"/>
  <c r="E58" i="15" s="1"/>
  <c r="G59" i="15" s="1"/>
  <c r="D49" i="6"/>
  <c r="C49" i="6"/>
  <c r="E49" i="6" l="1"/>
  <c r="G50" i="6" s="1"/>
  <c r="C59" i="15"/>
  <c r="D59" i="15"/>
  <c r="E59" i="15" l="1"/>
  <c r="C50" i="6"/>
  <c r="D50" i="6"/>
  <c r="E50" i="6" l="1"/>
  <c r="G51" i="6" s="1"/>
  <c r="D51" i="6" s="1"/>
  <c r="G60" i="15"/>
  <c r="C51" i="6" l="1"/>
  <c r="E51" i="6" s="1"/>
  <c r="G52" i="6" s="1"/>
  <c r="D60" i="15"/>
  <c r="C60" i="15"/>
  <c r="E60" i="15" s="1"/>
  <c r="D52" i="6" l="1"/>
  <c r="C52" i="6"/>
  <c r="E52" i="6" s="1"/>
  <c r="G53" i="6" s="1"/>
  <c r="G61" i="15"/>
  <c r="C61" i="15" l="1"/>
  <c r="D61" i="15"/>
  <c r="D53" i="6"/>
  <c r="C53" i="6"/>
  <c r="E53" i="6" s="1"/>
  <c r="G54" i="6" s="1"/>
  <c r="E61" i="15" l="1"/>
  <c r="C54" i="6"/>
  <c r="D54" i="6"/>
  <c r="G62" i="15"/>
  <c r="E54" i="6" l="1"/>
  <c r="G55" i="6" s="1"/>
  <c r="C55" i="6" s="1"/>
  <c r="C62" i="15"/>
  <c r="D62" i="15"/>
  <c r="D55" i="6" l="1"/>
  <c r="E55" i="6" s="1"/>
  <c r="G56" i="6" s="1"/>
  <c r="E62" i="15"/>
  <c r="G63" i="15" s="1"/>
  <c r="C56" i="6" l="1"/>
  <c r="D56" i="6"/>
  <c r="E8" i="18" s="1"/>
  <c r="C63" i="15"/>
  <c r="D63" i="15"/>
  <c r="E63" i="15" l="1"/>
  <c r="G64" i="15" s="1"/>
  <c r="D64" i="15" s="1"/>
  <c r="E56" i="6"/>
  <c r="G57" i="6" s="1"/>
  <c r="C8" i="18"/>
  <c r="C64" i="15" l="1"/>
  <c r="E64" i="15" s="1"/>
  <c r="G65" i="15" s="1"/>
  <c r="C57" i="6"/>
  <c r="D57" i="6"/>
  <c r="G8" i="18"/>
  <c r="F8" i="18"/>
  <c r="E57" i="6" l="1"/>
  <c r="G58" i="6" s="1"/>
  <c r="D65" i="15"/>
  <c r="C65" i="15"/>
  <c r="E65" i="15" l="1"/>
  <c r="G66" i="15" s="1"/>
  <c r="C66" i="15" s="1"/>
  <c r="D58" i="6"/>
  <c r="C58" i="6"/>
  <c r="E58" i="6" l="1"/>
  <c r="D66" i="15"/>
  <c r="E66" i="15" s="1"/>
  <c r="G67" i="15" s="1"/>
  <c r="G59" i="6"/>
  <c r="D67" i="15" l="1"/>
  <c r="C67" i="15"/>
  <c r="E67" i="15" s="1"/>
  <c r="G68" i="15" s="1"/>
  <c r="D68" i="15" s="1"/>
  <c r="E8" i="19" s="1"/>
  <c r="D59" i="6"/>
  <c r="C59" i="6"/>
  <c r="C68" i="15" l="1"/>
  <c r="E68" i="15" s="1"/>
  <c r="C8" i="19" s="1"/>
  <c r="F8" i="19" s="1"/>
  <c r="E59" i="6"/>
  <c r="G60" i="6" s="1"/>
  <c r="G69" i="15" l="1"/>
  <c r="C69" i="15" s="1"/>
  <c r="D60" i="6"/>
  <c r="C60" i="6"/>
  <c r="D69" i="15" l="1"/>
  <c r="E69" i="15"/>
  <c r="G70" i="15" s="1"/>
  <c r="C70" i="15" s="1"/>
  <c r="E60" i="6"/>
  <c r="I4" i="12"/>
  <c r="E55" i="7" s="1"/>
  <c r="E58" i="7" s="1"/>
  <c r="D70" i="15" l="1"/>
  <c r="E70" i="15" s="1"/>
  <c r="G71" i="15" s="1"/>
  <c r="G61" i="6"/>
  <c r="D71" i="15" l="1"/>
  <c r="C71" i="15"/>
  <c r="E71" i="15" s="1"/>
  <c r="C61" i="6"/>
  <c r="D61" i="6"/>
  <c r="E61" i="6" l="1"/>
  <c r="G72" i="15"/>
  <c r="D72" i="15" l="1"/>
  <c r="C72" i="15"/>
  <c r="G62" i="6"/>
  <c r="E72" i="15" l="1"/>
  <c r="G73" i="15" s="1"/>
  <c r="D62" i="6"/>
  <c r="C62" i="6"/>
  <c r="C73" i="15" l="1"/>
  <c r="D73" i="15"/>
  <c r="E62" i="6"/>
  <c r="G63" i="6" s="1"/>
  <c r="E73" i="15" l="1"/>
  <c r="G74" i="15" s="1"/>
  <c r="D63" i="6"/>
  <c r="C63" i="6"/>
  <c r="E63" i="6" s="1"/>
  <c r="G64" i="6" s="1"/>
  <c r="C74" i="15" l="1"/>
  <c r="D74" i="15"/>
  <c r="C64" i="6"/>
  <c r="D64" i="6"/>
  <c r="E64" i="6" l="1"/>
  <c r="G65" i="6" s="1"/>
  <c r="D65" i="6" s="1"/>
  <c r="E74" i="15"/>
  <c r="G75" i="15" s="1"/>
  <c r="C65" i="6" l="1"/>
  <c r="E65" i="6" s="1"/>
  <c r="G66" i="6" s="1"/>
  <c r="C66" i="6" s="1"/>
  <c r="C75" i="15"/>
  <c r="D75" i="15"/>
  <c r="E75" i="15" l="1"/>
  <c r="G76" i="15" s="1"/>
  <c r="D76" i="15" s="1"/>
  <c r="D66" i="6"/>
  <c r="E66" i="6" s="1"/>
  <c r="G67" i="6" s="1"/>
  <c r="C67" i="6" s="1"/>
  <c r="C76" i="15"/>
  <c r="D67" i="6" l="1"/>
  <c r="E67" i="6" s="1"/>
  <c r="G68" i="6" s="1"/>
  <c r="D68" i="6" s="1"/>
  <c r="E9" i="18" s="1"/>
  <c r="E76" i="15"/>
  <c r="G77" i="15" s="1"/>
  <c r="C77" i="15" s="1"/>
  <c r="D77" i="15" l="1"/>
  <c r="E77" i="15" s="1"/>
  <c r="G78" i="15" s="1"/>
  <c r="D78" i="15" s="1"/>
  <c r="C68" i="6"/>
  <c r="E68" i="6" s="1"/>
  <c r="G69" i="6" s="1"/>
  <c r="C9" i="18" l="1"/>
  <c r="G9" i="18" s="1"/>
  <c r="C78" i="15"/>
  <c r="E78" i="15" s="1"/>
  <c r="G79" i="15" s="1"/>
  <c r="C79" i="15" s="1"/>
  <c r="C69" i="6"/>
  <c r="D69" i="6"/>
  <c r="F9" i="18" l="1"/>
  <c r="D79" i="15"/>
  <c r="E79" i="15" s="1"/>
  <c r="G80" i="15" s="1"/>
  <c r="C80" i="15" s="1"/>
  <c r="E69" i="6"/>
  <c r="D80" i="15" l="1"/>
  <c r="E80" i="15" s="1"/>
  <c r="I4" i="8"/>
  <c r="G70" i="6"/>
  <c r="E9" i="19"/>
  <c r="G81" i="15" l="1"/>
  <c r="C9" i="19"/>
  <c r="F9" i="19" s="1"/>
  <c r="C70" i="6"/>
  <c r="D70" i="6"/>
  <c r="I5" i="8"/>
  <c r="F15" i="10"/>
  <c r="C55" i="7"/>
  <c r="E70" i="6" l="1"/>
  <c r="G55" i="7"/>
  <c r="G58" i="7" s="1"/>
  <c r="C58" i="7"/>
  <c r="D55" i="7"/>
  <c r="D58" i="7" s="1"/>
  <c r="D59" i="7" s="1"/>
  <c r="I6" i="8"/>
  <c r="D81" i="15"/>
  <c r="C81" i="15"/>
  <c r="E81" i="15" l="1"/>
  <c r="G82" i="15" s="1"/>
  <c r="G71" i="6"/>
  <c r="D82" i="15" l="1"/>
  <c r="C82" i="15"/>
  <c r="E82" i="15" s="1"/>
  <c r="D71" i="6"/>
  <c r="C71" i="6"/>
  <c r="E71" i="6" s="1"/>
  <c r="G72" i="6" l="1"/>
  <c r="G83" i="15"/>
  <c r="C72" i="6" l="1"/>
  <c r="D72" i="6"/>
  <c r="C83" i="15"/>
  <c r="D83" i="15"/>
  <c r="E83" i="15" l="1"/>
  <c r="G84" i="15" s="1"/>
  <c r="E72" i="6"/>
  <c r="G73" i="6" l="1"/>
  <c r="D84" i="15"/>
  <c r="C84" i="15"/>
  <c r="E84" i="15" s="1"/>
  <c r="G85" i="15" l="1"/>
  <c r="C73" i="6"/>
  <c r="D73" i="6"/>
  <c r="E73" i="6" l="1"/>
  <c r="D85" i="15"/>
  <c r="C85" i="15"/>
  <c r="E85" i="15" s="1"/>
  <c r="G86" i="15" l="1"/>
  <c r="G74" i="6"/>
  <c r="C74" i="6" l="1"/>
  <c r="D74" i="6"/>
  <c r="C86" i="15"/>
  <c r="D86" i="15"/>
  <c r="E86" i="15" l="1"/>
  <c r="G87" i="15" s="1"/>
  <c r="E74" i="6"/>
  <c r="G75" i="6" s="1"/>
  <c r="C75" i="6" l="1"/>
  <c r="D75" i="6"/>
  <c r="D87" i="15"/>
  <c r="C87" i="15"/>
  <c r="E87" i="15" s="1"/>
  <c r="G88" i="15" s="1"/>
  <c r="E75" i="6" l="1"/>
  <c r="G76" i="6" s="1"/>
  <c r="C76" i="6" s="1"/>
  <c r="D88" i="15"/>
  <c r="C88" i="15"/>
  <c r="D76" i="6" l="1"/>
  <c r="E76" i="6" s="1"/>
  <c r="G77" i="6" s="1"/>
  <c r="D77" i="6" s="1"/>
  <c r="E88" i="15"/>
  <c r="G89" i="15" s="1"/>
  <c r="C77" i="6" l="1"/>
  <c r="E77" i="6" s="1"/>
  <c r="G78" i="6" s="1"/>
  <c r="D78" i="6" s="1"/>
  <c r="C89" i="15"/>
  <c r="D89" i="15"/>
  <c r="E89" i="15" l="1"/>
  <c r="G90" i="15" s="1"/>
  <c r="C78" i="6"/>
  <c r="E78" i="6" s="1"/>
  <c r="G79" i="6" s="1"/>
  <c r="D79" i="6" s="1"/>
  <c r="D90" i="15"/>
  <c r="C90" i="15"/>
  <c r="E90" i="15" s="1"/>
  <c r="G91" i="15" s="1"/>
  <c r="C79" i="6" l="1"/>
  <c r="E79" i="6" s="1"/>
  <c r="G80" i="6" s="1"/>
  <c r="C91" i="15"/>
  <c r="D91" i="15"/>
  <c r="E91" i="15" l="1"/>
  <c r="G92" i="15" s="1"/>
  <c r="C80" i="6"/>
  <c r="D80" i="6"/>
  <c r="E10" i="18" s="1"/>
  <c r="E80" i="6" l="1"/>
  <c r="G81" i="6" s="1"/>
  <c r="D92" i="15"/>
  <c r="E10" i="19" s="1"/>
  <c r="C92" i="15"/>
  <c r="C10" i="18" l="1"/>
  <c r="G10" i="18" s="1"/>
  <c r="E92" i="15"/>
  <c r="G93" i="15" s="1"/>
  <c r="C10" i="19"/>
  <c r="F10" i="19" s="1"/>
  <c r="F10" i="18"/>
  <c r="D81" i="6"/>
  <c r="C81" i="6"/>
  <c r="E81" i="6" l="1"/>
  <c r="G82" i="6" s="1"/>
  <c r="C93" i="15"/>
  <c r="D93" i="15"/>
  <c r="E93" i="15" l="1"/>
  <c r="C82" i="6"/>
  <c r="D82" i="6"/>
  <c r="E82" i="6" l="1"/>
  <c r="G94" i="15"/>
  <c r="C94" i="15" l="1"/>
  <c r="D94" i="15"/>
  <c r="G83" i="6"/>
  <c r="D83" i="6" l="1"/>
  <c r="C83" i="6"/>
  <c r="E94" i="15"/>
  <c r="E83" i="6" l="1"/>
  <c r="G84" i="6" s="1"/>
  <c r="G95" i="15"/>
  <c r="D84" i="6" l="1"/>
  <c r="C84" i="6"/>
  <c r="D95" i="15"/>
  <c r="C95" i="15"/>
  <c r="E95" i="15" l="1"/>
  <c r="G96" i="15" s="1"/>
  <c r="E84" i="6"/>
  <c r="G85" i="6" s="1"/>
  <c r="D85" i="6" l="1"/>
  <c r="C85" i="6"/>
  <c r="D96" i="15"/>
  <c r="C96" i="15"/>
  <c r="E96" i="15" s="1"/>
  <c r="E85" i="6" l="1"/>
  <c r="G86" i="6" s="1"/>
  <c r="G97" i="15"/>
  <c r="C97" i="15" l="1"/>
  <c r="D97" i="15"/>
  <c r="C86" i="6"/>
  <c r="D86" i="6"/>
  <c r="E86" i="6" l="1"/>
  <c r="G87" i="6" s="1"/>
  <c r="E97" i="15"/>
  <c r="G98" i="15" l="1"/>
  <c r="C87" i="6"/>
  <c r="D87" i="6"/>
  <c r="E87" i="6" l="1"/>
  <c r="G88" i="6" s="1"/>
  <c r="D98" i="15"/>
  <c r="C98" i="15"/>
  <c r="E98" i="15" s="1"/>
  <c r="G99" i="15" s="1"/>
  <c r="D99" i="15" l="1"/>
  <c r="C99" i="15"/>
  <c r="E99" i="15" s="1"/>
  <c r="G100" i="15" s="1"/>
  <c r="C88" i="6"/>
  <c r="D88" i="6"/>
  <c r="E88" i="6" l="1"/>
  <c r="G89" i="6" s="1"/>
  <c r="D89" i="6" s="1"/>
  <c r="C100" i="15"/>
  <c r="D100" i="15"/>
  <c r="C89" i="6" l="1"/>
  <c r="E89" i="6" s="1"/>
  <c r="G90" i="6" s="1"/>
  <c r="E100" i="15"/>
  <c r="G101" i="15" s="1"/>
  <c r="C90" i="6" l="1"/>
  <c r="D90" i="6"/>
  <c r="D101" i="15"/>
  <c r="C101" i="15"/>
  <c r="E101" i="15" s="1"/>
  <c r="G102" i="15" s="1"/>
  <c r="E90" i="6" l="1"/>
  <c r="G91" i="6" s="1"/>
  <c r="D102" i="15"/>
  <c r="C102" i="15"/>
  <c r="E102" i="15" s="1"/>
  <c r="G103" i="15" s="1"/>
  <c r="C91" i="6"/>
  <c r="D91" i="6"/>
  <c r="C103" i="15" l="1"/>
  <c r="D103" i="15"/>
  <c r="E91" i="6"/>
  <c r="G92" i="6" s="1"/>
  <c r="E103" i="15" l="1"/>
  <c r="G104" i="15" s="1"/>
  <c r="C104" i="15" s="1"/>
  <c r="C92" i="6"/>
  <c r="D92" i="6"/>
  <c r="E11" i="18" s="1"/>
  <c r="D104" i="15" l="1"/>
  <c r="E92" i="6"/>
  <c r="G93" i="6" s="1"/>
  <c r="C11" i="18"/>
  <c r="G11" i="18" s="1"/>
  <c r="E104" i="15"/>
  <c r="E11" i="19"/>
  <c r="G105" i="15" l="1"/>
  <c r="C11" i="19"/>
  <c r="F11" i="19" s="1"/>
  <c r="F11" i="18"/>
  <c r="D93" i="6"/>
  <c r="C93" i="6"/>
  <c r="E93" i="6" l="1"/>
  <c r="D105" i="15"/>
  <c r="C105" i="15"/>
  <c r="E105" i="15" s="1"/>
  <c r="G106" i="15" l="1"/>
  <c r="G94" i="6"/>
  <c r="D94" i="6" l="1"/>
  <c r="C94" i="6"/>
  <c r="D106" i="15"/>
  <c r="C106" i="15"/>
  <c r="E106" i="15" l="1"/>
  <c r="G107" i="15" s="1"/>
  <c r="E94" i="6"/>
  <c r="G95" i="6" s="1"/>
  <c r="D95" i="6" l="1"/>
  <c r="C95" i="6"/>
  <c r="D107" i="15"/>
  <c r="C107" i="15"/>
  <c r="E107" i="15" l="1"/>
  <c r="E95" i="6"/>
  <c r="G96" i="6" s="1"/>
  <c r="G108" i="15"/>
  <c r="D96" i="6" l="1"/>
  <c r="C96" i="6"/>
  <c r="C108" i="15"/>
  <c r="D108" i="15"/>
  <c r="E96" i="6" l="1"/>
  <c r="E108" i="15"/>
  <c r="G109" i="15" s="1"/>
  <c r="G97" i="6"/>
  <c r="C97" i="6" l="1"/>
  <c r="D97" i="6"/>
  <c r="C109" i="15"/>
  <c r="D109" i="15"/>
  <c r="E109" i="15" l="1"/>
  <c r="E97" i="6"/>
  <c r="G98" i="6" l="1"/>
  <c r="G110" i="15"/>
  <c r="D110" i="15" l="1"/>
  <c r="C110" i="15"/>
  <c r="E110" i="15" s="1"/>
  <c r="G111" i="15" s="1"/>
  <c r="D98" i="6"/>
  <c r="C98" i="6"/>
  <c r="E98" i="6" s="1"/>
  <c r="G99" i="6" s="1"/>
  <c r="D99" i="6" l="1"/>
  <c r="C99" i="6"/>
  <c r="D111" i="15"/>
  <c r="C111" i="15"/>
  <c r="E111" i="15" l="1"/>
  <c r="G112" i="15" s="1"/>
  <c r="E99" i="6"/>
  <c r="G100" i="6" s="1"/>
  <c r="C100" i="6" s="1"/>
  <c r="C112" i="15"/>
  <c r="D112" i="15"/>
  <c r="D100" i="6" l="1"/>
  <c r="E100" i="6" s="1"/>
  <c r="G101" i="6" s="1"/>
  <c r="E112" i="15"/>
  <c r="G113" i="15" s="1"/>
  <c r="C113" i="15" s="1"/>
  <c r="D113" i="15" l="1"/>
  <c r="C101" i="6"/>
  <c r="D101" i="6"/>
  <c r="E113" i="15"/>
  <c r="G114" i="15" s="1"/>
  <c r="D114" i="15" s="1"/>
  <c r="E101" i="6" l="1"/>
  <c r="G102" i="6" s="1"/>
  <c r="C102" i="6" s="1"/>
  <c r="C114" i="15"/>
  <c r="E114" i="15" s="1"/>
  <c r="G115" i="15" s="1"/>
  <c r="D115" i="15" s="1"/>
  <c r="D102" i="6" l="1"/>
  <c r="C115" i="15"/>
  <c r="E115" i="15" s="1"/>
  <c r="G116" i="15" s="1"/>
  <c r="E102" i="6"/>
  <c r="G103" i="6" s="1"/>
  <c r="D116" i="15" l="1"/>
  <c r="E12" i="19" s="1"/>
  <c r="C116" i="15"/>
  <c r="E116" i="15" s="1"/>
  <c r="G117" i="15" s="1"/>
  <c r="C103" i="6"/>
  <c r="D103" i="6"/>
  <c r="C12" i="19" l="1"/>
  <c r="F12" i="19" s="1"/>
  <c r="C117" i="15"/>
  <c r="D117" i="15"/>
  <c r="E103" i="6"/>
  <c r="G104" i="6" s="1"/>
  <c r="D104" i="6" l="1"/>
  <c r="E12" i="18" s="1"/>
  <c r="C104" i="6"/>
  <c r="E117" i="15"/>
  <c r="E104" i="6" l="1"/>
  <c r="G105" i="6" s="1"/>
  <c r="C12" i="18"/>
  <c r="G118" i="15"/>
  <c r="G12" i="18" l="1"/>
  <c r="F12" i="18"/>
  <c r="C118" i="15"/>
  <c r="D118" i="15"/>
  <c r="D105" i="6"/>
  <c r="C105" i="6"/>
  <c r="E105" i="6" s="1"/>
  <c r="E118" i="15" l="1"/>
  <c r="G119" i="15"/>
  <c r="G106" i="6"/>
  <c r="D106" i="6" l="1"/>
  <c r="C106" i="6"/>
  <c r="D119" i="15"/>
  <c r="C119" i="15"/>
  <c r="E119" i="15" l="1"/>
  <c r="E106" i="6"/>
  <c r="G107" i="6" s="1"/>
  <c r="G120" i="15"/>
  <c r="D107" i="6" l="1"/>
  <c r="C107" i="6"/>
  <c r="E107" i="6" s="1"/>
  <c r="D120" i="15"/>
  <c r="C120" i="15"/>
  <c r="E120" i="15" s="1"/>
  <c r="G108" i="6" l="1"/>
  <c r="G121" i="15"/>
  <c r="C121" i="15" l="1"/>
  <c r="D121" i="15"/>
  <c r="D108" i="6"/>
  <c r="C108" i="6"/>
  <c r="E108" i="6" l="1"/>
  <c r="E121" i="15"/>
  <c r="G122" i="15" s="1"/>
  <c r="G109" i="6"/>
  <c r="C109" i="6" l="1"/>
  <c r="D109" i="6"/>
  <c r="C122" i="15"/>
  <c r="D122" i="15"/>
  <c r="E109" i="6" l="1"/>
  <c r="G110" i="6" s="1"/>
  <c r="E122" i="15"/>
  <c r="G123" i="15" s="1"/>
  <c r="D123" i="15" s="1"/>
  <c r="C123" i="15" l="1"/>
  <c r="E123" i="15" s="1"/>
  <c r="G124" i="15" s="1"/>
  <c r="D124" i="15" s="1"/>
  <c r="C110" i="6"/>
  <c r="D110" i="6"/>
  <c r="C124" i="15" l="1"/>
  <c r="E124" i="15" s="1"/>
  <c r="G125" i="15" s="1"/>
  <c r="D125" i="15" s="1"/>
  <c r="E110" i="6"/>
  <c r="G111" i="6" s="1"/>
  <c r="C125" i="15" l="1"/>
  <c r="E125" i="15" s="1"/>
  <c r="G126" i="15" s="1"/>
  <c r="D126" i="15" s="1"/>
  <c r="D111" i="6"/>
  <c r="C111" i="6"/>
  <c r="C126" i="15" l="1"/>
  <c r="E126" i="15" s="1"/>
  <c r="G127" i="15" s="1"/>
  <c r="E111" i="6"/>
  <c r="G112" i="6" s="1"/>
  <c r="D112" i="6" s="1"/>
  <c r="C127" i="15" l="1"/>
  <c r="D127" i="15"/>
  <c r="C112" i="6"/>
  <c r="E112" i="6" s="1"/>
  <c r="G113" i="6" s="1"/>
  <c r="E127" i="15" l="1"/>
  <c r="G128" i="15" s="1"/>
  <c r="C113" i="6"/>
  <c r="D113" i="6"/>
  <c r="C128" i="15" l="1"/>
  <c r="D128" i="15"/>
  <c r="E13" i="19" s="1"/>
  <c r="E113" i="6"/>
  <c r="G114" i="6" s="1"/>
  <c r="D114" i="6" s="1"/>
  <c r="C114" i="6" l="1"/>
  <c r="E114" i="6" s="1"/>
  <c r="G115" i="6" s="1"/>
  <c r="C115" i="6" s="1"/>
  <c r="E128" i="15"/>
  <c r="D115" i="6" l="1"/>
  <c r="E115" i="6" s="1"/>
  <c r="G116" i="6" s="1"/>
  <c r="D116" i="6" s="1"/>
  <c r="E13" i="18" s="1"/>
  <c r="G129" i="15"/>
  <c r="C129" i="15" s="1"/>
  <c r="C13" i="19"/>
  <c r="F13" i="19" s="1"/>
  <c r="D129" i="15"/>
  <c r="E129" i="15" l="1"/>
  <c r="G130" i="15" s="1"/>
  <c r="C116" i="6"/>
  <c r="E116" i="6" s="1"/>
  <c r="G117" i="6" s="1"/>
  <c r="D117" i="6" s="1"/>
  <c r="I8" i="12"/>
  <c r="E62" i="7" s="1"/>
  <c r="E64" i="7" s="1"/>
  <c r="C117" i="6" l="1"/>
  <c r="C13" i="18"/>
  <c r="F13" i="18" s="1"/>
  <c r="C130" i="15"/>
  <c r="D130" i="15"/>
  <c r="E117" i="6"/>
  <c r="G118" i="6" s="1"/>
  <c r="G13" i="18" l="1"/>
  <c r="E130" i="15"/>
  <c r="G131" i="15" s="1"/>
  <c r="D131" i="15" s="1"/>
  <c r="D118" i="6"/>
  <c r="C118" i="6"/>
  <c r="C131" i="15" l="1"/>
  <c r="E131" i="15" s="1"/>
  <c r="G132" i="15" s="1"/>
  <c r="E118" i="6"/>
  <c r="G119" i="6" s="1"/>
  <c r="C132" i="15" l="1"/>
  <c r="D132" i="15"/>
  <c r="C119" i="6"/>
  <c r="D119" i="6"/>
  <c r="E132" i="15" l="1"/>
  <c r="G133" i="15" s="1"/>
  <c r="E119" i="6"/>
  <c r="G120" i="6" l="1"/>
  <c r="D133" i="15"/>
  <c r="C133" i="15"/>
  <c r="E133" i="15" s="1"/>
  <c r="G134" i="15" l="1"/>
  <c r="D120" i="6"/>
  <c r="C120" i="6"/>
  <c r="E120" i="6" s="1"/>
  <c r="G121" i="6" l="1"/>
  <c r="D134" i="15"/>
  <c r="C134" i="15"/>
  <c r="E134" i="15" s="1"/>
  <c r="G135" i="15" s="1"/>
  <c r="C135" i="15" l="1"/>
  <c r="D135" i="15"/>
  <c r="C121" i="6"/>
  <c r="D121" i="6"/>
  <c r="E121" i="6" l="1"/>
  <c r="G122" i="6" s="1"/>
  <c r="E135" i="15"/>
  <c r="G136" i="15" s="1"/>
  <c r="D136" i="15" l="1"/>
  <c r="C136" i="15"/>
  <c r="E136" i="15" s="1"/>
  <c r="G137" i="15" s="1"/>
  <c r="C122" i="6"/>
  <c r="D122" i="6"/>
  <c r="E122" i="6" l="1"/>
  <c r="G123" i="6" s="1"/>
  <c r="D123" i="6" s="1"/>
  <c r="D137" i="15"/>
  <c r="C137" i="15"/>
  <c r="C123" i="6" l="1"/>
  <c r="E123" i="6" s="1"/>
  <c r="G124" i="6" s="1"/>
  <c r="E137" i="15"/>
  <c r="G138" i="15" s="1"/>
  <c r="D138" i="15" s="1"/>
  <c r="C138" i="15" l="1"/>
  <c r="E138" i="15" s="1"/>
  <c r="G139" i="15" s="1"/>
  <c r="C124" i="6"/>
  <c r="D124" i="6"/>
  <c r="D139" i="15" l="1"/>
  <c r="C139" i="15"/>
  <c r="E124" i="6"/>
  <c r="G125" i="6" s="1"/>
  <c r="C125" i="6" s="1"/>
  <c r="E139" i="15" l="1"/>
  <c r="G140" i="15" s="1"/>
  <c r="D140" i="15" s="1"/>
  <c r="E14" i="19" s="1"/>
  <c r="D125" i="6"/>
  <c r="E125" i="6" s="1"/>
  <c r="G126" i="6" s="1"/>
  <c r="D126" i="6" s="1"/>
  <c r="C140" i="15"/>
  <c r="C126" i="6" l="1"/>
  <c r="E126" i="6" s="1"/>
  <c r="G127" i="6" s="1"/>
  <c r="E140" i="15"/>
  <c r="G141" i="15" l="1"/>
  <c r="C141" i="15" s="1"/>
  <c r="C14" i="19"/>
  <c r="F14" i="19" s="1"/>
  <c r="D141" i="15"/>
  <c r="E141" i="15" s="1"/>
  <c r="D127" i="6"/>
  <c r="C127" i="6"/>
  <c r="E127" i="6" l="1"/>
  <c r="G128" i="6" s="1"/>
  <c r="C128" i="6" s="1"/>
  <c r="G142" i="15"/>
  <c r="D128" i="6" l="1"/>
  <c r="E14" i="18" s="1"/>
  <c r="D142" i="15"/>
  <c r="C142" i="15"/>
  <c r="E128" i="6" l="1"/>
  <c r="E142" i="15"/>
  <c r="G143" i="15" s="1"/>
  <c r="C14" i="18" l="1"/>
  <c r="G129" i="6"/>
  <c r="C143" i="15"/>
  <c r="D143" i="15"/>
  <c r="C129" i="6" l="1"/>
  <c r="D129" i="6"/>
  <c r="F14" i="18"/>
  <c r="G14" i="18"/>
  <c r="E143" i="15"/>
  <c r="E129" i="6" l="1"/>
  <c r="G144" i="15"/>
  <c r="G130" i="6" l="1"/>
  <c r="I8" i="8"/>
  <c r="D144" i="15"/>
  <c r="C144" i="15"/>
  <c r="C62" i="7" l="1"/>
  <c r="F20" i="10"/>
  <c r="I9" i="8"/>
  <c r="D130" i="6"/>
  <c r="C130" i="6"/>
  <c r="E144" i="15"/>
  <c r="G145" i="15" s="1"/>
  <c r="D62" i="7" l="1"/>
  <c r="D64" i="7" s="1"/>
  <c r="I10" i="8"/>
  <c r="E130" i="6"/>
  <c r="G131" i="6" s="1"/>
  <c r="C131" i="6" s="1"/>
  <c r="G62" i="7"/>
  <c r="G64" i="7" s="1"/>
  <c r="C64" i="7"/>
  <c r="D65" i="7" s="1"/>
  <c r="D131" i="6"/>
  <c r="D145" i="15"/>
  <c r="C145" i="15"/>
  <c r="E145" i="15" l="1"/>
  <c r="G146" i="15"/>
  <c r="E131" i="6"/>
  <c r="D146" i="15" l="1"/>
  <c r="C146" i="15"/>
  <c r="E146" i="15" s="1"/>
  <c r="G147" i="15" s="1"/>
  <c r="G132" i="6"/>
  <c r="C132" i="6" l="1"/>
  <c r="D132" i="6"/>
  <c r="C147" i="15"/>
  <c r="D147" i="15"/>
  <c r="E147" i="15" l="1"/>
  <c r="G148" i="15" s="1"/>
  <c r="D148" i="15" s="1"/>
  <c r="E132" i="6"/>
  <c r="C148" i="15" l="1"/>
  <c r="E148" i="15" s="1"/>
  <c r="G149" i="15" s="1"/>
  <c r="D149" i="15" s="1"/>
  <c r="G133" i="6"/>
  <c r="C149" i="15" l="1"/>
  <c r="E149" i="15" s="1"/>
  <c r="G150" i="15" s="1"/>
  <c r="C150" i="15" s="1"/>
  <c r="C133" i="6"/>
  <c r="D133" i="6"/>
  <c r="D150" i="15" l="1"/>
  <c r="E150" i="15" s="1"/>
  <c r="G151" i="15" s="1"/>
  <c r="D151" i="15" s="1"/>
  <c r="E133" i="6"/>
  <c r="G134" i="6" s="1"/>
  <c r="C151" i="15" l="1"/>
  <c r="E151" i="15" s="1"/>
  <c r="G152" i="15" s="1"/>
  <c r="C152" i="15" s="1"/>
  <c r="C134" i="6"/>
  <c r="D134" i="6"/>
  <c r="D152" i="15" l="1"/>
  <c r="E15" i="19" s="1"/>
  <c r="E134" i="6"/>
  <c r="G135" i="6" s="1"/>
  <c r="C135" i="6" s="1"/>
  <c r="D135" i="6" l="1"/>
  <c r="E135" i="6" s="1"/>
  <c r="G136" i="6" s="1"/>
  <c r="E152" i="15"/>
  <c r="G153" i="15" s="1"/>
  <c r="C15" i="19"/>
  <c r="F15" i="19" s="1"/>
  <c r="C136" i="6" l="1"/>
  <c r="D136" i="6"/>
  <c r="D153" i="15"/>
  <c r="C153" i="15"/>
  <c r="E153" i="15" s="1"/>
  <c r="G154" i="15" l="1"/>
  <c r="E136" i="6"/>
  <c r="G137" i="6" s="1"/>
  <c r="D137" i="6" l="1"/>
  <c r="C137" i="6"/>
  <c r="C154" i="15"/>
  <c r="D154" i="15"/>
  <c r="E137" i="6" l="1"/>
  <c r="G138" i="6" s="1"/>
  <c r="C138" i="6" s="1"/>
  <c r="E154" i="15"/>
  <c r="D138" i="6" l="1"/>
  <c r="E138" i="6" s="1"/>
  <c r="G139" i="6" s="1"/>
  <c r="D139" i="6" s="1"/>
  <c r="G155" i="15"/>
  <c r="C139" i="6" l="1"/>
  <c r="E139" i="6" s="1"/>
  <c r="G140" i="6" s="1"/>
  <c r="D140" i="6" s="1"/>
  <c r="E15" i="18" s="1"/>
  <c r="D155" i="15"/>
  <c r="C155" i="15"/>
  <c r="C140" i="6" l="1"/>
  <c r="E140" i="6" s="1"/>
  <c r="G141" i="6" s="1"/>
  <c r="E155" i="15"/>
  <c r="G156" i="15" s="1"/>
  <c r="C15" i="18" l="1"/>
  <c r="G15" i="18" s="1"/>
  <c r="C141" i="6"/>
  <c r="D141" i="6"/>
  <c r="C156" i="15"/>
  <c r="D156" i="15"/>
  <c r="F15" i="18" l="1"/>
  <c r="E156" i="15"/>
  <c r="G157" i="15" s="1"/>
  <c r="E141" i="6"/>
  <c r="G142" i="6" l="1"/>
  <c r="D157" i="15"/>
  <c r="C157" i="15"/>
  <c r="E157" i="15" s="1"/>
  <c r="G158" i="15" l="1"/>
  <c r="C142" i="6"/>
  <c r="D142" i="6"/>
  <c r="E142" i="6" l="1"/>
  <c r="G143" i="6" s="1"/>
  <c r="C158" i="15"/>
  <c r="D158" i="15"/>
  <c r="E158" i="15" l="1"/>
  <c r="G159" i="15" s="1"/>
  <c r="C143" i="6"/>
  <c r="D143" i="6"/>
  <c r="E143" i="6" l="1"/>
  <c r="C159" i="15"/>
  <c r="D159" i="15"/>
  <c r="E159" i="15" l="1"/>
  <c r="G144" i="6"/>
  <c r="C144" i="6" l="1"/>
  <c r="D144" i="6"/>
  <c r="G160" i="15"/>
  <c r="E144" i="6" l="1"/>
  <c r="G145" i="6" s="1"/>
  <c r="C160" i="15"/>
  <c r="D160" i="15"/>
  <c r="E160" i="15" l="1"/>
  <c r="G161" i="15" s="1"/>
  <c r="D145" i="6"/>
  <c r="C145" i="6"/>
  <c r="E145" i="6" s="1"/>
  <c r="G146" i="6" l="1"/>
  <c r="D161" i="15"/>
  <c r="C161" i="15"/>
  <c r="E161" i="15" s="1"/>
  <c r="G162" i="15" s="1"/>
  <c r="C162" i="15" l="1"/>
  <c r="D162" i="15"/>
  <c r="C146" i="6"/>
  <c r="D146" i="6"/>
  <c r="E162" i="15" l="1"/>
  <c r="G163" i="15" s="1"/>
  <c r="C163" i="15" s="1"/>
  <c r="E146" i="6"/>
  <c r="G147" i="6" s="1"/>
  <c r="D147" i="6" s="1"/>
  <c r="D163" i="15" l="1"/>
  <c r="C147" i="6"/>
  <c r="E147" i="6" s="1"/>
  <c r="G148" i="6" s="1"/>
  <c r="C148" i="6" s="1"/>
  <c r="E163" i="15"/>
  <c r="G164" i="15" s="1"/>
  <c r="D148" i="6" l="1"/>
  <c r="E148" i="6" s="1"/>
  <c r="C164" i="15"/>
  <c r="D164" i="15"/>
  <c r="E164" i="15" l="1"/>
  <c r="E16" i="19"/>
  <c r="G149" i="6"/>
  <c r="C149" i="6" l="1"/>
  <c r="D149" i="6"/>
  <c r="G165" i="15"/>
  <c r="C16" i="19"/>
  <c r="F16" i="19" s="1"/>
  <c r="C165" i="15" l="1"/>
  <c r="D165" i="15"/>
  <c r="E149" i="6"/>
  <c r="G150" i="6" l="1"/>
  <c r="E165" i="15"/>
  <c r="G166" i="15" l="1"/>
  <c r="C150" i="6"/>
  <c r="D150" i="6"/>
  <c r="E150" i="6" l="1"/>
  <c r="C166" i="15"/>
  <c r="D166" i="15"/>
  <c r="E166" i="15" l="1"/>
  <c r="G151" i="6"/>
  <c r="C151" i="6" l="1"/>
  <c r="D151" i="6"/>
  <c r="G167" i="15"/>
  <c r="C167" i="15" l="1"/>
  <c r="D167" i="15"/>
  <c r="E151" i="6"/>
  <c r="G152" i="6" l="1"/>
  <c r="E167" i="15"/>
  <c r="G168" i="15" l="1"/>
  <c r="D152" i="6"/>
  <c r="E16" i="18" s="1"/>
  <c r="C152" i="6"/>
  <c r="E152" i="6" s="1"/>
  <c r="G153" i="6" l="1"/>
  <c r="C16" i="18"/>
  <c r="C168" i="15"/>
  <c r="D168" i="15"/>
  <c r="E168" i="15" l="1"/>
  <c r="G169" i="15" s="1"/>
  <c r="G16" i="18"/>
  <c r="F16" i="18"/>
  <c r="C153" i="6"/>
  <c r="D153" i="6"/>
  <c r="E153" i="6" l="1"/>
  <c r="C169" i="15"/>
  <c r="D169" i="15"/>
  <c r="E169" i="15" l="1"/>
  <c r="G170" i="15"/>
  <c r="G154" i="6"/>
  <c r="C154" i="6" l="1"/>
  <c r="D154" i="6"/>
  <c r="D170" i="15"/>
  <c r="C170" i="15"/>
  <c r="E170" i="15" l="1"/>
  <c r="G171" i="15" s="1"/>
  <c r="C171" i="15" s="1"/>
  <c r="D171" i="15"/>
  <c r="E154" i="6"/>
  <c r="E171" i="15" l="1"/>
  <c r="G172" i="15" s="1"/>
  <c r="C172" i="15" s="1"/>
  <c r="G155" i="6"/>
  <c r="D172" i="15" l="1"/>
  <c r="E172" i="15" s="1"/>
  <c r="G173" i="15" s="1"/>
  <c r="C155" i="6"/>
  <c r="D155" i="6"/>
  <c r="E155" i="6" l="1"/>
  <c r="D173" i="15"/>
  <c r="C173" i="15"/>
  <c r="E173" i="15" l="1"/>
  <c r="G174" i="15" s="1"/>
  <c r="C174" i="15" s="1"/>
  <c r="G156" i="6"/>
  <c r="D174" i="15" l="1"/>
  <c r="E174" i="15" s="1"/>
  <c r="G175" i="15" s="1"/>
  <c r="C156" i="6"/>
  <c r="D156" i="6"/>
  <c r="D175" i="15" l="1"/>
  <c r="C175" i="15"/>
  <c r="E175" i="15" s="1"/>
  <c r="G176" i="15" s="1"/>
  <c r="E156" i="6"/>
  <c r="D176" i="15" l="1"/>
  <c r="E17" i="19" s="1"/>
  <c r="C176" i="15"/>
  <c r="G157" i="6"/>
  <c r="E176" i="15" l="1"/>
  <c r="G177" i="15" s="1"/>
  <c r="C157" i="6"/>
  <c r="D157" i="6"/>
  <c r="C17" i="19"/>
  <c r="F17" i="19" s="1"/>
  <c r="D177" i="15" l="1"/>
  <c r="C177" i="15"/>
  <c r="E157" i="6"/>
  <c r="E177" i="15" l="1"/>
  <c r="G178" i="15" s="1"/>
  <c r="G158" i="6"/>
  <c r="D178" i="15" l="1"/>
  <c r="C178" i="15"/>
  <c r="D158" i="6"/>
  <c r="C158" i="6"/>
  <c r="E158" i="6" s="1"/>
  <c r="G159" i="6" s="1"/>
  <c r="E178" i="15" l="1"/>
  <c r="G179" i="15" s="1"/>
  <c r="D159" i="6"/>
  <c r="C159" i="6"/>
  <c r="E159" i="6" l="1"/>
  <c r="G160" i="6" s="1"/>
  <c r="C160" i="6" s="1"/>
  <c r="D179" i="15"/>
  <c r="C179" i="15"/>
  <c r="D160" i="6" l="1"/>
  <c r="E160" i="6" s="1"/>
  <c r="G161" i="6" s="1"/>
  <c r="E179" i="15"/>
  <c r="G180" i="15" s="1"/>
  <c r="C180" i="15" l="1"/>
  <c r="D180" i="15"/>
  <c r="D161" i="6"/>
  <c r="C161" i="6"/>
  <c r="E161" i="6" s="1"/>
  <c r="G162" i="6" s="1"/>
  <c r="E180" i="15" l="1"/>
  <c r="C162" i="6"/>
  <c r="D162" i="6"/>
  <c r="G181" i="15"/>
  <c r="E162" i="6" l="1"/>
  <c r="G163" i="6" s="1"/>
  <c r="C163" i="6" s="1"/>
  <c r="C181" i="15"/>
  <c r="D181" i="15"/>
  <c r="D163" i="6" l="1"/>
  <c r="E163" i="6" s="1"/>
  <c r="G164" i="6" s="1"/>
  <c r="E181" i="15"/>
  <c r="C164" i="6" l="1"/>
  <c r="D164" i="6"/>
  <c r="E17" i="18" s="1"/>
  <c r="G182" i="15"/>
  <c r="E164" i="6" l="1"/>
  <c r="G165" i="6" s="1"/>
  <c r="C182" i="15"/>
  <c r="D182" i="15"/>
  <c r="C17" i="18"/>
  <c r="E182" i="15" l="1"/>
  <c r="G183" i="15" s="1"/>
  <c r="C183" i="15" s="1"/>
  <c r="G17" i="18"/>
  <c r="F17" i="18"/>
  <c r="D165" i="6"/>
  <c r="C165" i="6"/>
  <c r="D183" i="15" l="1"/>
  <c r="E183" i="15" s="1"/>
  <c r="G184" i="15" s="1"/>
  <c r="E165" i="6"/>
  <c r="G166" i="6" s="1"/>
  <c r="D184" i="15" l="1"/>
  <c r="C184" i="15"/>
  <c r="C166" i="6"/>
  <c r="D166" i="6"/>
  <c r="E184" i="15" l="1"/>
  <c r="G185" i="15" s="1"/>
  <c r="D185" i="15" s="1"/>
  <c r="E166" i="6"/>
  <c r="C185" i="15" l="1"/>
  <c r="E185" i="15" s="1"/>
  <c r="G186" i="15" s="1"/>
  <c r="D186" i="15" s="1"/>
  <c r="G167" i="6"/>
  <c r="C186" i="15" l="1"/>
  <c r="E186" i="15" s="1"/>
  <c r="G187" i="15" s="1"/>
  <c r="C187" i="15" s="1"/>
  <c r="D167" i="6"/>
  <c r="C167" i="6"/>
  <c r="D187" i="15" l="1"/>
  <c r="E187" i="15" s="1"/>
  <c r="G188" i="15" s="1"/>
  <c r="C188" i="15" s="1"/>
  <c r="E167" i="6"/>
  <c r="G168" i="6" s="1"/>
  <c r="D188" i="15" l="1"/>
  <c r="E188" i="15" s="1"/>
  <c r="E18" i="19"/>
  <c r="C168" i="6"/>
  <c r="D168" i="6"/>
  <c r="E168" i="6" l="1"/>
  <c r="G169" i="6" s="1"/>
  <c r="C18" i="19"/>
  <c r="F18" i="19" s="1"/>
  <c r="G189" i="15"/>
  <c r="D189" i="15" l="1"/>
  <c r="C189" i="15"/>
  <c r="E189" i="15" s="1"/>
  <c r="C169" i="6"/>
  <c r="D169" i="6"/>
  <c r="I12" i="12" l="1"/>
  <c r="E68" i="7" s="1"/>
  <c r="G190" i="15"/>
  <c r="E169" i="6"/>
  <c r="C190" i="15" l="1"/>
  <c r="D190" i="15"/>
  <c r="E70" i="7"/>
  <c r="G170" i="6"/>
  <c r="D170" i="6" l="1"/>
  <c r="C170" i="6"/>
  <c r="E190" i="15"/>
  <c r="E170" i="6" l="1"/>
  <c r="G171" i="6" s="1"/>
  <c r="D171" i="6" s="1"/>
  <c r="G191" i="15"/>
  <c r="C171" i="6" l="1"/>
  <c r="E171" i="6" s="1"/>
  <c r="G172" i="6" s="1"/>
  <c r="D172" i="6" s="1"/>
  <c r="C191" i="15"/>
  <c r="D191" i="15"/>
  <c r="C172" i="6" l="1"/>
  <c r="E172" i="6" s="1"/>
  <c r="G173" i="6" s="1"/>
  <c r="E191" i="15"/>
  <c r="D173" i="6" l="1"/>
  <c r="C173" i="6"/>
  <c r="G192" i="15"/>
  <c r="E173" i="6" l="1"/>
  <c r="G174" i="6" s="1"/>
  <c r="C174" i="6" s="1"/>
  <c r="D192" i="15"/>
  <c r="C192" i="15"/>
  <c r="E192" i="15" s="1"/>
  <c r="D174" i="6" l="1"/>
  <c r="E174" i="6" s="1"/>
  <c r="G175" i="6" s="1"/>
  <c r="C175" i="6" s="1"/>
  <c r="G193" i="15"/>
  <c r="D175" i="6" l="1"/>
  <c r="E175" i="6" s="1"/>
  <c r="G176" i="6" s="1"/>
  <c r="D176" i="6" s="1"/>
  <c r="E18" i="18" s="1"/>
  <c r="C193" i="15"/>
  <c r="D193" i="15"/>
  <c r="C176" i="6" l="1"/>
  <c r="E176" i="6" s="1"/>
  <c r="G177" i="6" s="1"/>
  <c r="E193" i="15"/>
  <c r="G194" i="15" s="1"/>
  <c r="C18" i="18" l="1"/>
  <c r="G18" i="18" s="1"/>
  <c r="D177" i="6"/>
  <c r="C177" i="6"/>
  <c r="C194" i="15"/>
  <c r="D194" i="15"/>
  <c r="F18" i="18" l="1"/>
  <c r="E177" i="6"/>
  <c r="G178" i="6" s="1"/>
  <c r="E194" i="15"/>
  <c r="G195" i="15" s="1"/>
  <c r="D178" i="6" l="1"/>
  <c r="C178" i="6"/>
  <c r="D195" i="15"/>
  <c r="C195" i="15"/>
  <c r="E195" i="15" s="1"/>
  <c r="G196" i="15" s="1"/>
  <c r="E178" i="6" l="1"/>
  <c r="G179" i="6" s="1"/>
  <c r="C196" i="15"/>
  <c r="D196" i="15"/>
  <c r="E196" i="15" l="1"/>
  <c r="G197" i="15" s="1"/>
  <c r="D197" i="15" s="1"/>
  <c r="D179" i="6"/>
  <c r="C179" i="6"/>
  <c r="C197" i="15" l="1"/>
  <c r="E197" i="15" s="1"/>
  <c r="G198" i="15" s="1"/>
  <c r="E179" i="6"/>
  <c r="G180" i="6" s="1"/>
  <c r="C198" i="15" l="1"/>
  <c r="D198" i="15"/>
  <c r="C180" i="6"/>
  <c r="D180" i="6"/>
  <c r="E198" i="15" l="1"/>
  <c r="G199" i="15" s="1"/>
  <c r="D199" i="15" s="1"/>
  <c r="C199" i="15"/>
  <c r="E199" i="15" s="1"/>
  <c r="G200" i="15" s="1"/>
  <c r="E180" i="6"/>
  <c r="D200" i="15" l="1"/>
  <c r="E19" i="19" s="1"/>
  <c r="C200" i="15"/>
  <c r="E200" i="15" s="1"/>
  <c r="G181" i="6"/>
  <c r="D181" i="6" l="1"/>
  <c r="C181" i="6"/>
  <c r="G201" i="15"/>
  <c r="C19" i="19"/>
  <c r="F19" i="19" s="1"/>
  <c r="E181" i="6" l="1"/>
  <c r="G182" i="6" s="1"/>
  <c r="D201" i="15"/>
  <c r="C201" i="15"/>
  <c r="E201" i="15" s="1"/>
  <c r="G202" i="15" l="1"/>
  <c r="C182" i="6"/>
  <c r="D182" i="6"/>
  <c r="E182" i="6" l="1"/>
  <c r="G183" i="6" s="1"/>
  <c r="C202" i="15"/>
  <c r="D202" i="15"/>
  <c r="E202" i="15" l="1"/>
  <c r="D183" i="6"/>
  <c r="C183" i="6"/>
  <c r="E183" i="6" l="1"/>
  <c r="G184" i="6" s="1"/>
  <c r="D184" i="6" s="1"/>
  <c r="G203" i="15"/>
  <c r="C184" i="6" l="1"/>
  <c r="E184" i="6" s="1"/>
  <c r="G185" i="6" s="1"/>
  <c r="D203" i="15"/>
  <c r="C203" i="15"/>
  <c r="D185" i="6" l="1"/>
  <c r="C185" i="6"/>
  <c r="E203" i="15"/>
  <c r="E185" i="6" l="1"/>
  <c r="G186" i="6" s="1"/>
  <c r="D186" i="6" s="1"/>
  <c r="G204" i="15"/>
  <c r="C186" i="6" l="1"/>
  <c r="E186" i="6" s="1"/>
  <c r="G187" i="6" s="1"/>
  <c r="C187" i="6" s="1"/>
  <c r="D204" i="15"/>
  <c r="C204" i="15"/>
  <c r="E204" i="15" s="1"/>
  <c r="D187" i="6" l="1"/>
  <c r="E187" i="6" s="1"/>
  <c r="G188" i="6" s="1"/>
  <c r="G205" i="15"/>
  <c r="C188" i="6" l="1"/>
  <c r="D188" i="6"/>
  <c r="E19" i="18" s="1"/>
  <c r="C205" i="15"/>
  <c r="D205" i="15"/>
  <c r="E188" i="6" l="1"/>
  <c r="E205" i="15"/>
  <c r="G189" i="6" l="1"/>
  <c r="C19" i="18"/>
  <c r="G206" i="15"/>
  <c r="G19" i="18" l="1"/>
  <c r="F19" i="18"/>
  <c r="C189" i="6"/>
  <c r="D189" i="6"/>
  <c r="C206" i="15"/>
  <c r="D206" i="15"/>
  <c r="E189" i="6" l="1"/>
  <c r="E206" i="15"/>
  <c r="G207" i="15" s="1"/>
  <c r="G190" i="6" l="1"/>
  <c r="I12" i="8"/>
  <c r="F25" i="10" s="1"/>
  <c r="C207" i="15"/>
  <c r="D207" i="15"/>
  <c r="F26" i="10" l="1"/>
  <c r="F29" i="10"/>
  <c r="C68" i="7"/>
  <c r="I13" i="8"/>
  <c r="C190" i="6"/>
  <c r="D190" i="6"/>
  <c r="E207" i="15"/>
  <c r="G208" i="15" s="1"/>
  <c r="D208" i="15" s="1"/>
  <c r="F28" i="10" l="1"/>
  <c r="F30" i="10"/>
  <c r="F31" i="10" s="1"/>
  <c r="C208" i="15"/>
  <c r="E190" i="6"/>
  <c r="G191" i="6" s="1"/>
  <c r="E208" i="15"/>
  <c r="G209" i="15" s="1"/>
  <c r="I14" i="8"/>
  <c r="D68" i="7"/>
  <c r="D70" i="7" s="1"/>
  <c r="C191" i="6"/>
  <c r="D191" i="6"/>
  <c r="C70" i="7"/>
  <c r="D71" i="7" s="1"/>
  <c r="G68" i="7"/>
  <c r="G70" i="7" s="1"/>
  <c r="D209" i="15"/>
  <c r="C209" i="15"/>
  <c r="E209" i="15" l="1"/>
  <c r="G210" i="15" s="1"/>
  <c r="E191" i="6"/>
  <c r="G192" i="6" s="1"/>
  <c r="D192" i="6" s="1"/>
  <c r="D210" i="15"/>
  <c r="C210" i="15"/>
  <c r="E210" i="15" l="1"/>
  <c r="G211" i="15" s="1"/>
  <c r="C192" i="6"/>
  <c r="E192" i="6" s="1"/>
  <c r="G193" i="6" s="1"/>
  <c r="C211" i="15"/>
  <c r="D211" i="15"/>
  <c r="E211" i="15" l="1"/>
  <c r="G212" i="15" s="1"/>
  <c r="C212" i="15" s="1"/>
  <c r="C193" i="6"/>
  <c r="D193" i="6"/>
  <c r="D212" i="15" l="1"/>
  <c r="E20" i="19" s="1"/>
  <c r="E193" i="6"/>
  <c r="E212" i="15"/>
  <c r="G213" i="15" l="1"/>
  <c r="C20" i="19"/>
  <c r="F20" i="19" s="1"/>
  <c r="G194" i="6"/>
  <c r="D194" i="6" l="1"/>
  <c r="C194" i="6"/>
  <c r="C213" i="15"/>
  <c r="D213" i="15"/>
  <c r="E194" i="6" l="1"/>
  <c r="G195" i="6" s="1"/>
  <c r="D195" i="6" s="1"/>
  <c r="E213" i="15"/>
  <c r="C195" i="6" l="1"/>
  <c r="E195" i="6" s="1"/>
  <c r="G196" i="6" s="1"/>
  <c r="C196" i="6" s="1"/>
  <c r="G214" i="15"/>
  <c r="D196" i="6" l="1"/>
  <c r="E196" i="6" s="1"/>
  <c r="G197" i="6" s="1"/>
  <c r="D197" i="6" s="1"/>
  <c r="D214" i="15"/>
  <c r="C214" i="15"/>
  <c r="E214" i="15" s="1"/>
  <c r="C197" i="6" l="1"/>
  <c r="E197" i="6" s="1"/>
  <c r="G198" i="6" s="1"/>
  <c r="D198" i="6" s="1"/>
  <c r="G215" i="15"/>
  <c r="C198" i="6" l="1"/>
  <c r="E198" i="6" s="1"/>
  <c r="G199" i="6" s="1"/>
  <c r="C199" i="6" s="1"/>
  <c r="D215" i="15"/>
  <c r="C215" i="15"/>
  <c r="E215" i="15" s="1"/>
  <c r="D199" i="6" l="1"/>
  <c r="E199" i="6" s="1"/>
  <c r="G200" i="6" s="1"/>
  <c r="G216" i="15"/>
  <c r="C216" i="15" l="1"/>
  <c r="D216" i="15"/>
  <c r="D200" i="6"/>
  <c r="E20" i="18" s="1"/>
  <c r="C200" i="6"/>
  <c r="E200" i="6" s="1"/>
  <c r="E216" i="15" l="1"/>
  <c r="G201" i="6"/>
  <c r="C20" i="18"/>
  <c r="G217" i="15"/>
  <c r="G20" i="18" l="1"/>
  <c r="F20" i="18"/>
  <c r="D217" i="15"/>
  <c r="C217" i="15"/>
  <c r="E217" i="15" s="1"/>
  <c r="C201" i="6"/>
  <c r="D201" i="6"/>
  <c r="E201" i="6" l="1"/>
  <c r="G218" i="15"/>
  <c r="D218" i="15" l="1"/>
  <c r="C218" i="15"/>
  <c r="G202" i="6"/>
  <c r="E218" i="15" l="1"/>
  <c r="G219" i="15" s="1"/>
  <c r="D219" i="15" s="1"/>
  <c r="D202" i="6"/>
  <c r="C202" i="6"/>
  <c r="E202" i="6" s="1"/>
  <c r="C219" i="15" l="1"/>
  <c r="E219" i="15" s="1"/>
  <c r="G220" i="15" s="1"/>
  <c r="G203" i="6"/>
  <c r="C220" i="15" l="1"/>
  <c r="D220" i="15"/>
  <c r="E220" i="15" s="1"/>
  <c r="G221" i="15" s="1"/>
  <c r="C221" i="15" s="1"/>
  <c r="D203" i="6"/>
  <c r="C203" i="6"/>
  <c r="E203" i="6" s="1"/>
  <c r="D221" i="15" l="1"/>
  <c r="E221" i="15"/>
  <c r="G222" i="15" s="1"/>
  <c r="D222" i="15" s="1"/>
  <c r="G204" i="6"/>
  <c r="C222" i="15" l="1"/>
  <c r="E222" i="15" s="1"/>
  <c r="G223" i="15" s="1"/>
  <c r="C223" i="15" s="1"/>
  <c r="C204" i="6"/>
  <c r="D204" i="6"/>
  <c r="D223" i="15" l="1"/>
  <c r="E223" i="15" s="1"/>
  <c r="G224" i="15" s="1"/>
  <c r="E204" i="6"/>
  <c r="G205" i="6" l="1"/>
  <c r="C224" i="15"/>
  <c r="D224" i="15"/>
  <c r="E224" i="15" l="1"/>
  <c r="E21" i="19"/>
  <c r="D205" i="6"/>
  <c r="C205" i="6"/>
  <c r="E205" i="6" s="1"/>
  <c r="G206" i="6" l="1"/>
  <c r="G225" i="15"/>
  <c r="C21" i="19"/>
  <c r="F21" i="19" s="1"/>
  <c r="D225" i="15" l="1"/>
  <c r="C225" i="15"/>
  <c r="E225" i="15" s="1"/>
  <c r="D206" i="6"/>
  <c r="C206" i="6"/>
  <c r="E206" i="6" l="1"/>
  <c r="G207" i="6" s="1"/>
  <c r="G226" i="15"/>
  <c r="D207" i="6"/>
  <c r="C207" i="6"/>
  <c r="E207" i="6" s="1"/>
  <c r="G208" i="6" s="1"/>
  <c r="D208" i="6" l="1"/>
  <c r="C208" i="6"/>
  <c r="E208" i="6" s="1"/>
  <c r="G209" i="6" s="1"/>
  <c r="C226" i="15"/>
  <c r="D226" i="15"/>
  <c r="E226" i="15" l="1"/>
  <c r="C209" i="6"/>
  <c r="D209" i="6"/>
  <c r="E209" i="6" l="1"/>
  <c r="G210" i="6" s="1"/>
  <c r="C210" i="6" s="1"/>
  <c r="G227" i="15"/>
  <c r="D210" i="6" l="1"/>
  <c r="E210" i="6" s="1"/>
  <c r="G211" i="6" s="1"/>
  <c r="D211" i="6" s="1"/>
  <c r="C227" i="15"/>
  <c r="D227" i="15"/>
  <c r="C211" i="6" l="1"/>
  <c r="E211" i="6" s="1"/>
  <c r="G212" i="6" s="1"/>
  <c r="D212" i="6" s="1"/>
  <c r="E21" i="18" s="1"/>
  <c r="E227" i="15"/>
  <c r="G228" i="15" s="1"/>
  <c r="C212" i="6" l="1"/>
  <c r="E212" i="6" s="1"/>
  <c r="C228" i="15"/>
  <c r="D228" i="15"/>
  <c r="G213" i="6" l="1"/>
  <c r="C21" i="18"/>
  <c r="E228" i="15"/>
  <c r="G21" i="18" l="1"/>
  <c r="F21" i="18"/>
  <c r="G229" i="15"/>
  <c r="C213" i="6"/>
  <c r="D213" i="6"/>
  <c r="E213" i="6" l="1"/>
  <c r="G214" i="6" s="1"/>
  <c r="C229" i="15"/>
  <c r="D229" i="15"/>
  <c r="E229" i="15" l="1"/>
  <c r="G230" i="15" s="1"/>
  <c r="D214" i="6"/>
  <c r="C214" i="6"/>
  <c r="E214" i="6" l="1"/>
  <c r="G215" i="6" s="1"/>
  <c r="D230" i="15"/>
  <c r="C230" i="15"/>
  <c r="E230" i="15" s="1"/>
  <c r="G231" i="15" s="1"/>
  <c r="D231" i="15" l="1"/>
  <c r="C231" i="15"/>
  <c r="D215" i="6"/>
  <c r="C215" i="6"/>
  <c r="E215" i="6" s="1"/>
  <c r="E231" i="15" l="1"/>
  <c r="G232" i="15" s="1"/>
  <c r="C232" i="15" s="1"/>
  <c r="G216" i="6"/>
  <c r="D232" i="15" l="1"/>
  <c r="E232" i="15"/>
  <c r="G233" i="15" s="1"/>
  <c r="D233" i="15" s="1"/>
  <c r="C216" i="6"/>
  <c r="D216" i="6"/>
  <c r="C233" i="15" l="1"/>
  <c r="E233" i="15" s="1"/>
  <c r="G234" i="15" s="1"/>
  <c r="D234" i="15" s="1"/>
  <c r="E216" i="6"/>
  <c r="C234" i="15" l="1"/>
  <c r="E234" i="15" s="1"/>
  <c r="G235" i="15" s="1"/>
  <c r="C235" i="15" s="1"/>
  <c r="G217" i="6"/>
  <c r="D235" i="15" l="1"/>
  <c r="E235" i="15" s="1"/>
  <c r="G236" i="15" s="1"/>
  <c r="D217" i="6"/>
  <c r="C217" i="6"/>
  <c r="E217" i="6" l="1"/>
  <c r="G218" i="6" s="1"/>
  <c r="D236" i="15"/>
  <c r="E22" i="19" s="1"/>
  <c r="C236" i="15"/>
  <c r="E236" i="15" s="1"/>
  <c r="G237" i="15" l="1"/>
  <c r="C22" i="19"/>
  <c r="F22" i="19" s="1"/>
  <c r="D218" i="6"/>
  <c r="C218" i="6"/>
  <c r="E218" i="6" l="1"/>
  <c r="G219" i="6" s="1"/>
  <c r="C219" i="6" s="1"/>
  <c r="C237" i="15"/>
  <c r="D237" i="15"/>
  <c r="D219" i="6" l="1"/>
  <c r="E219" i="6" s="1"/>
  <c r="G220" i="6" s="1"/>
  <c r="E237" i="15"/>
  <c r="C220" i="6" l="1"/>
  <c r="D220" i="6"/>
  <c r="G238" i="15"/>
  <c r="E220" i="6" l="1"/>
  <c r="G221" i="6" s="1"/>
  <c r="C221" i="6" s="1"/>
  <c r="D238" i="15"/>
  <c r="C238" i="15"/>
  <c r="E238" i="15" s="1"/>
  <c r="D221" i="6" l="1"/>
  <c r="E221" i="6" s="1"/>
  <c r="G222" i="6" s="1"/>
  <c r="G239" i="15"/>
  <c r="C239" i="15" l="1"/>
  <c r="D239" i="15"/>
  <c r="C222" i="6"/>
  <c r="D222" i="6"/>
  <c r="E222" i="6" l="1"/>
  <c r="G223" i="6" s="1"/>
  <c r="C223" i="6" s="1"/>
  <c r="E239" i="15"/>
  <c r="D223" i="6" l="1"/>
  <c r="E223" i="6" s="1"/>
  <c r="G224" i="6" s="1"/>
  <c r="D224" i="6" s="1"/>
  <c r="E22" i="18" s="1"/>
  <c r="G240" i="15"/>
  <c r="C224" i="6" l="1"/>
  <c r="E224" i="6" s="1"/>
  <c r="G225" i="6" s="1"/>
  <c r="C240" i="15"/>
  <c r="D240" i="15"/>
  <c r="C22" i="18" l="1"/>
  <c r="G22" i="18" s="1"/>
  <c r="E240" i="15"/>
  <c r="D225" i="6"/>
  <c r="C225" i="6"/>
  <c r="F22" i="18" l="1"/>
  <c r="E225" i="6"/>
  <c r="G226" i="6" s="1"/>
  <c r="G241" i="15"/>
  <c r="D241" i="15" l="1"/>
  <c r="C241" i="15"/>
  <c r="E241" i="15" s="1"/>
  <c r="C226" i="6"/>
  <c r="D226" i="6"/>
  <c r="G242" i="15" l="1"/>
  <c r="E226" i="6"/>
  <c r="G227" i="6" l="1"/>
  <c r="D242" i="15"/>
  <c r="C242" i="15"/>
  <c r="E242" i="15" s="1"/>
  <c r="G243" i="15" s="1"/>
  <c r="C243" i="15" l="1"/>
  <c r="D243" i="15"/>
  <c r="C227" i="6"/>
  <c r="D227" i="6"/>
  <c r="E243" i="15" l="1"/>
  <c r="G244" i="15" s="1"/>
  <c r="E227" i="6"/>
  <c r="G228" i="6" s="1"/>
  <c r="D244" i="15"/>
  <c r="C244" i="15"/>
  <c r="E244" i="15" l="1"/>
  <c r="G245" i="15" s="1"/>
  <c r="C228" i="6"/>
  <c r="D228" i="6"/>
  <c r="E228" i="6" l="1"/>
  <c r="G229" i="6" s="1"/>
  <c r="D245" i="15"/>
  <c r="C245" i="15"/>
  <c r="E245" i="15" l="1"/>
  <c r="G246" i="15" s="1"/>
  <c r="C246" i="15" s="1"/>
  <c r="D246" i="15"/>
  <c r="D229" i="6"/>
  <c r="C229" i="6"/>
  <c r="E229" i="6" l="1"/>
  <c r="E246" i="15"/>
  <c r="G247" i="15" s="1"/>
  <c r="C247" i="15" s="1"/>
  <c r="G230" i="6"/>
  <c r="D247" i="15"/>
  <c r="E247" i="15" l="1"/>
  <c r="G248" i="15" s="1"/>
  <c r="C248" i="15" s="1"/>
  <c r="D248" i="15"/>
  <c r="E23" i="19" s="1"/>
  <c r="C230" i="6"/>
  <c r="D230" i="6"/>
  <c r="E248" i="15" l="1"/>
  <c r="G249" i="15" s="1"/>
  <c r="E230" i="6"/>
  <c r="G231" i="6" s="1"/>
  <c r="C23" i="19"/>
  <c r="F23" i="19" s="1"/>
  <c r="C249" i="15" l="1"/>
  <c r="D249" i="15"/>
  <c r="C231" i="6"/>
  <c r="D231" i="6"/>
  <c r="E249" i="15" l="1"/>
  <c r="G250" i="15" s="1"/>
  <c r="E231" i="6"/>
  <c r="G232" i="6" s="1"/>
  <c r="C232" i="6" l="1"/>
  <c r="D232" i="6"/>
  <c r="C250" i="15"/>
  <c r="D250" i="15"/>
  <c r="E232" i="6" l="1"/>
  <c r="G233" i="6" s="1"/>
  <c r="D233" i="6" s="1"/>
  <c r="E250" i="15"/>
  <c r="G251" i="15" s="1"/>
  <c r="C233" i="6" l="1"/>
  <c r="E233" i="6" s="1"/>
  <c r="G234" i="6" s="1"/>
  <c r="C251" i="15"/>
  <c r="D251" i="15"/>
  <c r="D234" i="6" l="1"/>
  <c r="C234" i="6"/>
  <c r="E251" i="15"/>
  <c r="E234" i="6" l="1"/>
  <c r="G235" i="6" s="1"/>
  <c r="C235" i="6" s="1"/>
  <c r="G252" i="15"/>
  <c r="D235" i="6" l="1"/>
  <c r="E235" i="6" s="1"/>
  <c r="G236" i="6" s="1"/>
  <c r="D236" i="6" s="1"/>
  <c r="E23" i="18" s="1"/>
  <c r="D252" i="15"/>
  <c r="C252" i="15"/>
  <c r="E252" i="15" l="1"/>
  <c r="C236" i="6"/>
  <c r="E236" i="6" s="1"/>
  <c r="G237" i="6" s="1"/>
  <c r="G253" i="15"/>
  <c r="C23" i="18" l="1"/>
  <c r="G23" i="18" s="1"/>
  <c r="D237" i="6"/>
  <c r="C237" i="6"/>
  <c r="E237" i="6" s="1"/>
  <c r="D253" i="15"/>
  <c r="C253" i="15"/>
  <c r="F23" i="18" l="1"/>
  <c r="G238" i="6"/>
  <c r="E253" i="15"/>
  <c r="G254" i="15" l="1"/>
  <c r="C238" i="6"/>
  <c r="D238" i="6"/>
  <c r="E238" i="6" l="1"/>
  <c r="D254" i="15"/>
  <c r="C254" i="15"/>
  <c r="E254" i="15" s="1"/>
  <c r="G255" i="15" s="1"/>
  <c r="C255" i="15" l="1"/>
  <c r="D255" i="15"/>
  <c r="G239" i="6"/>
  <c r="E255" i="15" l="1"/>
  <c r="G256" i="15" s="1"/>
  <c r="D256" i="15" s="1"/>
  <c r="D239" i="6"/>
  <c r="C239" i="6"/>
  <c r="E239" i="6" s="1"/>
  <c r="C256" i="15" l="1"/>
  <c r="E256" i="15" s="1"/>
  <c r="G257" i="15" s="1"/>
  <c r="C257" i="15" s="1"/>
  <c r="G240" i="6"/>
  <c r="D257" i="15" l="1"/>
  <c r="E257" i="15" s="1"/>
  <c r="G258" i="15" s="1"/>
  <c r="C258" i="15" s="1"/>
  <c r="C240" i="6"/>
  <c r="D240" i="6"/>
  <c r="D258" i="15" l="1"/>
  <c r="E258" i="15" s="1"/>
  <c r="G259" i="15" s="1"/>
  <c r="E240" i="6"/>
  <c r="C259" i="15" l="1"/>
  <c r="D259" i="15"/>
  <c r="E259" i="15" s="1"/>
  <c r="G260" i="15" s="1"/>
  <c r="D260" i="15" s="1"/>
  <c r="G241" i="6"/>
  <c r="C260" i="15" l="1"/>
  <c r="E260" i="15" s="1"/>
  <c r="E24" i="19"/>
  <c r="C241" i="6"/>
  <c r="D241" i="6"/>
  <c r="E241" i="6" l="1"/>
  <c r="G261" i="15"/>
  <c r="C24" i="19"/>
  <c r="F24" i="19" s="1"/>
  <c r="D261" i="15" l="1"/>
  <c r="C261" i="15"/>
  <c r="G242" i="6"/>
  <c r="E261" i="15" l="1"/>
  <c r="D242" i="6"/>
  <c r="C242" i="6"/>
  <c r="G262" i="15"/>
  <c r="E242" i="6" l="1"/>
  <c r="G243" i="6" s="1"/>
  <c r="C243" i="6" s="1"/>
  <c r="D262" i="15"/>
  <c r="C262" i="15"/>
  <c r="D243" i="6" l="1"/>
  <c r="E243" i="6" s="1"/>
  <c r="G244" i="6" s="1"/>
  <c r="E262" i="15"/>
  <c r="G263" i="15" s="1"/>
  <c r="C244" i="6" l="1"/>
  <c r="D244" i="6"/>
  <c r="C263" i="15"/>
  <c r="D263" i="15"/>
  <c r="E244" i="6" l="1"/>
  <c r="G245" i="6" s="1"/>
  <c r="D245" i="6" s="1"/>
  <c r="E263" i="15"/>
  <c r="C245" i="6" l="1"/>
  <c r="E245" i="6" s="1"/>
  <c r="G246" i="6" s="1"/>
  <c r="C246" i="6" s="1"/>
  <c r="G264" i="15"/>
  <c r="D246" i="6" l="1"/>
  <c r="E246" i="6" s="1"/>
  <c r="G247" i="6" s="1"/>
  <c r="D264" i="15"/>
  <c r="C264" i="15"/>
  <c r="E264" i="15" s="1"/>
  <c r="G265" i="15" l="1"/>
  <c r="C247" i="6"/>
  <c r="D247" i="6"/>
  <c r="E247" i="6" l="1"/>
  <c r="G248" i="6" s="1"/>
  <c r="D265" i="15"/>
  <c r="C265" i="15"/>
  <c r="E265" i="15" l="1"/>
  <c r="G266" i="15"/>
  <c r="D248" i="6"/>
  <c r="E24" i="18" s="1"/>
  <c r="C248" i="6"/>
  <c r="E248" i="6" s="1"/>
  <c r="G249" i="6" l="1"/>
  <c r="C24" i="18"/>
  <c r="C266" i="15"/>
  <c r="D266" i="15"/>
  <c r="G24" i="18" l="1"/>
  <c r="F24" i="18"/>
  <c r="E266" i="15"/>
  <c r="G267" i="15" s="1"/>
  <c r="C249" i="6"/>
  <c r="D249" i="6"/>
  <c r="D267" i="15" l="1"/>
  <c r="C267" i="15"/>
  <c r="E267" i="15" s="1"/>
  <c r="G268" i="15" s="1"/>
  <c r="E249" i="6"/>
  <c r="G250" i="6" l="1"/>
  <c r="D268" i="15"/>
  <c r="C268" i="15"/>
  <c r="E268" i="15" s="1"/>
  <c r="G269" i="15" s="1"/>
  <c r="D269" i="15" l="1"/>
  <c r="C269" i="15"/>
  <c r="D250" i="6"/>
  <c r="C250" i="6"/>
  <c r="E250" i="6" l="1"/>
  <c r="G251" i="6" s="1"/>
  <c r="E269" i="15"/>
  <c r="G270" i="15" s="1"/>
  <c r="D270" i="15" s="1"/>
  <c r="C270" i="15" l="1"/>
  <c r="E270" i="15" s="1"/>
  <c r="G271" i="15" s="1"/>
  <c r="C251" i="6"/>
  <c r="D251" i="6"/>
  <c r="E251" i="6" l="1"/>
  <c r="D271" i="15"/>
  <c r="C271" i="15"/>
  <c r="E271" i="15" s="1"/>
  <c r="G272" i="15" s="1"/>
  <c r="C272" i="15" l="1"/>
  <c r="D272" i="15"/>
  <c r="G252" i="6"/>
  <c r="D252" i="6" l="1"/>
  <c r="C252" i="6"/>
  <c r="E252" i="6" s="1"/>
  <c r="E272" i="15"/>
  <c r="E25" i="19"/>
  <c r="G253" i="6" l="1"/>
  <c r="G273" i="15"/>
  <c r="C25" i="19"/>
  <c r="F25" i="19" s="1"/>
  <c r="C273" i="15" l="1"/>
  <c r="D273" i="15"/>
  <c r="D253" i="6"/>
  <c r="C253" i="6"/>
  <c r="E253" i="6" l="1"/>
  <c r="E273" i="15"/>
  <c r="G274" i="15" s="1"/>
  <c r="G254" i="6"/>
  <c r="D274" i="15" l="1"/>
  <c r="C274" i="15"/>
  <c r="D254" i="6"/>
  <c r="C254" i="6"/>
  <c r="E254" i="6" s="1"/>
  <c r="G255" i="6" s="1"/>
  <c r="E274" i="15" l="1"/>
  <c r="G275" i="15" s="1"/>
  <c r="D255" i="6"/>
  <c r="C255" i="6"/>
  <c r="C275" i="15" l="1"/>
  <c r="D275" i="15"/>
  <c r="E255" i="6"/>
  <c r="G256" i="6" s="1"/>
  <c r="E275" i="15" l="1"/>
  <c r="G276" i="15" s="1"/>
  <c r="C256" i="6"/>
  <c r="D256" i="6"/>
  <c r="E256" i="6" l="1"/>
  <c r="G257" i="6" s="1"/>
  <c r="D276" i="15"/>
  <c r="C276" i="15"/>
  <c r="E276" i="15" s="1"/>
  <c r="D257" i="6"/>
  <c r="C257" i="6"/>
  <c r="E257" i="6" l="1"/>
  <c r="G258" i="6" s="1"/>
  <c r="D258" i="6" s="1"/>
  <c r="G277" i="15"/>
  <c r="C258" i="6" l="1"/>
  <c r="E258" i="6" s="1"/>
  <c r="G259" i="6" s="1"/>
  <c r="C259" i="6" s="1"/>
  <c r="D277" i="15"/>
  <c r="C277" i="15"/>
  <c r="E277" i="15" s="1"/>
  <c r="D259" i="6" l="1"/>
  <c r="E259" i="6" s="1"/>
  <c r="G260" i="6" s="1"/>
  <c r="C260" i="6" s="1"/>
  <c r="G278" i="15"/>
  <c r="D260" i="6" l="1"/>
  <c r="E260" i="6" s="1"/>
  <c r="E25" i="18"/>
  <c r="C278" i="15"/>
  <c r="D278" i="15"/>
  <c r="E278" i="15" l="1"/>
  <c r="G279" i="15" s="1"/>
  <c r="C279" i="15" s="1"/>
  <c r="G261" i="6"/>
  <c r="C25" i="18"/>
  <c r="D279" i="15" l="1"/>
  <c r="E279" i="15" s="1"/>
  <c r="G280" i="15" s="1"/>
  <c r="D280" i="15" s="1"/>
  <c r="G25" i="18"/>
  <c r="F25" i="18"/>
  <c r="D261" i="6"/>
  <c r="C261" i="6"/>
  <c r="C280" i="15" l="1"/>
  <c r="E280" i="15" s="1"/>
  <c r="G281" i="15" s="1"/>
  <c r="D281" i="15" s="1"/>
  <c r="E261" i="6"/>
  <c r="G262" i="6" s="1"/>
  <c r="C281" i="15" l="1"/>
  <c r="E281" i="15" s="1"/>
  <c r="G282" i="15" s="1"/>
  <c r="D282" i="15" s="1"/>
  <c r="D262" i="6"/>
  <c r="C262" i="6"/>
  <c r="C282" i="15" l="1"/>
  <c r="E282" i="15" s="1"/>
  <c r="G283" i="15" s="1"/>
  <c r="E262" i="6"/>
  <c r="D283" i="15" l="1"/>
  <c r="C283" i="15"/>
  <c r="E283" i="15" s="1"/>
  <c r="G284" i="15" s="1"/>
  <c r="C284" i="15" s="1"/>
  <c r="G263" i="6"/>
  <c r="D284" i="15" l="1"/>
  <c r="C263" i="6"/>
  <c r="D263" i="6"/>
  <c r="E284" i="15"/>
  <c r="E26" i="19"/>
  <c r="E263" i="6" l="1"/>
  <c r="G285" i="15"/>
  <c r="C26" i="19"/>
  <c r="F26" i="19" s="1"/>
  <c r="G264" i="6"/>
  <c r="D264" i="6" l="1"/>
  <c r="C264" i="6"/>
  <c r="D285" i="15"/>
  <c r="C285" i="15"/>
  <c r="E285" i="15" l="1"/>
  <c r="E264" i="6"/>
  <c r="G286" i="15"/>
  <c r="C286" i="15" l="1"/>
  <c r="D286" i="15"/>
  <c r="G265" i="6"/>
  <c r="E286" i="15" l="1"/>
  <c r="G287" i="15" s="1"/>
  <c r="D265" i="6"/>
  <c r="C265" i="6"/>
  <c r="E265" i="6" l="1"/>
  <c r="G266" i="6" s="1"/>
  <c r="D287" i="15"/>
  <c r="C287" i="15"/>
  <c r="E287" i="15" s="1"/>
  <c r="G288" i="15" l="1"/>
  <c r="D266" i="6"/>
  <c r="C266" i="6"/>
  <c r="C288" i="15" l="1"/>
  <c r="D288" i="15"/>
  <c r="E266" i="6"/>
  <c r="G267" i="6" s="1"/>
  <c r="C267" i="6" l="1"/>
  <c r="D267" i="6"/>
  <c r="E288" i="15"/>
  <c r="G289" i="15" l="1"/>
  <c r="E267" i="6"/>
  <c r="G268" i="6" s="1"/>
  <c r="C268" i="6" l="1"/>
  <c r="D268" i="6"/>
  <c r="D289" i="15"/>
  <c r="C289" i="15"/>
  <c r="E289" i="15" s="1"/>
  <c r="G290" i="15" l="1"/>
  <c r="E268" i="6"/>
  <c r="G269" i="6" s="1"/>
  <c r="D269" i="6" l="1"/>
  <c r="C269" i="6"/>
  <c r="D290" i="15"/>
  <c r="C290" i="15"/>
  <c r="E290" i="15" s="1"/>
  <c r="G291" i="15" s="1"/>
  <c r="E269" i="6" l="1"/>
  <c r="G270" i="6" s="1"/>
  <c r="D270" i="6" s="1"/>
  <c r="D291" i="15"/>
  <c r="C291" i="15"/>
  <c r="C270" i="6" l="1"/>
  <c r="E270" i="6" s="1"/>
  <c r="G271" i="6" s="1"/>
  <c r="C271" i="6" s="1"/>
  <c r="E291" i="15"/>
  <c r="G292" i="15" s="1"/>
  <c r="D271" i="6" l="1"/>
  <c r="E271" i="6" s="1"/>
  <c r="G272" i="6" s="1"/>
  <c r="D272" i="6" s="1"/>
  <c r="E26" i="18" s="1"/>
  <c r="C292" i="15"/>
  <c r="D292" i="15"/>
  <c r="E292" i="15" l="1"/>
  <c r="G293" i="15" s="1"/>
  <c r="C272" i="6"/>
  <c r="E272" i="6" s="1"/>
  <c r="G273" i="6" s="1"/>
  <c r="C26" i="18"/>
  <c r="D293" i="15"/>
  <c r="C293" i="15"/>
  <c r="E293" i="15" l="1"/>
  <c r="G294" i="15" s="1"/>
  <c r="D294" i="15" s="1"/>
  <c r="G26" i="18"/>
  <c r="F26" i="18"/>
  <c r="D273" i="6"/>
  <c r="C273" i="6"/>
  <c r="E273" i="6" l="1"/>
  <c r="C294" i="15"/>
  <c r="E294" i="15" s="1"/>
  <c r="G295" i="15" s="1"/>
  <c r="G274" i="6"/>
  <c r="D295" i="15" l="1"/>
  <c r="C295" i="15"/>
  <c r="C274" i="6"/>
  <c r="D274" i="6"/>
  <c r="E295" i="15" l="1"/>
  <c r="G296" i="15" s="1"/>
  <c r="D296" i="15" s="1"/>
  <c r="E27" i="19" s="1"/>
  <c r="E274" i="6"/>
  <c r="G275" i="6" s="1"/>
  <c r="C296" i="15" l="1"/>
  <c r="E296" i="15" s="1"/>
  <c r="D275" i="6"/>
  <c r="C275" i="6"/>
  <c r="E275" i="6" s="1"/>
  <c r="G297" i="15" l="1"/>
  <c r="C297" i="15" s="1"/>
  <c r="C27" i="19"/>
  <c r="F27" i="19" s="1"/>
  <c r="D297" i="15"/>
  <c r="E297" i="15" s="1"/>
  <c r="G276" i="6"/>
  <c r="D276" i="6" l="1"/>
  <c r="C276" i="6"/>
  <c r="G298" i="15"/>
  <c r="C298" i="15" l="1"/>
  <c r="D298" i="15"/>
  <c r="E276" i="6"/>
  <c r="E298" i="15" l="1"/>
  <c r="G299" i="15" s="1"/>
  <c r="G277" i="6"/>
  <c r="C299" i="15" l="1"/>
  <c r="D299" i="15"/>
  <c r="C277" i="6"/>
  <c r="D277" i="6"/>
  <c r="E277" i="6" l="1"/>
  <c r="G278" i="6" s="1"/>
  <c r="E299" i="15"/>
  <c r="C278" i="6" l="1"/>
  <c r="D278" i="6"/>
  <c r="G300" i="15"/>
  <c r="E15" i="14"/>
  <c r="D20" i="7" s="1"/>
  <c r="E19" i="14" l="1"/>
  <c r="D300" i="15"/>
  <c r="C300" i="15"/>
  <c r="E300" i="15" s="1"/>
  <c r="E278" i="6"/>
  <c r="G279" i="6" s="1"/>
  <c r="D21" i="7"/>
  <c r="D6" i="7" s="1"/>
  <c r="C42" i="7"/>
  <c r="C43" i="7" s="1"/>
  <c r="C44" i="7" s="1"/>
  <c r="C279" i="6" l="1"/>
  <c r="D279" i="6"/>
  <c r="G301" i="15"/>
  <c r="F71" i="7"/>
  <c r="H71" i="7" s="1"/>
  <c r="D13" i="7"/>
  <c r="E13" i="7" s="1"/>
  <c r="C11" i="12"/>
  <c r="F65" i="7"/>
  <c r="H65" i="7" s="1"/>
  <c r="F59" i="7"/>
  <c r="H59" i="7" s="1"/>
  <c r="D301" i="15" l="1"/>
  <c r="C301" i="15"/>
  <c r="E279" i="6"/>
  <c r="G280" i="6" s="1"/>
  <c r="H39" i="20"/>
  <c r="H40" i="20" s="1"/>
  <c r="D7" i="12"/>
  <c r="D8" i="12"/>
  <c r="C48" i="12"/>
  <c r="D6" i="12"/>
  <c r="J20" i="12"/>
  <c r="F63" i="7" s="1"/>
  <c r="H63" i="7" s="1"/>
  <c r="C27" i="12"/>
  <c r="D9" i="12"/>
  <c r="I3" i="12"/>
  <c r="I11" i="12"/>
  <c r="I13" i="12" s="1"/>
  <c r="I7" i="12"/>
  <c r="I9" i="12" s="1"/>
  <c r="D5" i="12"/>
  <c r="J21" i="12"/>
  <c r="F69" i="7" s="1"/>
  <c r="H69" i="7" s="1"/>
  <c r="J19" i="12"/>
  <c r="F56" i="7" s="1"/>
  <c r="C12" i="12"/>
  <c r="F54" i="7" s="1"/>
  <c r="E301" i="15" l="1"/>
  <c r="C13" i="12"/>
  <c r="C280" i="6"/>
  <c r="D280" i="6"/>
  <c r="G302" i="15"/>
  <c r="D33" i="12"/>
  <c r="D41" i="12"/>
  <c r="D44" i="12"/>
  <c r="D35" i="12"/>
  <c r="D32" i="12"/>
  <c r="D46" i="12"/>
  <c r="C49" i="12"/>
  <c r="F67" i="7" s="1"/>
  <c r="D42" i="12"/>
  <c r="D36" i="12"/>
  <c r="D39" i="12"/>
  <c r="D43" i="12"/>
  <c r="D37" i="12"/>
  <c r="D40" i="12"/>
  <c r="D34" i="12"/>
  <c r="D45" i="12"/>
  <c r="D38" i="12"/>
  <c r="H54" i="7"/>
  <c r="D18" i="12"/>
  <c r="D23" i="12"/>
  <c r="D21" i="12"/>
  <c r="D25" i="12"/>
  <c r="D20" i="12"/>
  <c r="C28" i="12"/>
  <c r="F61" i="7" s="1"/>
  <c r="D19" i="12"/>
  <c r="D16" i="12"/>
  <c r="C29" i="12" s="1"/>
  <c r="D24" i="12"/>
  <c r="D17" i="12"/>
  <c r="D22" i="12"/>
  <c r="F68" i="7"/>
  <c r="H68" i="7" s="1"/>
  <c r="I14" i="12"/>
  <c r="I10" i="12"/>
  <c r="F62" i="7"/>
  <c r="H62" i="7" s="1"/>
  <c r="G27" i="19"/>
  <c r="G9" i="19"/>
  <c r="G8" i="19"/>
  <c r="G26" i="19"/>
  <c r="G20" i="19"/>
  <c r="G17" i="19"/>
  <c r="G7" i="19"/>
  <c r="G12" i="19"/>
  <c r="G15" i="19"/>
  <c r="G22" i="19"/>
  <c r="G4" i="19"/>
  <c r="G6" i="19"/>
  <c r="G11" i="19"/>
  <c r="I5" i="12"/>
  <c r="G16" i="19"/>
  <c r="G14" i="19"/>
  <c r="G25" i="19"/>
  <c r="G10" i="19"/>
  <c r="G21" i="19"/>
  <c r="G24" i="19"/>
  <c r="G13" i="19"/>
  <c r="G5" i="19"/>
  <c r="G23" i="19"/>
  <c r="G19" i="19"/>
  <c r="G18" i="19"/>
  <c r="I14" i="20"/>
  <c r="I24" i="20"/>
  <c r="I26" i="20"/>
  <c r="I12" i="20"/>
  <c r="I17" i="20"/>
  <c r="I23" i="20"/>
  <c r="I29" i="20"/>
  <c r="I35" i="20"/>
  <c r="I5" i="20"/>
  <c r="I9" i="20"/>
  <c r="I6" i="20"/>
  <c r="I18" i="20"/>
  <c r="I25" i="20"/>
  <c r="I37" i="20"/>
  <c r="I8" i="20"/>
  <c r="I10" i="20"/>
  <c r="I15" i="20"/>
  <c r="I36" i="20"/>
  <c r="I7" i="20"/>
  <c r="I13" i="20"/>
  <c r="I19" i="20"/>
  <c r="I3" i="20"/>
  <c r="I11" i="20"/>
  <c r="I33" i="20"/>
  <c r="I16" i="20"/>
  <c r="I28" i="20"/>
  <c r="I21" i="20"/>
  <c r="I27" i="20"/>
  <c r="I30" i="20"/>
  <c r="I20" i="20"/>
  <c r="I22" i="20"/>
  <c r="I32" i="20"/>
  <c r="I34" i="20"/>
  <c r="I31" i="20"/>
  <c r="I4" i="20"/>
  <c r="C302" i="15" l="1"/>
  <c r="D302" i="15"/>
  <c r="E280" i="6"/>
  <c r="G281" i="6" s="1"/>
  <c r="I6" i="12"/>
  <c r="F55" i="7"/>
  <c r="H67" i="7"/>
  <c r="H70" i="7" s="1"/>
  <c r="F70" i="7"/>
  <c r="H61" i="7"/>
  <c r="H64" i="7" s="1"/>
  <c r="F64" i="7"/>
  <c r="C50" i="12"/>
  <c r="C281" i="6" l="1"/>
  <c r="D281" i="6"/>
  <c r="E302" i="15"/>
  <c r="G303" i="15" s="1"/>
  <c r="H55" i="7"/>
  <c r="H58" i="7" s="1"/>
  <c r="F58" i="7"/>
  <c r="E281" i="6" l="1"/>
  <c r="G282" i="6" s="1"/>
  <c r="D282" i="6" s="1"/>
  <c r="C303" i="15"/>
  <c r="D303" i="15"/>
  <c r="C282" i="6" l="1"/>
  <c r="E282" i="6" s="1"/>
  <c r="G283" i="6" s="1"/>
  <c r="E303" i="15"/>
  <c r="G304" i="15" s="1"/>
  <c r="D304" i="15" s="1"/>
  <c r="C304" i="15" l="1"/>
  <c r="E304" i="15" s="1"/>
  <c r="G305" i="15" s="1"/>
  <c r="D283" i="6"/>
  <c r="C283" i="6"/>
  <c r="E283" i="6" s="1"/>
  <c r="G284" i="6" s="1"/>
  <c r="C284" i="6" s="1"/>
  <c r="C305" i="15" l="1"/>
  <c r="D305" i="15"/>
  <c r="D284" i="6"/>
  <c r="E284" i="6" s="1"/>
  <c r="E305" i="15" l="1"/>
  <c r="G306" i="15" s="1"/>
  <c r="C306" i="15" s="1"/>
  <c r="E27" i="18"/>
  <c r="G285" i="6"/>
  <c r="C27" i="18"/>
  <c r="G27" i="18" s="1"/>
  <c r="D306" i="15" l="1"/>
  <c r="E306" i="15"/>
  <c r="G307" i="15" s="1"/>
  <c r="D307" i="15" s="1"/>
  <c r="C285" i="6"/>
  <c r="D285" i="6"/>
  <c r="F27" i="18"/>
  <c r="C307" i="15" l="1"/>
  <c r="E307" i="15"/>
  <c r="G308" i="15" s="1"/>
  <c r="D308" i="15" s="1"/>
  <c r="E28" i="19"/>
  <c r="E285" i="6"/>
  <c r="C308" i="15" l="1"/>
  <c r="E308" i="15" s="1"/>
  <c r="G286" i="6"/>
  <c r="G309" i="15"/>
  <c r="C28" i="19"/>
  <c r="D309" i="15" l="1"/>
  <c r="C309" i="15"/>
  <c r="E309" i="15" s="1"/>
  <c r="F28" i="19"/>
  <c r="G28" i="19"/>
  <c r="C286" i="6"/>
  <c r="D286" i="6"/>
  <c r="E286" i="6" l="1"/>
  <c r="G287" i="6" s="1"/>
  <c r="G310" i="15"/>
  <c r="D287" i="6" l="1"/>
  <c r="C287" i="6"/>
  <c r="E287" i="6" s="1"/>
  <c r="C310" i="15"/>
  <c r="D310" i="15"/>
  <c r="E310" i="15" l="1"/>
  <c r="G288" i="6"/>
  <c r="C288" i="6" l="1"/>
  <c r="D288" i="6"/>
  <c r="G311" i="15"/>
  <c r="E288" i="6" l="1"/>
  <c r="G289" i="6" s="1"/>
  <c r="C311" i="15"/>
  <c r="D311" i="15"/>
  <c r="E311" i="15" l="1"/>
  <c r="G312" i="15" s="1"/>
  <c r="D289" i="6"/>
  <c r="C289" i="6"/>
  <c r="E289" i="6" s="1"/>
  <c r="G290" i="6" l="1"/>
  <c r="C312" i="15"/>
  <c r="D312" i="15"/>
  <c r="E312" i="15" l="1"/>
  <c r="C290" i="6"/>
  <c r="D290" i="6"/>
  <c r="E290" i="6" l="1"/>
  <c r="G291" i="6" s="1"/>
  <c r="D291" i="6" s="1"/>
  <c r="G313" i="15"/>
  <c r="C291" i="6" l="1"/>
  <c r="E291" i="6" s="1"/>
  <c r="G292" i="6" s="1"/>
  <c r="D313" i="15"/>
  <c r="C313" i="15"/>
  <c r="D292" i="6" l="1"/>
  <c r="C292" i="6"/>
  <c r="E313" i="15"/>
  <c r="G314" i="15" s="1"/>
  <c r="E292" i="6" l="1"/>
  <c r="G293" i="6" s="1"/>
  <c r="C314" i="15"/>
  <c r="D314" i="15"/>
  <c r="D293" i="6" l="1"/>
  <c r="C293" i="6"/>
  <c r="E293" i="6" s="1"/>
  <c r="G294" i="6" s="1"/>
  <c r="E314" i="15"/>
  <c r="G315" i="15" s="1"/>
  <c r="C315" i="15" s="1"/>
  <c r="D315" i="15" l="1"/>
  <c r="E315" i="15" s="1"/>
  <c r="G316" i="15" s="1"/>
  <c r="C294" i="6"/>
  <c r="D294" i="6"/>
  <c r="C316" i="15" l="1"/>
  <c r="D316" i="15"/>
  <c r="E294" i="6"/>
  <c r="G295" i="6" s="1"/>
  <c r="E316" i="15" l="1"/>
  <c r="G317" i="15" s="1"/>
  <c r="C317" i="15" s="1"/>
  <c r="C295" i="6"/>
  <c r="D295" i="6"/>
  <c r="D317" i="15" l="1"/>
  <c r="E317" i="15" s="1"/>
  <c r="G318" i="15" s="1"/>
  <c r="E295" i="6"/>
  <c r="D318" i="15" l="1"/>
  <c r="C318" i="15"/>
  <c r="E318" i="15" s="1"/>
  <c r="G319" i="15" s="1"/>
  <c r="C319" i="15" s="1"/>
  <c r="G296" i="6"/>
  <c r="D319" i="15" l="1"/>
  <c r="C296" i="6"/>
  <c r="D296" i="6"/>
  <c r="E28" i="18" s="1"/>
  <c r="E319" i="15"/>
  <c r="G320" i="15" s="1"/>
  <c r="E296" i="6" l="1"/>
  <c r="C320" i="15"/>
  <c r="D320" i="15"/>
  <c r="E29" i="19" s="1"/>
  <c r="G297" i="6" l="1"/>
  <c r="C28" i="18"/>
  <c r="E320" i="15"/>
  <c r="G321" i="15" s="1"/>
  <c r="C29" i="19"/>
  <c r="G28" i="18" l="1"/>
  <c r="F28" i="18"/>
  <c r="C297" i="6"/>
  <c r="D297" i="6"/>
  <c r="F29" i="19"/>
  <c r="G29" i="19"/>
  <c r="C321" i="15"/>
  <c r="D321" i="15"/>
  <c r="E297" i="6" l="1"/>
  <c r="G298" i="6" s="1"/>
  <c r="E321" i="15"/>
  <c r="C298" i="6" l="1"/>
  <c r="D298" i="6"/>
  <c r="G322" i="15"/>
  <c r="E298" i="6" l="1"/>
  <c r="G299" i="6" s="1"/>
  <c r="D322" i="15"/>
  <c r="C322" i="15"/>
  <c r="E322" i="15" s="1"/>
  <c r="D299" i="6" l="1"/>
  <c r="C299" i="6"/>
  <c r="E299" i="6" s="1"/>
  <c r="G300" i="6" s="1"/>
  <c r="G323" i="15"/>
  <c r="C300" i="6" l="1"/>
  <c r="D300" i="6"/>
  <c r="C323" i="15"/>
  <c r="D323" i="15"/>
  <c r="E300" i="6" l="1"/>
  <c r="G301" i="6" s="1"/>
  <c r="D301" i="6" s="1"/>
  <c r="E323" i="15"/>
  <c r="C301" i="6" l="1"/>
  <c r="E301" i="6" s="1"/>
  <c r="G302" i="6" s="1"/>
  <c r="D302" i="6" s="1"/>
  <c r="G324" i="15"/>
  <c r="C302" i="6" l="1"/>
  <c r="E302" i="6" s="1"/>
  <c r="G303" i="6" s="1"/>
  <c r="C324" i="15"/>
  <c r="D324" i="15"/>
  <c r="C303" i="6" l="1"/>
  <c r="D303" i="6"/>
  <c r="E324" i="15"/>
  <c r="E303" i="6" l="1"/>
  <c r="G304" i="6" s="1"/>
  <c r="D304" i="6" s="1"/>
  <c r="G325" i="15"/>
  <c r="C304" i="6" l="1"/>
  <c r="E304" i="6" s="1"/>
  <c r="G305" i="6" s="1"/>
  <c r="D305" i="6" s="1"/>
  <c r="C325" i="15"/>
  <c r="D325" i="15"/>
  <c r="C305" i="6" l="1"/>
  <c r="E305" i="6" s="1"/>
  <c r="G306" i="6" s="1"/>
  <c r="D306" i="6" s="1"/>
  <c r="E325" i="15"/>
  <c r="G326" i="15" s="1"/>
  <c r="C306" i="6" l="1"/>
  <c r="E306" i="6" s="1"/>
  <c r="G307" i="6" s="1"/>
  <c r="C307" i="6" s="1"/>
  <c r="C326" i="15"/>
  <c r="D326" i="15"/>
  <c r="D307" i="6" l="1"/>
  <c r="E307" i="6"/>
  <c r="G308" i="6" s="1"/>
  <c r="C308" i="6" s="1"/>
  <c r="E326" i="15"/>
  <c r="G327" i="15" s="1"/>
  <c r="D327" i="15" s="1"/>
  <c r="D308" i="6" l="1"/>
  <c r="E29" i="18" s="1"/>
  <c r="C327" i="15"/>
  <c r="E327" i="15" s="1"/>
  <c r="G328" i="15" s="1"/>
  <c r="E308" i="6"/>
  <c r="D328" i="15" l="1"/>
  <c r="C328" i="15"/>
  <c r="G309" i="6"/>
  <c r="C29" i="18"/>
  <c r="E328" i="15" l="1"/>
  <c r="G329" i="15" s="1"/>
  <c r="C329" i="15" s="1"/>
  <c r="G29" i="18"/>
  <c r="F29" i="18"/>
  <c r="C309" i="6"/>
  <c r="D309" i="6"/>
  <c r="D329" i="15" l="1"/>
  <c r="E329" i="15" s="1"/>
  <c r="G330" i="15" s="1"/>
  <c r="E309" i="6"/>
  <c r="D330" i="15" l="1"/>
  <c r="C330" i="15"/>
  <c r="E330" i="15" s="1"/>
  <c r="G331" i="15" s="1"/>
  <c r="G310" i="6"/>
  <c r="C331" i="15" l="1"/>
  <c r="D331" i="15"/>
  <c r="C310" i="6"/>
  <c r="D310" i="6"/>
  <c r="E331" i="15" l="1"/>
  <c r="E310" i="6"/>
  <c r="G332" i="15" l="1"/>
  <c r="D332" i="15" s="1"/>
  <c r="E30" i="19" s="1"/>
  <c r="G311" i="6"/>
  <c r="C332" i="15" l="1"/>
  <c r="E332" i="15" s="1"/>
  <c r="G333" i="15" s="1"/>
  <c r="C333" i="15" s="1"/>
  <c r="D311" i="6"/>
  <c r="C311" i="6"/>
  <c r="E311" i="6" s="1"/>
  <c r="D333" i="15" l="1"/>
  <c r="C30" i="19"/>
  <c r="G30" i="19" s="1"/>
  <c r="E333" i="15"/>
  <c r="G334" i="15" s="1"/>
  <c r="D334" i="15" s="1"/>
  <c r="G312" i="6"/>
  <c r="F30" i="19" l="1"/>
  <c r="C334" i="15"/>
  <c r="E334" i="15" s="1"/>
  <c r="G335" i="15" s="1"/>
  <c r="D312" i="6"/>
  <c r="C312" i="6"/>
  <c r="C335" i="15" l="1"/>
  <c r="D335" i="15"/>
  <c r="E312" i="6"/>
  <c r="G313" i="6" l="1"/>
  <c r="E335" i="15"/>
  <c r="G336" i="15" l="1"/>
  <c r="C313" i="6"/>
  <c r="D313" i="6"/>
  <c r="E313" i="6" l="1"/>
  <c r="D336" i="15"/>
  <c r="C336" i="15"/>
  <c r="E336" i="15" s="1"/>
  <c r="G337" i="15" l="1"/>
  <c r="G314" i="6"/>
  <c r="C314" i="6" l="1"/>
  <c r="D314" i="6"/>
  <c r="C337" i="15"/>
  <c r="D337" i="15"/>
  <c r="E337" i="15" l="1"/>
  <c r="G338" i="15" s="1"/>
  <c r="E314" i="6"/>
  <c r="G315" i="6" s="1"/>
  <c r="C315" i="6" s="1"/>
  <c r="D315" i="6" l="1"/>
  <c r="E315" i="6" s="1"/>
  <c r="G316" i="6" s="1"/>
  <c r="C316" i="6" s="1"/>
  <c r="C338" i="15"/>
  <c r="D338" i="15"/>
  <c r="D316" i="6" l="1"/>
  <c r="E316" i="6" s="1"/>
  <c r="G317" i="6" s="1"/>
  <c r="E338" i="15"/>
  <c r="G339" i="15" s="1"/>
  <c r="D317" i="6" l="1"/>
  <c r="C317" i="6"/>
  <c r="E317" i="6" s="1"/>
  <c r="G318" i="6" s="1"/>
  <c r="C339" i="15"/>
  <c r="D339" i="15"/>
  <c r="D318" i="6" l="1"/>
  <c r="C318" i="6"/>
  <c r="E339" i="15"/>
  <c r="G340" i="15" s="1"/>
  <c r="E318" i="6" l="1"/>
  <c r="G319" i="6" s="1"/>
  <c r="D319" i="6" s="1"/>
  <c r="C340" i="15"/>
  <c r="D340" i="15"/>
  <c r="C319" i="6" l="1"/>
  <c r="E319" i="6" s="1"/>
  <c r="G320" i="6" s="1"/>
  <c r="C320" i="6" s="1"/>
  <c r="E340" i="15"/>
  <c r="G341" i="15" s="1"/>
  <c r="D320" i="6" l="1"/>
  <c r="E320" i="6" s="1"/>
  <c r="D341" i="15"/>
  <c r="C341" i="15"/>
  <c r="E30" i="18"/>
  <c r="E341" i="15" l="1"/>
  <c r="G342" i="15" s="1"/>
  <c r="C342" i="15" s="1"/>
  <c r="G321" i="6"/>
  <c r="C30" i="18"/>
  <c r="D342" i="15" l="1"/>
  <c r="E342" i="15" s="1"/>
  <c r="G343" i="15" s="1"/>
  <c r="C343" i="15" s="1"/>
  <c r="G30" i="18"/>
  <c r="F30" i="18"/>
  <c r="D321" i="6"/>
  <c r="C321" i="6"/>
  <c r="D343" i="15" l="1"/>
  <c r="E343" i="15" s="1"/>
  <c r="G344" i="15" s="1"/>
  <c r="E321" i="6"/>
  <c r="G322" i="6" s="1"/>
  <c r="C344" i="15" l="1"/>
  <c r="D344" i="15"/>
  <c r="E31" i="19" s="1"/>
  <c r="D322" i="6"/>
  <c r="C322" i="6"/>
  <c r="E322" i="6" l="1"/>
  <c r="G323" i="6"/>
  <c r="E344" i="15"/>
  <c r="G345" i="15" l="1"/>
  <c r="C31" i="19"/>
  <c r="D323" i="6"/>
  <c r="C323" i="6"/>
  <c r="E323" i="6" s="1"/>
  <c r="C345" i="15" l="1"/>
  <c r="D345" i="15"/>
  <c r="G324" i="6"/>
  <c r="F31" i="19"/>
  <c r="G31" i="19"/>
  <c r="C324" i="6" l="1"/>
  <c r="D324" i="6"/>
  <c r="E345" i="15"/>
  <c r="E324" i="6" l="1"/>
  <c r="G325" i="6" s="1"/>
  <c r="G346" i="15"/>
  <c r="C346" i="15" l="1"/>
  <c r="D346" i="15"/>
  <c r="C325" i="6"/>
  <c r="D325" i="6"/>
  <c r="E325" i="6" l="1"/>
  <c r="G326" i="6" s="1"/>
  <c r="E346" i="15"/>
  <c r="C326" i="6" l="1"/>
  <c r="D326" i="6"/>
  <c r="G347" i="15"/>
  <c r="E326" i="6" l="1"/>
  <c r="G327" i="6" s="1"/>
  <c r="C327" i="6" s="1"/>
  <c r="D347" i="15"/>
  <c r="C347" i="15"/>
  <c r="E347" i="15" s="1"/>
  <c r="D327" i="6" l="1"/>
  <c r="E327" i="6" s="1"/>
  <c r="G328" i="6" s="1"/>
  <c r="D328" i="6" s="1"/>
  <c r="G348" i="15"/>
  <c r="C328" i="6" l="1"/>
  <c r="E328" i="6" s="1"/>
  <c r="G329" i="6" s="1"/>
  <c r="D329" i="6" s="1"/>
  <c r="C348" i="15"/>
  <c r="D348" i="15"/>
  <c r="C329" i="6" l="1"/>
  <c r="E329" i="6" s="1"/>
  <c r="G330" i="6" s="1"/>
  <c r="C330" i="6" s="1"/>
  <c r="E348" i="15"/>
  <c r="D330" i="6" l="1"/>
  <c r="E330" i="6" s="1"/>
  <c r="G331" i="6" s="1"/>
  <c r="G349" i="15"/>
  <c r="D331" i="6" l="1"/>
  <c r="C331" i="6"/>
  <c r="E331" i="6" s="1"/>
  <c r="G332" i="6" s="1"/>
  <c r="C349" i="15"/>
  <c r="D349" i="15"/>
  <c r="E349" i="15" l="1"/>
  <c r="G350" i="15" s="1"/>
  <c r="C332" i="6"/>
  <c r="D332" i="6"/>
  <c r="C350" i="15" l="1"/>
  <c r="D350" i="15"/>
  <c r="E332" i="6"/>
  <c r="E31" i="18"/>
  <c r="G333" i="6" l="1"/>
  <c r="C31" i="18"/>
  <c r="G31" i="18" s="1"/>
  <c r="E350" i="15"/>
  <c r="G351" i="15" s="1"/>
  <c r="C333" i="6" l="1"/>
  <c r="D333" i="6"/>
  <c r="D351" i="15"/>
  <c r="C351" i="15"/>
  <c r="E351" i="15" s="1"/>
  <c r="G352" i="15" s="1"/>
  <c r="F31" i="18"/>
  <c r="E333" i="6" l="1"/>
  <c r="C352" i="15"/>
  <c r="D352" i="15"/>
  <c r="E352" i="15" l="1"/>
  <c r="G353" i="15" s="1"/>
  <c r="D353" i="15" s="1"/>
  <c r="G334" i="6"/>
  <c r="C353" i="15" l="1"/>
  <c r="E353" i="15" s="1"/>
  <c r="G354" i="15" s="1"/>
  <c r="C334" i="6"/>
  <c r="D334" i="6"/>
  <c r="D354" i="15" l="1"/>
  <c r="C354" i="15"/>
  <c r="E334" i="6"/>
  <c r="E354" i="15" l="1"/>
  <c r="G355" i="15" s="1"/>
  <c r="C355" i="15" s="1"/>
  <c r="G335" i="6"/>
  <c r="D355" i="15" l="1"/>
  <c r="E355" i="15" s="1"/>
  <c r="G356" i="15" s="1"/>
  <c r="D356" i="15" s="1"/>
  <c r="E32" i="19" s="1"/>
  <c r="C335" i="6"/>
  <c r="D335" i="6"/>
  <c r="C356" i="15" l="1"/>
  <c r="E356" i="15" s="1"/>
  <c r="G357" i="15" s="1"/>
  <c r="E335" i="6"/>
  <c r="C32" i="19" l="1"/>
  <c r="F32" i="19" s="1"/>
  <c r="C357" i="15"/>
  <c r="D357" i="15"/>
  <c r="G336" i="6"/>
  <c r="G32" i="19" l="1"/>
  <c r="E357" i="15"/>
  <c r="D336" i="6"/>
  <c r="C336" i="6"/>
  <c r="E336" i="6" l="1"/>
  <c r="G337" i="6" s="1"/>
  <c r="G358" i="15"/>
  <c r="C358" i="15" l="1"/>
  <c r="D358" i="15"/>
  <c r="D337" i="6"/>
  <c r="C337" i="6"/>
  <c r="E337" i="6" s="1"/>
  <c r="G338" i="6" l="1"/>
  <c r="E358" i="15"/>
  <c r="G359" i="15" l="1"/>
  <c r="C338" i="6"/>
  <c r="D338" i="6"/>
  <c r="E338" i="6" l="1"/>
  <c r="G339" i="6" s="1"/>
  <c r="C339" i="6" s="1"/>
  <c r="D359" i="15"/>
  <c r="C359" i="15"/>
  <c r="D339" i="6" l="1"/>
  <c r="E339" i="6" s="1"/>
  <c r="G340" i="6" s="1"/>
  <c r="E359" i="15"/>
  <c r="G360" i="15" s="1"/>
  <c r="C340" i="6" l="1"/>
  <c r="D340" i="6"/>
  <c r="D360" i="15"/>
  <c r="C360" i="15"/>
  <c r="E340" i="6" l="1"/>
  <c r="G341" i="6" s="1"/>
  <c r="D341" i="6" s="1"/>
  <c r="E360" i="15"/>
  <c r="G361" i="15" s="1"/>
  <c r="C341" i="6" l="1"/>
  <c r="E341" i="6" s="1"/>
  <c r="G342" i="6" s="1"/>
  <c r="D342" i="6" s="1"/>
  <c r="C361" i="15"/>
  <c r="D361" i="15"/>
  <c r="C342" i="6" l="1"/>
  <c r="E342" i="6" s="1"/>
  <c r="G343" i="6" s="1"/>
  <c r="D343" i="6" s="1"/>
  <c r="E361" i="15"/>
  <c r="G362" i="15" s="1"/>
  <c r="C343" i="6" l="1"/>
  <c r="E343" i="6" s="1"/>
  <c r="G344" i="6" s="1"/>
  <c r="D344" i="6" s="1"/>
  <c r="E32" i="18" s="1"/>
  <c r="D362" i="15"/>
  <c r="C362" i="15"/>
  <c r="C344" i="6" l="1"/>
  <c r="E344" i="6" s="1"/>
  <c r="E362" i="15"/>
  <c r="G363" i="15" s="1"/>
  <c r="C363" i="15" s="1"/>
  <c r="D363" i="15" l="1"/>
  <c r="E363" i="15" s="1"/>
  <c r="G364" i="15" s="1"/>
  <c r="C364" i="15" s="1"/>
  <c r="G345" i="6"/>
  <c r="C32" i="18"/>
  <c r="D364" i="15" l="1"/>
  <c r="E364" i="15" s="1"/>
  <c r="G365" i="15" s="1"/>
  <c r="D365" i="15" s="1"/>
  <c r="F32" i="18"/>
  <c r="G32" i="18"/>
  <c r="C345" i="6"/>
  <c r="D345" i="6"/>
  <c r="E345" i="6" l="1"/>
  <c r="G346" i="6" s="1"/>
  <c r="C346" i="6" s="1"/>
  <c r="C365" i="15"/>
  <c r="E365" i="15" s="1"/>
  <c r="G366" i="15" s="1"/>
  <c r="D366" i="15" s="1"/>
  <c r="D346" i="6" l="1"/>
  <c r="E346" i="6" s="1"/>
  <c r="C366" i="15"/>
  <c r="E366" i="15" s="1"/>
  <c r="G367" i="15" s="1"/>
  <c r="C367" i="15" l="1"/>
  <c r="D367" i="15"/>
  <c r="G347" i="6"/>
  <c r="E367" i="15" l="1"/>
  <c r="G368" i="15" s="1"/>
  <c r="C368" i="15" s="1"/>
  <c r="D347" i="6"/>
  <c r="C347" i="6"/>
  <c r="D368" i="15" l="1"/>
  <c r="E33" i="19" s="1"/>
  <c r="E368" i="15"/>
  <c r="E347" i="6"/>
  <c r="G348" i="6" s="1"/>
  <c r="G369" i="15" l="1"/>
  <c r="C33" i="19"/>
  <c r="C348" i="6"/>
  <c r="D348" i="6"/>
  <c r="F33" i="19" l="1"/>
  <c r="G33" i="19"/>
  <c r="D369" i="15"/>
  <c r="C369" i="15"/>
  <c r="E369" i="15" s="1"/>
  <c r="G370" i="15" s="1"/>
  <c r="D370" i="15" s="1"/>
  <c r="E348" i="6"/>
  <c r="G349" i="6" s="1"/>
  <c r="C370" i="15" l="1"/>
  <c r="E370" i="15" s="1"/>
  <c r="G371" i="15" s="1"/>
  <c r="D371" i="15" s="1"/>
  <c r="C349" i="6"/>
  <c r="D349" i="6"/>
  <c r="C371" i="15" l="1"/>
  <c r="E371" i="15" s="1"/>
  <c r="E349" i="6"/>
  <c r="G350" i="6" s="1"/>
  <c r="D350" i="6" l="1"/>
  <c r="C350" i="6"/>
  <c r="E350" i="6" l="1"/>
  <c r="G351" i="6" s="1"/>
  <c r="D351" i="6" s="1"/>
  <c r="C351" i="6"/>
  <c r="E351" i="6" l="1"/>
  <c r="G352" i="6" s="1"/>
  <c r="D352" i="6" s="1"/>
  <c r="C352" i="6" l="1"/>
  <c r="E352" i="6" s="1"/>
  <c r="G353" i="6" s="1"/>
  <c r="D353" i="6" s="1"/>
  <c r="C353" i="6" l="1"/>
  <c r="E353" i="6" s="1"/>
  <c r="G354" i="6" s="1"/>
  <c r="C354" i="6" s="1"/>
  <c r="D354" i="6" l="1"/>
  <c r="E354" i="6" s="1"/>
  <c r="G355" i="6" s="1"/>
  <c r="C355" i="6" l="1"/>
  <c r="D355" i="6"/>
  <c r="E355" i="6" l="1"/>
  <c r="G356" i="6" s="1"/>
  <c r="D356" i="6" s="1"/>
  <c r="E33" i="18" s="1"/>
  <c r="C356" i="6" l="1"/>
  <c r="E356" i="6" s="1"/>
  <c r="G357" i="6" s="1"/>
  <c r="C33" i="18"/>
  <c r="G33" i="18" l="1"/>
  <c r="F33" i="18"/>
  <c r="D357" i="6"/>
  <c r="C357" i="6"/>
  <c r="E357" i="6" l="1"/>
  <c r="G358" i="6"/>
  <c r="D358" i="6" l="1"/>
  <c r="C358" i="6"/>
  <c r="E358" i="6" l="1"/>
  <c r="G359" i="6" s="1"/>
  <c r="C359" i="6" l="1"/>
  <c r="D359" i="6"/>
  <c r="E359" i="6" l="1"/>
  <c r="G360" i="6" l="1"/>
  <c r="C360" i="6" l="1"/>
  <c r="D360" i="6"/>
  <c r="E360" i="6" l="1"/>
  <c r="G361" i="6" l="1"/>
  <c r="C361" i="6" l="1"/>
  <c r="D361" i="6"/>
  <c r="E361" i="6" l="1"/>
  <c r="G362" i="6" s="1"/>
  <c r="C362" i="6" l="1"/>
  <c r="D362" i="6"/>
  <c r="E362" i="6" l="1"/>
  <c r="G363" i="6" s="1"/>
  <c r="D363" i="6" s="1"/>
  <c r="C363" i="6" l="1"/>
  <c r="E363" i="6" s="1"/>
  <c r="G364" i="6" s="1"/>
  <c r="D364" i="6" l="1"/>
  <c r="C364" i="6"/>
  <c r="E364" i="6" s="1"/>
  <c r="G365" i="6" s="1"/>
  <c r="D365" i="6" s="1"/>
  <c r="C365" i="6" l="1"/>
  <c r="E365" i="6" s="1"/>
  <c r="G366" i="6" s="1"/>
  <c r="D366" i="6" s="1"/>
  <c r="C366" i="6" l="1"/>
  <c r="E366" i="6" s="1"/>
  <c r="G367" i="6" s="1"/>
  <c r="D367" i="6" s="1"/>
  <c r="C367" i="6" l="1"/>
  <c r="E367" i="6" s="1"/>
  <c r="G368" i="6" s="1"/>
  <c r="D368" i="6" s="1"/>
  <c r="E34" i="18" s="1"/>
  <c r="C368" i="6" l="1"/>
  <c r="E368" i="6" s="1"/>
  <c r="G369" i="6" s="1"/>
  <c r="C34" i="18" l="1"/>
  <c r="G34" i="18" s="1"/>
  <c r="F34" i="18"/>
  <c r="D369" i="6"/>
  <c r="C369" i="6"/>
  <c r="E369" i="6" s="1"/>
  <c r="G370" i="6" s="1"/>
  <c r="C370" i="6" l="1"/>
  <c r="D370" i="6"/>
  <c r="E370" i="6" l="1"/>
  <c r="G371" i="6" s="1"/>
  <c r="D371" i="6" s="1"/>
  <c r="C371" i="6" l="1"/>
  <c r="E37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<sst xmlns="http://schemas.openxmlformats.org/spreadsheetml/2006/main" count="1250" uniqueCount="539">
  <si>
    <r>
      <t>Please fill</t>
    </r>
    <r>
      <rPr>
        <b/>
        <u/>
        <sz val="11"/>
        <color theme="1"/>
        <rFont val="Baskerville Old Face"/>
        <family val="2"/>
        <scheme val="minor"/>
      </rPr>
      <t xml:space="preserve"> BOLD</t>
    </r>
    <r>
      <rPr>
        <u/>
        <sz val="11"/>
        <color theme="1"/>
        <rFont val="Baskerville Old Face"/>
        <family val="2"/>
        <scheme val="minor"/>
      </rPr>
      <t xml:space="preserve"> numbers.</t>
    </r>
  </si>
  <si>
    <t>Calculate offer price</t>
  </si>
  <si>
    <t>Property Type</t>
  </si>
  <si>
    <t>Appartment building</t>
  </si>
  <si>
    <t>Property type</t>
  </si>
  <si>
    <t>Listing Price</t>
  </si>
  <si>
    <t>Single dowel</t>
  </si>
  <si>
    <t>Property Value</t>
  </si>
  <si>
    <t>Single dowel with basement suite</t>
  </si>
  <si>
    <t>SQFT</t>
  </si>
  <si>
    <t>Duplex</t>
  </si>
  <si>
    <t>80% of Property Value</t>
  </si>
  <si>
    <t>Townhouse</t>
  </si>
  <si>
    <t>Closing cost (10% of Purchase Price)</t>
  </si>
  <si>
    <t>Condominium</t>
  </si>
  <si>
    <t>Renovation cost</t>
  </si>
  <si>
    <t>Fourplex</t>
  </si>
  <si>
    <t>Carring cost</t>
  </si>
  <si>
    <t>Length of renovation/Month</t>
  </si>
  <si>
    <t>Total Carrying cost</t>
  </si>
  <si>
    <t>Downpayment %</t>
  </si>
  <si>
    <t>Investment Capital</t>
  </si>
  <si>
    <t>Downpayment amount</t>
  </si>
  <si>
    <t>Closing cost is around 4% so I use 4.5% of your purchase price</t>
  </si>
  <si>
    <t>Total cash need for investment</t>
  </si>
  <si>
    <t xml:space="preserve">Works on bull market but not bear market. Although, you can guess the number in low price. Still number of the sale is important. High market volume. </t>
  </si>
  <si>
    <t>Carrying Cost</t>
  </si>
  <si>
    <t>Total Mortgage amount</t>
  </si>
  <si>
    <t xml:space="preserve">Offer price - Downpayment.   </t>
  </si>
  <si>
    <t>Mortgage payment/month</t>
  </si>
  <si>
    <t xml:space="preserve">Go to the mortgage calculator page </t>
  </si>
  <si>
    <t xml:space="preserve">Motgage Payment/Annual </t>
  </si>
  <si>
    <t>Property Tax/Annual</t>
  </si>
  <si>
    <t>Monthly Property Tax</t>
  </si>
  <si>
    <t>Debt Service/Month</t>
  </si>
  <si>
    <t xml:space="preserve">Renovation cost and etc. if you use HELOC for your downpayment and renovation. Go to debt payment calculator </t>
  </si>
  <si>
    <t>Utilities/annual</t>
  </si>
  <si>
    <t>Insurance/Annual</t>
  </si>
  <si>
    <t>Ballpark 0.38% of purchase price.</t>
  </si>
  <si>
    <t>Strata Fee</t>
  </si>
  <si>
    <t>Strata fee Annual</t>
  </si>
  <si>
    <t>Annual Carrying cost</t>
  </si>
  <si>
    <t>Monthly Carrying cost</t>
  </si>
  <si>
    <t xml:space="preserve">ARV compare properties </t>
  </si>
  <si>
    <t>Find comp. Properties after Renovation</t>
  </si>
  <si>
    <t>Property 1</t>
  </si>
  <si>
    <t>Property 2</t>
  </si>
  <si>
    <t>Property 3</t>
  </si>
  <si>
    <t>Type of property</t>
  </si>
  <si>
    <t>Bed room</t>
  </si>
  <si>
    <t>Bathroom</t>
  </si>
  <si>
    <t>Bedrooms</t>
  </si>
  <si>
    <t>Bathrooms</t>
  </si>
  <si>
    <t>Sold Price</t>
  </si>
  <si>
    <t>Cost/SQFT</t>
  </si>
  <si>
    <t>Average property cost/SQFT</t>
  </si>
  <si>
    <t>Main suite</t>
  </si>
  <si>
    <t>Suite 2</t>
  </si>
  <si>
    <t>Suite3</t>
  </si>
  <si>
    <t>Rent/bedroom</t>
  </si>
  <si>
    <t xml:space="preserve">This is the most important number. Please research the area you like to invest. </t>
  </si>
  <si>
    <t>Number of Bedrooms(If rent per room)</t>
  </si>
  <si>
    <t>Mainsuite rent</t>
  </si>
  <si>
    <t>Strata fee/monthly</t>
  </si>
  <si>
    <t xml:space="preserve">Parking </t>
  </si>
  <si>
    <t>Storage</t>
  </si>
  <si>
    <t>Laundry</t>
  </si>
  <si>
    <t>Pet</t>
  </si>
  <si>
    <t>Total rental income</t>
  </si>
  <si>
    <t>Total Rent for calculation</t>
  </si>
  <si>
    <t>Subtract strata fee for calculation</t>
  </si>
  <si>
    <t>Room rental: How much do you have to charge per room?</t>
  </si>
  <si>
    <t>Rental price from your offering price</t>
  </si>
  <si>
    <t>If you cn buy the property with your calculated offering price, how low can you set rental and you will still get cash flow</t>
  </si>
  <si>
    <t>Market price/ Calculated offering price ratio</t>
  </si>
  <si>
    <t>How much discount do you need from current market price?</t>
  </si>
  <si>
    <t>Rent from current market price. How much do you have to charge rent to get cash flow</t>
  </si>
  <si>
    <t>Calculating backwards from current market price how much you have to charge rent.</t>
  </si>
  <si>
    <t>Current market/Rent base value Ratio</t>
  </si>
  <si>
    <t xml:space="preserve">If the rent income based price is the value of the property, where is the market price </t>
  </si>
  <si>
    <t xml:space="preserve">Consider that you might not be able to rent it entire year. </t>
  </si>
  <si>
    <t>Future Value of the property</t>
  </si>
  <si>
    <t>Passive Appreciation rate</t>
  </si>
  <si>
    <t>Year from now</t>
  </si>
  <si>
    <t>When do you want to sell or refinance?</t>
  </si>
  <si>
    <t>Current market price</t>
  </si>
  <si>
    <t>Future price</t>
  </si>
  <si>
    <t>Capital Gain</t>
  </si>
  <si>
    <t>Offering Price</t>
  </si>
  <si>
    <t>Future Property Value</t>
  </si>
  <si>
    <t xml:space="preserve">Refinance at this price in 10 years. Keep or sell depends on the market condition in 10 years. </t>
  </si>
  <si>
    <t>Capital Gain offering price to ARV FV</t>
  </si>
  <si>
    <t xml:space="preserve">This number is very concervative number. </t>
  </si>
  <si>
    <t>ROI Calculation</t>
  </si>
  <si>
    <t>Closing cost</t>
  </si>
  <si>
    <t>Purchase Price</t>
  </si>
  <si>
    <t>Land transfer tax %</t>
  </si>
  <si>
    <t>Amortization period</t>
  </si>
  <si>
    <t>Land transfer tax</t>
  </si>
  <si>
    <t xml:space="preserve">Interest Rate </t>
  </si>
  <si>
    <t>Apprasal</t>
  </si>
  <si>
    <t xml:space="preserve">Passive Appriciation Rate </t>
  </si>
  <si>
    <t>Home inspection</t>
  </si>
  <si>
    <t>Legal Fee</t>
  </si>
  <si>
    <t>Annual Rent Increse</t>
  </si>
  <si>
    <t xml:space="preserve">Title Insurance </t>
  </si>
  <si>
    <t>Other cost (Adjustment)</t>
  </si>
  <si>
    <t>Closing Cost</t>
  </si>
  <si>
    <t>Down payment</t>
  </si>
  <si>
    <t>Mortgage amount</t>
  </si>
  <si>
    <t>Mortgage payment/mth</t>
  </si>
  <si>
    <t>Property Tax/Ammual</t>
  </si>
  <si>
    <t>Debt Service/annual</t>
  </si>
  <si>
    <t>Future Value</t>
  </si>
  <si>
    <t>1st year investment</t>
  </si>
  <si>
    <t>Total cash need to close</t>
  </si>
  <si>
    <t>CF with Original investment</t>
  </si>
  <si>
    <t>Revenue</t>
  </si>
  <si>
    <t>Monthly Rent</t>
  </si>
  <si>
    <t>Annual rent</t>
  </si>
  <si>
    <t>Vacancy Rate</t>
  </si>
  <si>
    <t>Vacancy &amp; Credit Losses</t>
  </si>
  <si>
    <t>Monthly Motgage payment</t>
  </si>
  <si>
    <t>Annual Motgage Payment</t>
  </si>
  <si>
    <t>Property Taxes</t>
  </si>
  <si>
    <t>Monthly Property Management Fee</t>
  </si>
  <si>
    <t>Annual Property Management Fee</t>
  </si>
  <si>
    <t>Monthly Strata Fee</t>
  </si>
  <si>
    <t>Strata Fee/Annual</t>
  </si>
  <si>
    <t>Utilities/Annual</t>
  </si>
  <si>
    <t>Lawn Maintenance/Annual</t>
  </si>
  <si>
    <t>Cleaning/Annual</t>
  </si>
  <si>
    <t>Repair and Maintenance/ Annual</t>
  </si>
  <si>
    <t>Gifts/Annual</t>
  </si>
  <si>
    <t>Other/Annual</t>
  </si>
  <si>
    <t>Annual Net Operating Income</t>
  </si>
  <si>
    <t>Annual Cash Flow</t>
  </si>
  <si>
    <t>Monthly Cash Flow</t>
  </si>
  <si>
    <t>Annual Mortgage Payment</t>
  </si>
  <si>
    <t>Realtor fee when you sell the property</t>
  </si>
  <si>
    <t>Year</t>
  </si>
  <si>
    <t>Cash Flow</t>
  </si>
  <si>
    <t>Principle Recapture</t>
  </si>
  <si>
    <t>Passive Appreciation</t>
  </si>
  <si>
    <t>Year 10</t>
  </si>
  <si>
    <t>Principle Payment</t>
  </si>
  <si>
    <t>Return on Investment</t>
  </si>
  <si>
    <t>Avarage rate of return</t>
  </si>
  <si>
    <t>Year 15</t>
  </si>
  <si>
    <t>Amount $</t>
  </si>
  <si>
    <t>%</t>
  </si>
  <si>
    <t>Monthly Cash flow</t>
  </si>
  <si>
    <t>Total CF</t>
  </si>
  <si>
    <t>Average Rate of Return</t>
  </si>
  <si>
    <t>Compounded Annual Rate of Return</t>
  </si>
  <si>
    <t>Mortgage Calculator</t>
  </si>
  <si>
    <t>Amortization Periods</t>
  </si>
  <si>
    <t>Payment per year</t>
  </si>
  <si>
    <t>Interest Rate</t>
  </si>
  <si>
    <t>Number of Payments</t>
  </si>
  <si>
    <t>Downpayment</t>
  </si>
  <si>
    <t>Monthly Payment</t>
  </si>
  <si>
    <t>Debt payment Calculator</t>
  </si>
  <si>
    <t>Amount you borrow</t>
  </si>
  <si>
    <t>interest rate</t>
  </si>
  <si>
    <t>Principal payment</t>
  </si>
  <si>
    <t>Total monthly payment</t>
  </si>
  <si>
    <t>Interest rate</t>
  </si>
  <si>
    <t>Amortization Period</t>
  </si>
  <si>
    <t>Number of payment/Year</t>
  </si>
  <si>
    <t xml:space="preserve">Payment Schedule </t>
  </si>
  <si>
    <t>Date</t>
  </si>
  <si>
    <t>Payment #</t>
  </si>
  <si>
    <t>Payment Amount</t>
  </si>
  <si>
    <t>Interest payment</t>
  </si>
  <si>
    <t>Principal Payment</t>
  </si>
  <si>
    <t>Extra payment</t>
  </si>
  <si>
    <t>Loan balance</t>
  </si>
  <si>
    <t>Investment Capital Allocation</t>
  </si>
  <si>
    <t>Removation/Maintenance</t>
  </si>
  <si>
    <t>Total investment capital</t>
  </si>
  <si>
    <t>Term</t>
  </si>
  <si>
    <t>Building intrinsic value</t>
  </si>
  <si>
    <t>Current listing price</t>
  </si>
  <si>
    <t>Target purchase price</t>
  </si>
  <si>
    <t>1st year Annual rent revenue</t>
  </si>
  <si>
    <t>Property tax</t>
  </si>
  <si>
    <t>Mortgage payment</t>
  </si>
  <si>
    <t>Total expenses</t>
  </si>
  <si>
    <t>Repair &amp; Maintenance</t>
  </si>
  <si>
    <t>Gift</t>
  </si>
  <si>
    <t>1st year Net Operating Income</t>
  </si>
  <si>
    <t>Return on Investment 10 years term</t>
  </si>
  <si>
    <t>Total Return</t>
  </si>
  <si>
    <t>Compunded Annual rate of return</t>
  </si>
  <si>
    <t>Return on Investment 15 years term</t>
  </si>
  <si>
    <t>Return on Investment 5 years term</t>
  </si>
  <si>
    <t>15 Year result</t>
  </si>
  <si>
    <t xml:space="preserve"> 10 year result</t>
  </si>
  <si>
    <t>5 year result</t>
  </si>
  <si>
    <t>Curret Intrinsic Value</t>
  </si>
  <si>
    <t>5 years</t>
  </si>
  <si>
    <t>10 years</t>
  </si>
  <si>
    <t>15 years</t>
  </si>
  <si>
    <t>CARR</t>
  </si>
  <si>
    <t>Year 5</t>
  </si>
  <si>
    <t>Active Appreciation</t>
  </si>
  <si>
    <t>Renovation</t>
  </si>
  <si>
    <t>Realtor fee</t>
  </si>
  <si>
    <t>Selling Price</t>
  </si>
  <si>
    <t>Profit</t>
  </si>
  <si>
    <t xml:space="preserve">If you cannot find it, (Assessment Value x Tax rate) google tax rate </t>
  </si>
  <si>
    <t>If the property is in BC, you can find sold property on BC assessment site</t>
  </si>
  <si>
    <t>If you can buy the property with your calculated offering price, lowest allowable rent for minumum cash flow</t>
  </si>
  <si>
    <t>Calculated offering Price/Margine of Safety</t>
  </si>
  <si>
    <t xml:space="preserve">Renovation period/Mth </t>
  </si>
  <si>
    <t>Carrying cost/Mth</t>
  </si>
  <si>
    <t>Cap Rate</t>
  </si>
  <si>
    <t>Net Operating Income</t>
  </si>
  <si>
    <t>Future Value of the property 10 years</t>
  </si>
  <si>
    <t>Future Value of the property 15 years</t>
  </si>
  <si>
    <t>Anticipated 10 year average appreciation rate</t>
  </si>
  <si>
    <t>Anticipated 15 years average appreciatuon rate</t>
  </si>
  <si>
    <t>Anticipated x years average appreciation rate</t>
  </si>
  <si>
    <t xml:space="preserve">Find out desired future value by changing the number by using </t>
  </si>
  <si>
    <t>Investment Term</t>
  </si>
  <si>
    <t>Less than 1 year</t>
  </si>
  <si>
    <t>1-4 Years</t>
  </si>
  <si>
    <t>6-9 Years</t>
  </si>
  <si>
    <t>5 Years</t>
  </si>
  <si>
    <t>10-15 Years</t>
  </si>
  <si>
    <t>More than 15 Years</t>
  </si>
  <si>
    <t>Raised Investment Capital</t>
  </si>
  <si>
    <t>Future Value Analyze Tool</t>
  </si>
  <si>
    <t>Estimated Closing Cost</t>
  </si>
  <si>
    <t>If you don't need to raise capital, type 1st year investment capital on ROI number insert page.</t>
  </si>
  <si>
    <t>Chose most applicble Value from property value.</t>
  </si>
  <si>
    <t>If the student rental or share house, (main suite will be room rental $) then put the number of the room</t>
  </si>
  <si>
    <t>Expenses Inflation Rate</t>
  </si>
  <si>
    <t xml:space="preserve">Expenses </t>
  </si>
  <si>
    <t>Gross Operating Income</t>
  </si>
  <si>
    <t>Gross Operating Expenses</t>
  </si>
  <si>
    <t>Comp Price Evaluation</t>
  </si>
  <si>
    <t>1st Year Cash Flow</t>
  </si>
  <si>
    <t>2nd Mortgage Calculator</t>
  </si>
  <si>
    <t>2nd mortgage amount</t>
  </si>
  <si>
    <t>2nd Mortgage</t>
  </si>
  <si>
    <t>2nd Mortgage Payment</t>
  </si>
  <si>
    <t>Deside purchase price</t>
  </si>
  <si>
    <t>based on your analsis</t>
  </si>
  <si>
    <t>Today's year</t>
  </si>
  <si>
    <t>Year you want to see</t>
  </si>
  <si>
    <t>Year you are looking at</t>
  </si>
  <si>
    <t>Income statement</t>
  </si>
  <si>
    <t>Rent revenue</t>
  </si>
  <si>
    <t>Other revenue</t>
  </si>
  <si>
    <t>Vacancy loss</t>
  </si>
  <si>
    <t>Repair and Maintenance</t>
  </si>
  <si>
    <t>Utility</t>
  </si>
  <si>
    <t>Insurance</t>
  </si>
  <si>
    <t>Lawn Maintenance</t>
  </si>
  <si>
    <t>Cleaning</t>
  </si>
  <si>
    <t>Property Management Fee</t>
  </si>
  <si>
    <t>Other</t>
  </si>
  <si>
    <t>Property Tax</t>
  </si>
  <si>
    <t>Mortgage Payment</t>
  </si>
  <si>
    <t>2nd Mortgage paymet</t>
  </si>
  <si>
    <t>Short term debt payment</t>
  </si>
  <si>
    <t>Days on Market</t>
  </si>
  <si>
    <t>Date:</t>
  </si>
  <si>
    <t>Date of listing</t>
  </si>
  <si>
    <t>MLS #</t>
  </si>
  <si>
    <t>Address</t>
  </si>
  <si>
    <t xml:space="preserve">BC assessment </t>
  </si>
  <si>
    <t>BC Assessment</t>
  </si>
  <si>
    <t>Discount rate</t>
  </si>
  <si>
    <t>Actural Purchase Price</t>
  </si>
  <si>
    <t>CF Multiplier Evaluation</t>
  </si>
  <si>
    <t>Conservative CF Multiplier Evaluation</t>
  </si>
  <si>
    <t>10 Cap Price</t>
  </si>
  <si>
    <t>Amount that Bank will lend you</t>
  </si>
  <si>
    <t>Investment</t>
  </si>
  <si>
    <t>Requred rate of return</t>
  </si>
  <si>
    <t>CF Year 0</t>
  </si>
  <si>
    <t>Year 1</t>
  </si>
  <si>
    <t>Year2</t>
  </si>
  <si>
    <t>Year3</t>
  </si>
  <si>
    <t>Year 4</t>
  </si>
  <si>
    <t>Year5</t>
  </si>
  <si>
    <t>NPV</t>
  </si>
  <si>
    <t>IRR</t>
  </si>
  <si>
    <t>PV of future CF</t>
  </si>
  <si>
    <t>PI</t>
  </si>
  <si>
    <t>NPV from Cash flow and Principle recapture</t>
  </si>
  <si>
    <t>NPV from CF, PR, and Passive Appreciation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</si>
  <si>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</si>
  <si>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</si>
  <si>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</si>
  <si>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</si>
  <si>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</si>
  <si>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</si>
  <si>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</si>
  <si>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</si>
  <si>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</si>
  <si>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</si>
  <si>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NPV from PP and AA</t>
  </si>
  <si>
    <t>Break even ratio</t>
  </si>
  <si>
    <t>Income down to this number, still pay expenses</t>
  </si>
  <si>
    <t>Periods CF pay back your IC</t>
  </si>
  <si>
    <t>Original price</t>
  </si>
  <si>
    <t>After refinance</t>
  </si>
  <si>
    <t>Changes</t>
  </si>
  <si>
    <t>Original</t>
  </si>
  <si>
    <t>Refinance Price</t>
  </si>
  <si>
    <t>Pay back period (Years)</t>
  </si>
  <si>
    <t>Carrying cost</t>
  </si>
  <si>
    <t>After Refinance Price</t>
  </si>
  <si>
    <t>Listing price to purchase price</t>
  </si>
  <si>
    <t>Original Price</t>
  </si>
  <si>
    <t>After Refinance</t>
  </si>
  <si>
    <t>Investment return from After Refinance (gain/loss)</t>
  </si>
  <si>
    <t>Financial Statement</t>
  </si>
  <si>
    <t>Principal Recapture</t>
  </si>
  <si>
    <t>3-plex</t>
  </si>
  <si>
    <t>Graph</t>
  </si>
  <si>
    <t>Active Value added</t>
  </si>
  <si>
    <t>Cost of Active Apreciation</t>
  </si>
  <si>
    <t>Capital gain/loss</t>
  </si>
  <si>
    <t>Downpayment requirement %</t>
  </si>
  <si>
    <t>When finance from bank.</t>
  </si>
  <si>
    <t>Downpayment requirement $</t>
  </si>
  <si>
    <t>Investment Capital 1st year</t>
  </si>
  <si>
    <t>Return on investment (CF)</t>
  </si>
  <si>
    <t>1st year Principle Recapture</t>
  </si>
  <si>
    <t>Principle paydown</t>
  </si>
  <si>
    <t>Equity End of 1st year (Downpayment +Principle pay down)</t>
  </si>
  <si>
    <t>Return on Equity (CF)</t>
  </si>
  <si>
    <t>Equity % end of 1st year</t>
  </si>
  <si>
    <t>Return on Investment (PR)</t>
  </si>
  <si>
    <t>Equity gain</t>
  </si>
  <si>
    <t>1st year Passive Appreciation</t>
  </si>
  <si>
    <t>Appreciation rate</t>
  </si>
  <si>
    <t>Passive appreciation 1st year</t>
  </si>
  <si>
    <t>Return on Investmnet (PA)</t>
  </si>
  <si>
    <t>Total Return on Investment</t>
  </si>
  <si>
    <t>Desired Cap rate</t>
  </si>
  <si>
    <t>Monthly income/0.6%</t>
  </si>
  <si>
    <t>ARV or(intrinsic value)X80%-renocost-carrying cost-closing cost</t>
  </si>
  <si>
    <t>JV Deal Structure</t>
  </si>
  <si>
    <t>Minimum investment</t>
  </si>
  <si>
    <t>Numbers of share</t>
  </si>
  <si>
    <t>Target Cash flow per share</t>
  </si>
  <si>
    <t>Working partner Cash flow per month (20%)</t>
  </si>
  <si>
    <t>Investor received cash flow per share (every $25,000)</t>
  </si>
  <si>
    <t>Cash Flow ROI</t>
  </si>
  <si>
    <t>Investor received cash flow per month (90%)</t>
  </si>
  <si>
    <t>15%/85% until investor get 100% of investment capital with cash flow.</t>
  </si>
  <si>
    <t>Payback period</t>
  </si>
  <si>
    <t>Investment capital required to close</t>
  </si>
  <si>
    <t>Raised invested Capital</t>
  </si>
  <si>
    <t xml:space="preserve">Capital after purchase </t>
  </si>
  <si>
    <t>5.58% ROI with CF with 85% of Equity until investors get money back. When investor get money back, 40(working partner)/60(Investor) equity share and 50/50 CF.</t>
  </si>
  <si>
    <t>Working partner has 50% of voting power and each shareholder has 50% of numbers of shere holding.</t>
  </si>
  <si>
    <t xml:space="preserve">This capital is emargency fund for vacancy loss and special levy. </t>
  </si>
  <si>
    <t xml:space="preserve">When sell property. </t>
  </si>
  <si>
    <t>Use of capital such as renovation, special levy, and use to invest in other investment securities.</t>
  </si>
  <si>
    <t xml:space="preserve">Working partner will disclose financial result annualy. </t>
  </si>
  <si>
    <t xml:space="preserve">5 yars minimum investment. After 5 years, restructure deal based on the market condition. Capital leftover wll be cash out in 5 years unless investor chose not to cash out. </t>
  </si>
  <si>
    <t>Capital cash out per share from original capital leftover.</t>
  </si>
  <si>
    <t xml:space="preserve">Investor can decide to not receive monthly CF, if investor do so,this will go toward priciple payment for future investment choice. When the investor make this choice they will be a part of working partner. </t>
  </si>
  <si>
    <t xml:space="preserve">Extra principle paydown will build up equity quicker. This will reduce risk from market fluctuation. </t>
  </si>
  <si>
    <t xml:space="preserve">More access to equity loan when we find next investment opportunity. </t>
  </si>
  <si>
    <t>When investor join working partner, investor will receive 15% of numbers of working partner and 50% voting right.</t>
  </si>
  <si>
    <t>Wholesale deal</t>
  </si>
  <si>
    <t>Example:</t>
  </si>
  <si>
    <t>Asking price</t>
  </si>
  <si>
    <t>Purchase price</t>
  </si>
  <si>
    <t>Discounted amount</t>
  </si>
  <si>
    <t>10% of discounted amount</t>
  </si>
  <si>
    <t>Investors purchase price equal to</t>
  </si>
  <si>
    <t>Discounted amount from asking price $</t>
  </si>
  <si>
    <t>Discounted amount from asking price %</t>
  </si>
  <si>
    <t xml:space="preserve">Investor will pay 10% of the discounted amount as founder's fee. </t>
  </si>
  <si>
    <t xml:space="preserve">Investor will take all the rights and obligations from founder. </t>
  </si>
  <si>
    <t>Principle payment year 1</t>
  </si>
  <si>
    <t>Mortgage monthly payment</t>
  </si>
  <si>
    <t>Principle payment year 2</t>
  </si>
  <si>
    <t>Principle payment year 3</t>
  </si>
  <si>
    <t>Principle payment year 4</t>
  </si>
  <si>
    <t>Principle payment year 5</t>
  </si>
  <si>
    <t>Principle payment year 6</t>
  </si>
  <si>
    <t>Principle payment year 7</t>
  </si>
  <si>
    <t>Principle payment year 8</t>
  </si>
  <si>
    <t>Principle payment year 9</t>
  </si>
  <si>
    <t>Principle payment year 10</t>
  </si>
  <si>
    <t>Principle payment year 11</t>
  </si>
  <si>
    <t>Principle payment year 12</t>
  </si>
  <si>
    <t>Principle payment year 13</t>
  </si>
  <si>
    <t>Principle payment year 14</t>
  </si>
  <si>
    <t>Principle payment year 15</t>
  </si>
  <si>
    <t>Principle payment year 16</t>
  </si>
  <si>
    <t>Principle payment year 17</t>
  </si>
  <si>
    <t>Principle payment year 18</t>
  </si>
  <si>
    <t>Principle payment year 19</t>
  </si>
  <si>
    <t>Principle payment year 20</t>
  </si>
  <si>
    <t>Principle payment year 21</t>
  </si>
  <si>
    <t>Principle payment year 22</t>
  </si>
  <si>
    <t>Principle payment year 23</t>
  </si>
  <si>
    <t>Principle payment year 24</t>
  </si>
  <si>
    <t>Principle payment year 25</t>
  </si>
  <si>
    <t>Principle payment year 26</t>
  </si>
  <si>
    <t>Principle payment year 27</t>
  </si>
  <si>
    <t>Principle payment year 28</t>
  </si>
  <si>
    <t>Principle payment year 29</t>
  </si>
  <si>
    <t>Principle payment year 30</t>
  </si>
  <si>
    <t>Interest payment year 1</t>
  </si>
  <si>
    <t>Interest payment year 2</t>
  </si>
  <si>
    <t>Interest payment year 3</t>
  </si>
  <si>
    <t>Interest payment year 4</t>
  </si>
  <si>
    <t>Interest payment year 5</t>
  </si>
  <si>
    <t>Interest payment year 6</t>
  </si>
  <si>
    <t>Interest payment year 7</t>
  </si>
  <si>
    <t>Interest payment year 8</t>
  </si>
  <si>
    <t>Interest payment year 9</t>
  </si>
  <si>
    <t>Interest payment year 10</t>
  </si>
  <si>
    <t>Interest payment year 11</t>
  </si>
  <si>
    <t>Interest payment year 12</t>
  </si>
  <si>
    <t>Interest payment year 13</t>
  </si>
  <si>
    <t>Interest payment year 14</t>
  </si>
  <si>
    <t>Interest payment year 15</t>
  </si>
  <si>
    <t>Interest payment year 16</t>
  </si>
  <si>
    <t>Interest payment year 17</t>
  </si>
  <si>
    <t>Interest payment year 18</t>
  </si>
  <si>
    <t>Interest payment year 19</t>
  </si>
  <si>
    <t>Interest payment year 20</t>
  </si>
  <si>
    <t>Interest payment year 21</t>
  </si>
  <si>
    <t>Interest payment year 22</t>
  </si>
  <si>
    <t>Interest payment year 23</t>
  </si>
  <si>
    <t>Interest payment year 24</t>
  </si>
  <si>
    <t>Interest payment year 25</t>
  </si>
  <si>
    <t>Interest payment year 26</t>
  </si>
  <si>
    <t>Interest payment year 27</t>
  </si>
  <si>
    <t>Interest payment year 28</t>
  </si>
  <si>
    <t>Interest payment year 29</t>
  </si>
  <si>
    <t>Interest payment year 30</t>
  </si>
  <si>
    <t>% of principle payment</t>
  </si>
  <si>
    <t>ROI</t>
  </si>
  <si>
    <t>Refinance fee</t>
  </si>
  <si>
    <t>1st Year return</t>
  </si>
  <si>
    <t>Total ROI</t>
  </si>
  <si>
    <t>Table Of Contents</t>
  </si>
  <si>
    <t>Page</t>
  </si>
  <si>
    <t>description</t>
  </si>
  <si>
    <t>You can obtain the result you want to see by pick the title from drop-down.</t>
  </si>
  <si>
    <t>Table of contents</t>
  </si>
  <si>
    <t>Total Result</t>
  </si>
  <si>
    <t>Deal Stracture</t>
  </si>
  <si>
    <t>Sample deal structure if you will make Joint Venture with other people.</t>
  </si>
  <si>
    <t>Number inputs</t>
  </si>
  <si>
    <t>Calculating offering prce</t>
  </si>
  <si>
    <t>Input numbers on grey cells.</t>
  </si>
  <si>
    <t>Details</t>
  </si>
  <si>
    <t>Outputs</t>
  </si>
  <si>
    <t>Cash flow predictions.</t>
  </si>
  <si>
    <t>First year financial statement</t>
  </si>
  <si>
    <t>Income statement based on your predicted numbers.</t>
  </si>
  <si>
    <t>4 ways to win</t>
  </si>
  <si>
    <t>5 years, 10 years and 15 years 4 ways to win predictions.</t>
  </si>
  <si>
    <t>Mortgage payment schedule</t>
  </si>
  <si>
    <t xml:space="preserve">Mortgage payment schedule based on your interest rate. </t>
  </si>
  <si>
    <t>Principle recapture ROI.</t>
  </si>
  <si>
    <t>Additional Inputs (Flip to yourself)</t>
  </si>
  <si>
    <t>Reno cost, rental revenue</t>
  </si>
  <si>
    <t xml:space="preserve">Input numbers on grey cells. Cost of renovation and change in rental revenue. </t>
  </si>
  <si>
    <t>New mortgage after refinance</t>
  </si>
  <si>
    <t xml:space="preserve">Input numbers on grey cells. Change in mortgage. </t>
  </si>
  <si>
    <t>Outputs on the results after refinance</t>
  </si>
  <si>
    <t>Tools</t>
  </si>
  <si>
    <t>Mortgage payment calculator</t>
  </si>
  <si>
    <t>Debt payment calculator</t>
  </si>
  <si>
    <t>Figure out 2nd mortgage by filling grey cell. Result will jump on the correct cells.</t>
  </si>
  <si>
    <t>Figure out debt payment by filling grey cell. Result will jump on the correct cells.</t>
  </si>
  <si>
    <t>Document</t>
  </si>
  <si>
    <t>Cash Flow Year</t>
  </si>
  <si>
    <t>Annual ROI</t>
  </si>
  <si>
    <t>Monthly CF</t>
  </si>
  <si>
    <t>Annual CF</t>
  </si>
  <si>
    <t>Cash Flow look up</t>
  </si>
  <si>
    <t>Annual Principle Payment</t>
  </si>
  <si>
    <t>Annual Interest Payment</t>
  </si>
  <si>
    <t>PR Year</t>
  </si>
  <si>
    <t>Principal Recapture look up</t>
  </si>
  <si>
    <t>4 Ways To Win</t>
  </si>
  <si>
    <t>Break even selling price</t>
  </si>
  <si>
    <t>Rate</t>
  </si>
  <si>
    <t>Passive appreciation look up</t>
  </si>
  <si>
    <t>Cash Flow Break even ratio</t>
  </si>
  <si>
    <t>Payback time</t>
  </si>
  <si>
    <t>Years</t>
  </si>
  <si>
    <t>Back</t>
  </si>
  <si>
    <t>Commercial</t>
  </si>
  <si>
    <t>0.85% instead of 0.6%</t>
  </si>
  <si>
    <t>If the student rental or share house, (main suite will be room rental $) then put the number of the room, otherwise put 1.</t>
  </si>
  <si>
    <t>Value based on Rental Revenue</t>
  </si>
  <si>
    <t>Value/Listing Price</t>
  </si>
  <si>
    <t>Rental Needed from Listing Price</t>
  </si>
  <si>
    <t>Realistic Chargeable Rent</t>
  </si>
  <si>
    <t>property tax rate</t>
  </si>
  <si>
    <t>Purchase city</t>
  </si>
  <si>
    <t>surrey</t>
  </si>
  <si>
    <t>3601 13308 Central Avenue, Surrey</t>
  </si>
  <si>
    <t>From the 0.85% rule</t>
  </si>
  <si>
    <t>60%-80% prefer, Over 100% means your cost exceeds your revenue</t>
  </si>
  <si>
    <t xml:space="preserve">This is the rental revenue sufficient to cover your costs, and you will get cashflow. </t>
  </si>
  <si>
    <t>Market rental in area or actual rental charging now.</t>
  </si>
  <si>
    <t>Purchase Price fromDesired Cap Rate</t>
  </si>
  <si>
    <t>Purchase Price from Desired Cap Rate</t>
  </si>
  <si>
    <t xml:space="preserve">Input Desired Cap Rate. Click here to jump to inset cell. </t>
  </si>
  <si>
    <t>ROI Details (4 ways to win)</t>
  </si>
  <si>
    <t>Capital Budgeting</t>
  </si>
  <si>
    <t>Discount percentage</t>
  </si>
  <si>
    <t>NPV (Nert Present Value)</t>
  </si>
  <si>
    <t>IRR (Internal Rate of Return)</t>
  </si>
  <si>
    <t>PI (Profitability Index)</t>
  </si>
  <si>
    <t>At least larger than discount rate</t>
  </si>
  <si>
    <t>Must be larger than 1</t>
  </si>
  <si>
    <t>How many years to get your investment capital back with CF</t>
  </si>
  <si>
    <t>Back to Outputs</t>
  </si>
  <si>
    <t xml:space="preserve">NPV from 15 years of Cash Flow </t>
  </si>
  <si>
    <t>1st Year Financial Statement</t>
  </si>
  <si>
    <t>Type purchase city in lower case then click down below:</t>
  </si>
  <si>
    <t>Back to insert</t>
  </si>
  <si>
    <t>% you want to keep for Repair and Maintenance</t>
  </si>
  <si>
    <t>1st Year Repair&amp;Maintenance saving</t>
  </si>
  <si>
    <t>Accumulate Repair&amp;Maintenance saving Year</t>
  </si>
  <si>
    <t>Accumulate Repair&amp;Maintenance saving $</t>
  </si>
  <si>
    <t xml:space="preserve">Repair &amp; Maintenance Accumulation </t>
  </si>
  <si>
    <t>Amout</t>
  </si>
  <si>
    <t>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</si>
</sst>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[$$-1009]#,##0.00"/>
    <numFmt numFmtId="166" formatCode="&quot;$&quot;#,##0.00;[Red]&quot;$&quot;#,##0.00"/>
    <numFmt numFmtId="167" formatCode="&quot;$&quot;#,##0.00"/>
    <numFmt numFmtId="168" formatCode="yyyy"/>
    <numFmt numFmtId="169" formatCode="[$-1009]mmmm\ d\,\ yyyy;@"/>
    <numFmt numFmtId="170" formatCode="0.000"/>
    <numFmt numFmtId="171" formatCode="0.0"/>
    <numFmt numFmtId="172" formatCode="0.000000%"/>
    <numFmt numFmtId="173" formatCode="#,##0.000_ ;[Red]\-#,##0.000\ "/>
    <numFmt numFmtId="174" formatCode="#,##0_ ;\-#,##0\ "/>
  </numFmts>
  <fonts count="138" x14ac:knownFonts="1">
    <font>
      <sz val="11"/>
      <color theme="1"/>
      <name val="Baskerville Old Face"/>
      <family val="2"/>
      <scheme val="minor"/>
    </font>
    <font>
      <sz val="11"/>
      <color theme="1"/>
      <name val="Baskerville Old Face"/>
      <family val="2"/>
      <scheme val="minor"/>
    </font>
    <font>
      <b/>
      <sz val="11"/>
      <color theme="1"/>
      <name val="Baskerville Old Face"/>
      <family val="2"/>
      <scheme val="minor"/>
    </font>
    <font>
      <u/>
      <sz val="11"/>
      <color theme="10"/>
      <name val="Baskerville Old Face"/>
      <family val="2"/>
      <scheme val="minor"/>
    </font>
    <font>
      <u/>
      <sz val="11"/>
      <color theme="1"/>
      <name val="Baskerville Old Face"/>
      <family val="2"/>
      <scheme val="minor"/>
    </font>
    <font>
      <b/>
      <u/>
      <sz val="11"/>
      <color theme="1"/>
      <name val="Baskerville Old Face"/>
      <family val="2"/>
      <scheme val="minor"/>
    </font>
    <font>
      <sz val="11"/>
      <color rgb="FF000000"/>
      <name val="Baskerville Old Face"/>
      <family val="2"/>
      <scheme val="minor"/>
    </font>
    <font>
      <b/>
      <u/>
      <sz val="18"/>
      <color theme="5" tint="-0.499984740745262"/>
      <name val="Baskerville Old Face"/>
      <family val="2"/>
      <scheme val="minor"/>
    </font>
    <font>
      <b/>
      <sz val="12"/>
      <color theme="1" tint="0.34998626667073579"/>
      <name val="Baskerville Old Face"/>
      <family val="2"/>
      <scheme val="minor"/>
    </font>
    <font>
      <b/>
      <sz val="12"/>
      <color theme="1"/>
      <name val="Baskerville Old Face"/>
      <family val="2"/>
      <scheme val="minor"/>
    </font>
    <font>
      <sz val="12"/>
      <color theme="1"/>
      <name val="Baskerville Old Face"/>
      <family val="2"/>
      <scheme val="minor"/>
    </font>
    <font>
      <u/>
      <sz val="11"/>
      <color rgb="FF000000"/>
      <name val="Baskerville Old Face"/>
      <family val="2"/>
      <scheme val="minor"/>
    </font>
    <font>
      <sz val="11"/>
      <color theme="1" tint="0.34998626667073579"/>
      <name val="Baskerville Old Face"/>
      <family val="2"/>
      <scheme val="minor"/>
    </font>
    <font>
      <b/>
      <sz val="11"/>
      <color rgb="FFFF0000"/>
      <name val="Baskerville Old Face"/>
      <family val="2"/>
      <scheme val="minor"/>
    </font>
    <font>
      <b/>
      <sz val="12"/>
      <color theme="7" tint="0.79998168889431442"/>
      <name val="Baskerville Old Face"/>
      <family val="2"/>
      <scheme val="minor"/>
    </font>
    <font>
      <sz val="11"/>
      <color theme="7" tint="0.79998168889431442"/>
      <name val="Baskerville Old Face"/>
      <family val="2"/>
      <scheme val="minor"/>
    </font>
    <font>
      <b/>
      <sz val="14"/>
      <color rgb="FF000000"/>
      <name val="Baskerville Old Face"/>
      <family val="2"/>
      <scheme val="minor"/>
    </font>
    <font>
      <b/>
      <sz val="12"/>
      <color theme="8" tint="-0.249977111117893"/>
      <name val="Baskerville Old Face"/>
      <family val="2"/>
      <scheme val="minor"/>
    </font>
    <font>
      <sz val="11"/>
      <color theme="8" tint="-0.249977111117893"/>
      <name val="Baskerville Old Face"/>
      <family val="2"/>
      <scheme val="minor"/>
    </font>
    <font>
      <b/>
      <u/>
      <sz val="12"/>
      <color theme="5" tint="0.79998168889431442"/>
      <name val="Baskerville Old Face"/>
      <family val="2"/>
      <scheme val="minor"/>
    </font>
    <font>
      <b/>
      <sz val="12"/>
      <color theme="5" tint="-0.499984740745262"/>
      <name val="Baskerville Old Face"/>
      <family val="2"/>
      <scheme val="minor"/>
    </font>
    <font>
      <sz val="11"/>
      <color theme="5" tint="-0.499984740745262"/>
      <name val="Baskerville Old Face"/>
      <family val="2"/>
      <scheme val="minor"/>
    </font>
    <font>
      <u/>
      <sz val="11"/>
      <color theme="5" tint="-0.499984740745262"/>
      <name val="Baskerville Old Face"/>
      <family val="2"/>
      <scheme val="minor"/>
    </font>
    <font>
      <b/>
      <u/>
      <sz val="14"/>
      <color rgb="FF000000"/>
      <name val="Baskerville Old Face"/>
      <family val="2"/>
      <scheme val="minor"/>
    </font>
    <font>
      <sz val="11"/>
      <color rgb="FF002060"/>
      <name val="Baskerville Old Face"/>
      <family val="2"/>
      <scheme val="minor"/>
    </font>
    <font>
      <b/>
      <sz val="12"/>
      <color rgb="FF002060"/>
      <name val="Baskerville Old Face"/>
      <family val="2"/>
      <scheme val="minor"/>
    </font>
    <font>
      <b/>
      <u/>
      <sz val="16"/>
      <color rgb="FF000000"/>
      <name val="Baskerville Old Face"/>
      <family val="2"/>
      <scheme val="minor"/>
    </font>
    <font>
      <u/>
      <sz val="11"/>
      <color theme="4" tint="-0.499984740745262"/>
      <name val="Baskerville Old Face"/>
      <family val="2"/>
      <scheme val="minor"/>
    </font>
    <font>
      <sz val="11"/>
      <color theme="4" tint="-0.499984740745262"/>
      <name val="Baskerville Old Face"/>
      <family val="2"/>
      <scheme val="minor"/>
    </font>
    <font>
      <b/>
      <u/>
      <sz val="11"/>
      <color rgb="FF000000"/>
      <name val="Baskerville Old Face"/>
      <family val="2"/>
      <scheme val="minor"/>
    </font>
    <font>
      <b/>
      <u/>
      <sz val="16"/>
      <color theme="8" tint="-0.249977111117893"/>
      <name val="Baskerville Old Face"/>
      <family val="2"/>
      <scheme val="minor"/>
    </font>
    <font>
      <u/>
      <sz val="11"/>
      <color theme="2" tint="-0.749992370372631"/>
      <name val="Baskerville Old Face"/>
      <family val="2"/>
      <scheme val="minor"/>
    </font>
    <font>
      <sz val="11"/>
      <color theme="2" tint="-0.749992370372631"/>
      <name val="Baskerville Old Face"/>
      <family val="2"/>
      <scheme val="minor"/>
    </font>
    <font>
      <b/>
      <u/>
      <sz val="11"/>
      <color theme="2" tint="-0.749992370372631"/>
      <name val="Baskerville Old Face"/>
      <family val="2"/>
      <scheme val="minor"/>
    </font>
    <font>
      <b/>
      <u/>
      <sz val="14"/>
      <color theme="7" tint="-0.499984740745262"/>
      <name val="Baskerville Old Face"/>
      <family val="2"/>
      <scheme val="minor"/>
    </font>
    <font>
      <b/>
      <sz val="12"/>
      <color theme="7" tint="-0.499984740745262"/>
      <name val="Baskerville Old Face"/>
      <family val="2"/>
      <scheme val="minor"/>
    </font>
    <font>
      <sz val="11"/>
      <color theme="7" tint="-0.499984740745262"/>
      <name val="Baskerville Old Face"/>
      <family val="2"/>
      <scheme val="minor"/>
    </font>
    <font>
      <b/>
      <u/>
      <sz val="14"/>
      <color theme="4" tint="-0.499984740745262"/>
      <name val="Baskerville Old Face"/>
      <family val="2"/>
      <scheme val="minor"/>
    </font>
    <font>
      <b/>
      <sz val="12"/>
      <color theme="4" tint="-0.499984740745262"/>
      <name val="Baskerville Old Face"/>
      <family val="2"/>
      <scheme val="minor"/>
    </font>
    <font>
      <b/>
      <u/>
      <sz val="20"/>
      <color theme="1"/>
      <name val="Baskerville Old Face"/>
      <family val="2"/>
      <scheme val="minor"/>
    </font>
    <font>
      <sz val="12"/>
      <color rgb="FF000000"/>
      <name val="Baskerville Old Face"/>
      <family val="2"/>
      <scheme val="minor"/>
    </font>
    <font>
      <b/>
      <sz val="12"/>
      <color rgb="FF000000"/>
      <name val="Baskerville Old Face"/>
      <family val="2"/>
      <scheme val="minor"/>
    </font>
    <font>
      <b/>
      <u/>
      <sz val="12"/>
      <color rgb="FF000000"/>
      <name val="Baskerville Old Face"/>
      <family val="2"/>
      <scheme val="minor"/>
    </font>
    <font>
      <b/>
      <sz val="12"/>
      <color rgb="FFFF0000"/>
      <name val="Baskerville Old Face"/>
      <family val="2"/>
      <scheme val="minor"/>
    </font>
    <font>
      <b/>
      <u/>
      <sz val="16"/>
      <color theme="1"/>
      <name val="Baskerville Old Face"/>
      <family val="2"/>
      <scheme val="minor"/>
    </font>
    <font>
      <sz val="12"/>
      <color rgb="FFFF0000"/>
      <name val="Baskerville Old Face"/>
      <family val="2"/>
      <scheme val="minor"/>
    </font>
    <font>
      <b/>
      <u/>
      <sz val="14"/>
      <color theme="1"/>
      <name val="Baskerville Old Face"/>
      <family val="2"/>
      <scheme val="minor"/>
    </font>
    <font>
      <sz val="12"/>
      <color theme="5" tint="-0.499984740745262"/>
      <name val="Baskerville Old Face"/>
      <family val="2"/>
      <scheme val="minor"/>
    </font>
    <font>
      <b/>
      <sz val="12"/>
      <color rgb="FF0070C0"/>
      <name val="Baskerville Old Face"/>
      <family val="2"/>
      <scheme val="minor"/>
    </font>
    <font>
      <sz val="12"/>
      <color rgb="FF0070C0"/>
      <name val="Baskerville Old Face"/>
      <family val="2"/>
      <scheme val="minor"/>
    </font>
    <font>
      <sz val="11"/>
      <color rgb="FF0070C0"/>
      <name val="Baskerville Old Face"/>
      <family val="2"/>
      <scheme val="minor"/>
    </font>
    <font>
      <b/>
      <sz val="12"/>
      <color theme="5" tint="0.79998168889431442"/>
      <name val="Baskerville Old Face"/>
      <family val="2"/>
      <scheme val="minor"/>
    </font>
    <font>
      <sz val="11"/>
      <color theme="5" tint="0.79998168889431442"/>
      <name val="Baskerville Old Face"/>
      <family val="2"/>
      <scheme val="minor"/>
    </font>
    <font>
      <sz val="12"/>
      <color theme="5" tint="0.79998168889431442"/>
      <name val="Baskerville Old Face"/>
      <family val="2"/>
      <scheme val="minor"/>
    </font>
    <font>
      <b/>
      <u/>
      <sz val="14"/>
      <color rgb="FF00B050"/>
      <name val="Baskerville Old Face"/>
      <family val="2"/>
      <scheme val="minor"/>
    </font>
    <font>
      <b/>
      <sz val="12"/>
      <color rgb="FF00B050"/>
      <name val="Baskerville Old Face"/>
      <family val="2"/>
      <scheme val="minor"/>
    </font>
    <font>
      <sz val="11"/>
      <color rgb="FF00B050"/>
      <name val="Baskerville Old Face"/>
      <family val="2"/>
      <scheme val="minor"/>
    </font>
    <font>
      <sz val="11"/>
      <color theme="9" tint="-0.499984740745262"/>
      <name val="Baskerville Old Face"/>
      <family val="2"/>
      <scheme val="minor"/>
    </font>
    <font>
      <sz val="11"/>
      <color rgb="FFC00000"/>
      <name val="Baskerville Old Face"/>
      <family val="2"/>
      <scheme val="minor"/>
    </font>
    <font>
      <sz val="11"/>
      <color theme="8" tint="0.79998168889431442"/>
      <name val="Baskerville Old Face"/>
      <family val="2"/>
      <scheme val="minor"/>
    </font>
    <font>
      <b/>
      <sz val="12"/>
      <color theme="9" tint="-0.499984740745262"/>
      <name val="Baskerville Old Face"/>
      <family val="2"/>
      <scheme val="minor"/>
    </font>
    <font>
      <sz val="12"/>
      <color theme="9" tint="-0.499984740745262"/>
      <name val="Baskerville Old Face"/>
      <family val="2"/>
      <scheme val="minor"/>
    </font>
    <font>
      <b/>
      <sz val="12"/>
      <color rgb="FFC00000"/>
      <name val="Baskerville Old Face"/>
      <family val="2"/>
      <scheme val="minor"/>
    </font>
    <font>
      <b/>
      <sz val="12"/>
      <color theme="8" tint="0.79998168889431442"/>
      <name val="Baskerville Old Face"/>
      <family val="2"/>
      <scheme val="minor"/>
    </font>
    <font>
      <b/>
      <sz val="12"/>
      <color theme="5" tint="-0.249977111117893"/>
      <name val="Baskerville Old Face"/>
      <family val="2"/>
      <scheme val="minor"/>
    </font>
    <font>
      <sz val="11"/>
      <color theme="5" tint="-0.249977111117893"/>
      <name val="Baskerville Old Face"/>
      <family val="2"/>
      <scheme val="minor"/>
    </font>
    <font>
      <b/>
      <sz val="12"/>
      <name val="Baskerville Old Face"/>
      <family val="2"/>
      <scheme val="minor"/>
    </font>
    <font>
      <sz val="12"/>
      <name val="Baskerville Old Face"/>
      <family val="2"/>
      <scheme val="minor"/>
    </font>
    <font>
      <b/>
      <sz val="11"/>
      <color theme="7" tint="0.79998168889431442"/>
      <name val="Baskerville Old Face"/>
      <family val="2"/>
      <scheme val="minor"/>
    </font>
    <font>
      <b/>
      <u/>
      <sz val="16"/>
      <color theme="2" tint="-0.749992370372631"/>
      <name val="Baskerville Old Face"/>
      <family val="2"/>
      <scheme val="minor"/>
    </font>
    <font>
      <b/>
      <u/>
      <sz val="18"/>
      <color rgb="FF000000"/>
      <name val="Baskerville Old Face"/>
      <family val="2"/>
      <scheme val="minor"/>
    </font>
    <font>
      <sz val="11"/>
      <color rgb="FFFF0000"/>
      <name val="Baskerville Old Face"/>
      <family val="2"/>
      <scheme val="minor"/>
    </font>
    <font>
      <sz val="12"/>
      <color theme="1" tint="0.34998626667073579"/>
      <name val="Baskerville Old Face"/>
      <family val="2"/>
      <scheme val="minor"/>
    </font>
    <font>
      <b/>
      <u/>
      <sz val="14"/>
      <name val="Baskerville Old Face"/>
      <family val="2"/>
      <scheme val="minor"/>
    </font>
    <font>
      <sz val="8"/>
      <name val="Baskerville Old Face"/>
      <family val="2"/>
      <scheme val="minor"/>
    </font>
    <font>
      <b/>
      <u/>
      <sz val="16"/>
      <name val="Baskerville Old Face"/>
      <family val="2"/>
      <scheme val="minor"/>
    </font>
    <font>
      <sz val="11"/>
      <color theme="1"/>
      <name val="Times New Roman"/>
      <family val="1"/>
    </font>
    <font>
      <b/>
      <sz val="11"/>
      <color theme="5" tint="-0.499984740745262"/>
      <name val="Times New Roman"/>
      <family val="1"/>
    </font>
    <font>
      <sz val="11"/>
      <color theme="5" tint="-0.499984740745262"/>
      <name val="Times New Roman"/>
      <family val="1"/>
    </font>
    <font>
      <sz val="11"/>
      <color rgb="FF7030A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7" tint="0.59999389629810485"/>
      <name val="Times New Roman"/>
      <family val="1"/>
    </font>
    <font>
      <sz val="11"/>
      <color theme="7" tint="0.59999389629810485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theme="4" tint="-0.499984740745262"/>
      <name val="Times New Roman"/>
      <family val="1"/>
    </font>
    <font>
      <b/>
      <sz val="12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70C0"/>
      <name val="Times New Roman"/>
      <family val="1"/>
    </font>
    <font>
      <sz val="11"/>
      <color rgb="FF0070C0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theme="7" tint="0.79998168889431442"/>
      <name val="Times New Roman"/>
      <family val="1"/>
    </font>
    <font>
      <sz val="11"/>
      <color theme="7" tint="0.79998168889431442"/>
      <name val="Times New Roman"/>
      <family val="1"/>
    </font>
    <font>
      <b/>
      <sz val="12"/>
      <color theme="5" tint="-0.499984740745262"/>
      <name val="Times New Roman"/>
      <family val="1"/>
    </font>
    <font>
      <b/>
      <sz val="12"/>
      <color theme="2" tint="-9.9978637043366805E-2"/>
      <name val="Times New Roman"/>
      <family val="1"/>
    </font>
    <font>
      <sz val="11"/>
      <color theme="2" tint="-9.9978637043366805E-2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theme="8" tint="0.79998168889431442"/>
      <name val="Times New Roman"/>
      <family val="1"/>
    </font>
    <font>
      <sz val="11"/>
      <color theme="8" tint="0.79998168889431442"/>
      <name val="Times New Roman"/>
      <family val="1"/>
    </font>
    <font>
      <u/>
      <sz val="11"/>
      <color theme="1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Baskerville Old Face"/>
      <family val="2"/>
      <scheme val="minor"/>
    </font>
    <font>
      <b/>
      <sz val="14"/>
      <name val="Baskerville Old Face"/>
      <family val="2"/>
      <scheme val="minor"/>
    </font>
    <font>
      <b/>
      <u/>
      <sz val="12"/>
      <name val="Baskerville Old Face"/>
      <family val="2"/>
      <scheme val="minor"/>
    </font>
    <font>
      <b/>
      <sz val="11"/>
      <name val="Baskerville Old Face"/>
      <family val="2"/>
      <scheme val="minor"/>
    </font>
    <font>
      <b/>
      <sz val="15"/>
      <color theme="3"/>
      <name val="Baskerville Old Face"/>
      <family val="2"/>
      <scheme val="minor"/>
    </font>
    <font>
      <b/>
      <sz val="13"/>
      <color theme="3"/>
      <name val="Baskerville Old Face"/>
      <family val="2"/>
      <scheme val="minor"/>
    </font>
    <font>
      <b/>
      <sz val="11"/>
      <color theme="3"/>
      <name val="Baskerville Old Face"/>
      <family val="2"/>
      <scheme val="minor"/>
    </font>
    <font>
      <b/>
      <sz val="11"/>
      <color theme="0"/>
      <name val="Baskerville Old Face"/>
      <family val="2"/>
      <scheme val="minor"/>
    </font>
    <font>
      <sz val="11"/>
      <color theme="3"/>
      <name val="Baskerville Old Face"/>
      <family val="1"/>
      <scheme val="minor"/>
    </font>
    <font>
      <b/>
      <u/>
      <sz val="16"/>
      <color theme="3" tint="0.89999084444715716"/>
      <name val="Baskerville Old Face"/>
      <family val="2"/>
      <scheme val="minor"/>
    </font>
    <font>
      <b/>
      <sz val="12"/>
      <color theme="3" tint="0.89999084444715716"/>
      <name val="Baskerville Old Face"/>
      <family val="2"/>
      <scheme val="minor"/>
    </font>
    <font>
      <sz val="11"/>
      <color theme="3" tint="0.89999084444715716"/>
      <name val="Baskerville Old Face"/>
      <family val="2"/>
      <scheme val="minor"/>
    </font>
    <font>
      <b/>
      <u/>
      <sz val="16"/>
      <color theme="9" tint="0.79998168889431442"/>
      <name val="Baskerville Old Face"/>
      <family val="2"/>
      <scheme val="minor"/>
    </font>
    <font>
      <b/>
      <sz val="12"/>
      <color theme="9" tint="0.79998168889431442"/>
      <name val="Baskerville Old Face"/>
      <family val="2"/>
      <scheme val="minor"/>
    </font>
    <font>
      <sz val="11"/>
      <color theme="9" tint="0.79998168889431442"/>
      <name val="Baskerville Old Face"/>
      <family val="2"/>
      <scheme val="minor"/>
    </font>
    <font>
      <b/>
      <u/>
      <sz val="18"/>
      <color theme="9" tint="0.79998168889431442"/>
      <name val="Baskerville Old Face"/>
      <family val="2"/>
      <scheme val="minor"/>
    </font>
    <font>
      <b/>
      <sz val="12"/>
      <color theme="4"/>
      <name val="Baskerville Old Face"/>
      <family val="1"/>
      <scheme val="minor"/>
    </font>
    <font>
      <b/>
      <sz val="11"/>
      <color theme="1"/>
      <name val="Baskerville Old Face"/>
      <family val="1"/>
      <scheme val="minor"/>
    </font>
    <font>
      <b/>
      <sz val="12"/>
      <color theme="1"/>
      <name val="Baskerville Old Face"/>
      <family val="1"/>
      <scheme val="minor"/>
    </font>
    <font>
      <b/>
      <sz val="12"/>
      <color theme="7"/>
      <name val="Baskerville Old Face"/>
      <family val="1"/>
      <scheme val="minor"/>
    </font>
    <font>
      <b/>
      <sz val="12"/>
      <color theme="4" tint="-0.499984740745262"/>
      <name val="Baskerville Old Face"/>
      <family val="1"/>
      <scheme val="minor"/>
    </font>
    <font>
      <b/>
      <u/>
      <sz val="12"/>
      <color theme="8" tint="-0.249977111117893"/>
      <name val="Baskerville Old Face"/>
      <family val="1"/>
      <scheme val="minor"/>
    </font>
    <font>
      <b/>
      <sz val="12"/>
      <color theme="6"/>
      <name val="Baskerville Old Face"/>
      <family val="1"/>
      <scheme val="minor"/>
    </font>
    <font>
      <b/>
      <sz val="12"/>
      <color theme="9"/>
      <name val="Baskerville Old Face"/>
      <family val="1"/>
      <scheme val="minor"/>
    </font>
    <font>
      <sz val="11"/>
      <color theme="0" tint="-0.14999847407452621"/>
      <name val="Baskerville Old Face"/>
      <family val="2"/>
      <scheme val="minor"/>
    </font>
    <font>
      <sz val="11"/>
      <name val="Baskerville Old Face"/>
      <family val="1"/>
      <scheme val="minor"/>
    </font>
    <font>
      <b/>
      <sz val="12"/>
      <name val="Baskerville Old Face"/>
      <family val="1"/>
      <scheme val="minor"/>
    </font>
    <font>
      <sz val="11"/>
      <color theme="6" tint="-0.249977111117893"/>
      <name val="Times New Roman"/>
      <family val="1"/>
    </font>
    <font>
      <b/>
      <u/>
      <sz val="11"/>
      <color theme="1"/>
      <name val="Baskerville Old Face"/>
      <family val="1"/>
      <scheme val="minor"/>
    </font>
    <font>
      <sz val="11"/>
      <color theme="9" tint="-0.499984740745262"/>
      <name val="Baskerville Old Face"/>
      <family val="1"/>
      <scheme val="minor"/>
    </font>
    <font>
      <sz val="11"/>
      <color theme="1" tint="0.34998626667073579"/>
      <name val="Baskerville Old Face"/>
      <family val="1"/>
      <scheme val="minor"/>
    </font>
    <font>
      <u/>
      <sz val="11"/>
      <name val="Baskerville Old Face"/>
      <family val="2"/>
      <scheme val="minor"/>
    </font>
    <font>
      <b/>
      <u/>
      <sz val="12"/>
      <name val="Baskerville Old Face"/>
      <family val="1"/>
      <scheme val="minor"/>
    </font>
    <font>
      <b/>
      <u/>
      <sz val="16"/>
      <color theme="1"/>
      <name val="Baskerville Old Face"/>
      <family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3">
    <border>
      <left/>
      <right/>
      <top/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 style="thin">
        <color rgb="FF505050"/>
      </right>
      <top style="medium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 style="thin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505050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8" fillId="0" borderId="106" applyNumberFormat="0" applyFill="0" applyAlignment="0" applyProtection="0"/>
    <xf numFmtId="0" fontId="109" fillId="0" borderId="107" applyNumberFormat="0" applyFill="0" applyAlignment="0" applyProtection="0"/>
    <xf numFmtId="0" fontId="110" fillId="0" borderId="108" applyNumberFormat="0" applyFill="0" applyAlignment="0" applyProtection="0"/>
    <xf numFmtId="0" fontId="111" fillId="43" borderId="109" applyNumberFormat="0" applyAlignment="0" applyProtection="0"/>
  </cellStyleXfs>
  <cellXfs count="1017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6" fillId="3" borderId="0" xfId="0" applyFont="1" applyFill="1" applyAlignment="1">
      <alignment wrapText="1"/>
    </xf>
    <xf numFmtId="0" fontId="3" fillId="3" borderId="0" xfId="3" applyFill="1"/>
    <xf numFmtId="0" fontId="9" fillId="3" borderId="0" xfId="3" applyFont="1" applyFill="1"/>
    <xf numFmtId="0" fontId="10" fillId="3" borderId="0" xfId="3" applyFont="1" applyFill="1"/>
    <xf numFmtId="0" fontId="11" fillId="3" borderId="0" xfId="0" applyFont="1" applyFill="1"/>
    <xf numFmtId="164" fontId="12" fillId="6" borderId="4" xfId="0" applyNumberFormat="1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164" fontId="13" fillId="6" borderId="6" xfId="0" applyNumberFormat="1" applyFont="1" applyFill="1" applyBorder="1" applyAlignment="1">
      <alignment vertical="center" wrapText="1"/>
    </xf>
    <xf numFmtId="165" fontId="18" fillId="8" borderId="6" xfId="0" applyNumberFormat="1" applyFont="1" applyFill="1" applyBorder="1" applyAlignment="1">
      <alignment vertical="center"/>
    </xf>
    <xf numFmtId="164" fontId="21" fillId="10" borderId="17" xfId="0" applyNumberFormat="1" applyFont="1" applyFill="1" applyBorder="1" applyAlignment="1">
      <alignment wrapText="1"/>
    </xf>
    <xf numFmtId="164" fontId="21" fillId="10" borderId="18" xfId="0" applyNumberFormat="1" applyFont="1" applyFill="1" applyBorder="1" applyAlignment="1">
      <alignment wrapText="1"/>
    </xf>
    <xf numFmtId="164" fontId="0" fillId="3" borderId="0" xfId="0" applyNumberFormat="1" applyFill="1"/>
    <xf numFmtId="164" fontId="21" fillId="10" borderId="15" xfId="0" applyNumberFormat="1" applyFont="1" applyFill="1" applyBorder="1" applyAlignment="1">
      <alignment wrapText="1"/>
    </xf>
    <xf numFmtId="166" fontId="21" fillId="11" borderId="20" xfId="0" applyNumberFormat="1" applyFont="1" applyFill="1" applyBorder="1" applyAlignment="1">
      <alignment wrapText="1"/>
    </xf>
    <xf numFmtId="164" fontId="21" fillId="10" borderId="22" xfId="0" applyNumberFormat="1" applyFont="1" applyFill="1" applyBorder="1" applyAlignment="1">
      <alignment wrapText="1"/>
    </xf>
    <xf numFmtId="164" fontId="21" fillId="10" borderId="24" xfId="0" applyNumberFormat="1" applyFont="1" applyFill="1" applyBorder="1" applyAlignment="1">
      <alignment wrapText="1"/>
    </xf>
    <xf numFmtId="0" fontId="24" fillId="12" borderId="25" xfId="0" applyFont="1" applyFill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/>
    <xf numFmtId="0" fontId="27" fillId="3" borderId="0" xfId="0" applyFont="1" applyFill="1"/>
    <xf numFmtId="0" fontId="28" fillId="3" borderId="0" xfId="0" applyFont="1" applyFill="1" applyAlignment="1">
      <alignment wrapText="1"/>
    </xf>
    <xf numFmtId="0" fontId="28" fillId="3" borderId="0" xfId="0" applyFont="1" applyFill="1"/>
    <xf numFmtId="165" fontId="28" fillId="3" borderId="0" xfId="0" applyNumberFormat="1" applyFont="1" applyFill="1" applyAlignment="1">
      <alignment wrapText="1"/>
    </xf>
    <xf numFmtId="164" fontId="28" fillId="3" borderId="0" xfId="0" applyNumberFormat="1" applyFont="1" applyFill="1" applyAlignment="1">
      <alignment wrapText="1"/>
    </xf>
    <xf numFmtId="165" fontId="28" fillId="3" borderId="0" xfId="0" applyNumberFormat="1" applyFont="1" applyFill="1"/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9" fillId="15" borderId="0" xfId="0" applyFont="1" applyFill="1" applyAlignment="1">
      <alignment wrapText="1"/>
    </xf>
    <xf numFmtId="0" fontId="31" fillId="3" borderId="0" xfId="0" applyFont="1" applyFill="1"/>
    <xf numFmtId="0" fontId="32" fillId="3" borderId="0" xfId="0" applyFont="1" applyFill="1" applyAlignment="1">
      <alignment wrapText="1"/>
    </xf>
    <xf numFmtId="0" fontId="32" fillId="3" borderId="0" xfId="0" applyFont="1" applyFill="1"/>
    <xf numFmtId="165" fontId="32" fillId="3" borderId="0" xfId="0" applyNumberFormat="1" applyFont="1" applyFill="1" applyAlignment="1">
      <alignment wrapText="1"/>
    </xf>
    <xf numFmtId="164" fontId="32" fillId="3" borderId="0" xfId="0" applyNumberFormat="1" applyFont="1" applyFill="1" applyAlignment="1">
      <alignment wrapText="1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 wrapText="1"/>
    </xf>
    <xf numFmtId="165" fontId="36" fillId="18" borderId="15" xfId="0" applyNumberFormat="1" applyFont="1" applyFill="1" applyBorder="1"/>
    <xf numFmtId="164" fontId="36" fillId="18" borderId="13" xfId="0" applyNumberFormat="1" applyFont="1" applyFill="1" applyBorder="1"/>
    <xf numFmtId="164" fontId="36" fillId="18" borderId="24" xfId="0" applyNumberFormat="1" applyFont="1" applyFill="1" applyBorder="1"/>
    <xf numFmtId="165" fontId="36" fillId="18" borderId="31" xfId="0" applyNumberFormat="1" applyFont="1" applyFill="1" applyBorder="1"/>
    <xf numFmtId="165" fontId="36" fillId="18" borderId="20" xfId="0" applyNumberFormat="1" applyFont="1" applyFill="1" applyBorder="1"/>
    <xf numFmtId="165" fontId="36" fillId="18" borderId="33" xfId="0" applyNumberFormat="1" applyFont="1" applyFill="1" applyBorder="1"/>
    <xf numFmtId="8" fontId="28" fillId="19" borderId="20" xfId="0" applyNumberFormat="1" applyFont="1" applyFill="1" applyBorder="1"/>
    <xf numFmtId="8" fontId="28" fillId="19" borderId="33" xfId="0" applyNumberFormat="1" applyFont="1" applyFill="1" applyBorder="1"/>
    <xf numFmtId="8" fontId="28" fillId="19" borderId="37" xfId="0" applyNumberFormat="1" applyFont="1" applyFill="1" applyBorder="1"/>
    <xf numFmtId="0" fontId="9" fillId="20" borderId="38" xfId="0" applyFont="1" applyFill="1" applyBorder="1" applyAlignment="1">
      <alignment horizontal="center" vertical="center"/>
    </xf>
    <xf numFmtId="165" fontId="40" fillId="21" borderId="39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41" fillId="16" borderId="14" xfId="0" applyFont="1" applyFill="1" applyBorder="1" applyAlignment="1">
      <alignment vertical="center"/>
    </xf>
    <xf numFmtId="165" fontId="6" fillId="16" borderId="15" xfId="0" applyNumberFormat="1" applyFont="1" applyFill="1" applyBorder="1" applyAlignment="1">
      <alignment wrapText="1"/>
    </xf>
    <xf numFmtId="0" fontId="41" fillId="12" borderId="14" xfId="0" applyFont="1" applyFill="1" applyBorder="1" applyAlignment="1">
      <alignment horizontal="center" vertical="center" wrapText="1"/>
    </xf>
    <xf numFmtId="0" fontId="41" fillId="12" borderId="12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/>
    </xf>
    <xf numFmtId="10" fontId="40" fillId="12" borderId="13" xfId="0" applyNumberFormat="1" applyFont="1" applyFill="1" applyBorder="1" applyAlignment="1">
      <alignment wrapText="1"/>
    </xf>
    <xf numFmtId="0" fontId="9" fillId="16" borderId="23" xfId="0" applyFont="1" applyFill="1" applyBorder="1" applyAlignment="1">
      <alignment vertical="center"/>
    </xf>
    <xf numFmtId="165" fontId="0" fillId="16" borderId="24" xfId="0" applyNumberFormat="1" applyFill="1" applyBorder="1" applyAlignment="1">
      <alignment vertical="center"/>
    </xf>
    <xf numFmtId="164" fontId="40" fillId="12" borderId="15" xfId="0" applyNumberFormat="1" applyFont="1" applyFill="1" applyBorder="1" applyAlignment="1">
      <alignment vertical="center" wrapText="1"/>
    </xf>
    <xf numFmtId="164" fontId="40" fillId="12" borderId="15" xfId="0" applyNumberFormat="1" applyFont="1" applyFill="1" applyBorder="1" applyAlignment="1">
      <alignment wrapText="1"/>
    </xf>
    <xf numFmtId="0" fontId="41" fillId="12" borderId="23" xfId="0" applyFont="1" applyFill="1" applyBorder="1" applyAlignment="1">
      <alignment horizontal="center" vertical="center" wrapText="1"/>
    </xf>
    <xf numFmtId="164" fontId="40" fillId="12" borderId="24" xfId="0" applyNumberFormat="1" applyFont="1" applyFill="1" applyBorder="1" applyAlignment="1">
      <alignment wrapText="1"/>
    </xf>
    <xf numFmtId="165" fontId="0" fillId="24" borderId="15" xfId="0" applyNumberFormat="1" applyFill="1" applyBorder="1" applyAlignment="1">
      <alignment vertical="center" wrapText="1"/>
    </xf>
    <xf numFmtId="164" fontId="40" fillId="6" borderId="43" xfId="0" applyNumberFormat="1" applyFont="1" applyFill="1" applyBorder="1" applyAlignment="1">
      <alignment vertical="center" wrapText="1"/>
    </xf>
    <xf numFmtId="0" fontId="41" fillId="23" borderId="16" xfId="0" applyFont="1" applyFill="1" applyBorder="1" applyAlignment="1">
      <alignment vertical="center" wrapText="1"/>
    </xf>
    <xf numFmtId="164" fontId="6" fillId="23" borderId="17" xfId="0" applyNumberFormat="1" applyFont="1" applyFill="1" applyBorder="1" applyAlignment="1">
      <alignment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41" fillId="23" borderId="12" xfId="0" applyFont="1" applyFill="1" applyBorder="1" applyAlignment="1">
      <alignment vertical="center" wrapText="1"/>
    </xf>
    <xf numFmtId="164" fontId="6" fillId="23" borderId="15" xfId="0" applyNumberFormat="1" applyFont="1" applyFill="1" applyBorder="1" applyAlignment="1">
      <alignment vertical="center" wrapText="1"/>
    </xf>
    <xf numFmtId="164" fontId="40" fillId="6" borderId="15" xfId="0" applyNumberFormat="1" applyFont="1" applyFill="1" applyBorder="1" applyAlignment="1">
      <alignment vertical="center" wrapText="1"/>
    </xf>
    <xf numFmtId="164" fontId="6" fillId="23" borderId="18" xfId="0" applyNumberFormat="1" applyFont="1" applyFill="1" applyBorder="1" applyAlignment="1">
      <alignment vertical="center" wrapText="1"/>
    </xf>
    <xf numFmtId="0" fontId="6" fillId="25" borderId="0" xfId="0" applyFont="1" applyFill="1" applyAlignment="1">
      <alignment wrapText="1"/>
    </xf>
    <xf numFmtId="164" fontId="6" fillId="23" borderId="15" xfId="0" applyNumberFormat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41" fillId="23" borderId="14" xfId="0" applyFont="1" applyFill="1" applyBorder="1" applyAlignment="1">
      <alignment wrapText="1"/>
    </xf>
    <xf numFmtId="0" fontId="6" fillId="2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1" fillId="23" borderId="19" xfId="0" applyFont="1" applyFill="1" applyBorder="1" applyAlignment="1">
      <alignment wrapText="1"/>
    </xf>
    <xf numFmtId="164" fontId="6" fillId="23" borderId="20" xfId="0" applyNumberFormat="1" applyFont="1" applyFill="1" applyBorder="1" applyAlignment="1">
      <alignment wrapText="1"/>
    </xf>
    <xf numFmtId="0" fontId="9" fillId="24" borderId="19" xfId="0" applyFont="1" applyFill="1" applyBorder="1" applyAlignment="1">
      <alignment wrapText="1"/>
    </xf>
    <xf numFmtId="166" fontId="0" fillId="24" borderId="20" xfId="0" applyNumberFormat="1" applyFill="1" applyBorder="1" applyAlignment="1">
      <alignment wrapText="1"/>
    </xf>
    <xf numFmtId="0" fontId="41" fillId="23" borderId="21" xfId="0" applyFont="1" applyFill="1" applyBorder="1" applyAlignment="1">
      <alignment wrapText="1"/>
    </xf>
    <xf numFmtId="164" fontId="6" fillId="23" borderId="22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1" fillId="23" borderId="23" xfId="0" applyFont="1" applyFill="1" applyBorder="1" applyAlignment="1">
      <alignment wrapText="1"/>
    </xf>
    <xf numFmtId="164" fontId="6" fillId="23" borderId="2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wrapText="1"/>
    </xf>
    <xf numFmtId="164" fontId="0" fillId="2" borderId="0" xfId="0" applyNumberFormat="1" applyFill="1"/>
    <xf numFmtId="0" fontId="9" fillId="4" borderId="23" xfId="0" applyFont="1" applyFill="1" applyBorder="1" applyAlignment="1">
      <alignment horizontal="center" vertical="center"/>
    </xf>
    <xf numFmtId="164" fontId="10" fillId="4" borderId="24" xfId="0" applyNumberFormat="1" applyFont="1" applyFill="1" applyBorder="1" applyAlignment="1">
      <alignment vertical="center"/>
    </xf>
    <xf numFmtId="0" fontId="41" fillId="26" borderId="42" xfId="0" applyFont="1" applyFill="1" applyBorder="1" applyAlignment="1">
      <alignment horizontal="center" vertical="center" wrapText="1"/>
    </xf>
    <xf numFmtId="164" fontId="40" fillId="26" borderId="43" xfId="0" applyNumberFormat="1" applyFont="1" applyFill="1" applyBorder="1" applyAlignment="1">
      <alignment wrapText="1"/>
    </xf>
    <xf numFmtId="0" fontId="41" fillId="26" borderId="12" xfId="0" applyFont="1" applyFill="1" applyBorder="1" applyAlignment="1">
      <alignment horizontal="center" vertical="center" wrapText="1"/>
    </xf>
    <xf numFmtId="164" fontId="40" fillId="26" borderId="13" xfId="0" applyNumberFormat="1" applyFont="1" applyFill="1" applyBorder="1" applyAlignment="1">
      <alignment wrapText="1"/>
    </xf>
    <xf numFmtId="0" fontId="9" fillId="19" borderId="14" xfId="0" applyFont="1" applyFill="1" applyBorder="1" applyAlignment="1">
      <alignment horizontal="center" vertical="center"/>
    </xf>
    <xf numFmtId="0" fontId="41" fillId="26" borderId="21" xfId="0" applyFont="1" applyFill="1" applyBorder="1" applyAlignment="1">
      <alignment horizontal="center" vertical="center" wrapText="1"/>
    </xf>
    <xf numFmtId="164" fontId="40" fillId="26" borderId="22" xfId="0" applyNumberFormat="1" applyFont="1" applyFill="1" applyBorder="1" applyAlignment="1">
      <alignment wrapText="1"/>
    </xf>
    <xf numFmtId="164" fontId="40" fillId="26" borderId="24" xfId="0" applyNumberFormat="1" applyFont="1" applyFill="1" applyBorder="1" applyAlignment="1">
      <alignment wrapText="1"/>
    </xf>
    <xf numFmtId="0" fontId="41" fillId="28" borderId="42" xfId="0" applyFont="1" applyFill="1" applyBorder="1" applyAlignment="1">
      <alignment horizontal="center" vertical="center" wrapText="1"/>
    </xf>
    <xf numFmtId="164" fontId="40" fillId="28" borderId="43" xfId="0" applyNumberFormat="1" applyFont="1" applyFill="1" applyBorder="1" applyAlignment="1">
      <alignment wrapText="1"/>
    </xf>
    <xf numFmtId="0" fontId="41" fillId="28" borderId="23" xfId="0" applyFont="1" applyFill="1" applyBorder="1" applyAlignment="1">
      <alignment horizontal="center" vertical="center" wrapText="1"/>
    </xf>
    <xf numFmtId="164" fontId="40" fillId="28" borderId="24" xfId="0" applyNumberFormat="1" applyFont="1" applyFill="1" applyBorder="1" applyAlignment="1">
      <alignment wrapText="1"/>
    </xf>
    <xf numFmtId="0" fontId="41" fillId="29" borderId="42" xfId="0" applyFont="1" applyFill="1" applyBorder="1" applyAlignment="1">
      <alignment horizontal="center" vertical="center" wrapText="1"/>
    </xf>
    <xf numFmtId="164" fontId="40" fillId="29" borderId="43" xfId="0" applyNumberFormat="1" applyFont="1" applyFill="1" applyBorder="1" applyAlignment="1">
      <alignment wrapText="1"/>
    </xf>
    <xf numFmtId="0" fontId="41" fillId="29" borderId="14" xfId="0" applyFont="1" applyFill="1" applyBorder="1" applyAlignment="1">
      <alignment horizontal="center" vertical="center" wrapText="1"/>
    </xf>
    <xf numFmtId="164" fontId="40" fillId="29" borderId="15" xfId="0" applyNumberFormat="1" applyFont="1" applyFill="1" applyBorder="1" applyAlignment="1">
      <alignment wrapText="1"/>
    </xf>
    <xf numFmtId="0" fontId="41" fillId="29" borderId="12" xfId="0" applyFont="1" applyFill="1" applyBorder="1" applyAlignment="1">
      <alignment horizontal="center" vertical="center" wrapText="1"/>
    </xf>
    <xf numFmtId="164" fontId="40" fillId="29" borderId="13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164" fontId="40" fillId="29" borderId="15" xfId="0" applyNumberFormat="1" applyFont="1" applyFill="1" applyBorder="1" applyAlignment="1">
      <alignment vertical="center" wrapText="1"/>
    </xf>
    <xf numFmtId="0" fontId="41" fillId="29" borderId="23" xfId="0" applyFont="1" applyFill="1" applyBorder="1" applyAlignment="1">
      <alignment horizontal="center" vertical="center" wrapText="1"/>
    </xf>
    <xf numFmtId="0" fontId="43" fillId="27" borderId="46" xfId="0" applyFont="1" applyFill="1" applyBorder="1" applyAlignment="1">
      <alignment horizontal="center" vertical="center" wrapText="1"/>
    </xf>
    <xf numFmtId="0" fontId="41" fillId="27" borderId="48" xfId="0" applyFont="1" applyFill="1" applyBorder="1" applyAlignment="1">
      <alignment horizontal="center" vertical="center" wrapText="1"/>
    </xf>
    <xf numFmtId="164" fontId="40" fillId="27" borderId="49" xfId="0" applyNumberFormat="1" applyFont="1" applyFill="1" applyBorder="1" applyAlignment="1">
      <alignment wrapText="1"/>
    </xf>
    <xf numFmtId="0" fontId="10" fillId="2" borderId="0" xfId="0" applyFont="1" applyFill="1"/>
    <xf numFmtId="0" fontId="9" fillId="30" borderId="40" xfId="0" applyFont="1" applyFill="1" applyBorder="1"/>
    <xf numFmtId="165" fontId="10" fillId="30" borderId="41" xfId="0" applyNumberFormat="1" applyFont="1" applyFill="1" applyBorder="1"/>
    <xf numFmtId="0" fontId="46" fillId="2" borderId="0" xfId="0" applyFont="1" applyFill="1"/>
    <xf numFmtId="0" fontId="20" fillId="19" borderId="50" xfId="0" applyFont="1" applyFill="1" applyBorder="1"/>
    <xf numFmtId="0" fontId="20" fillId="19" borderId="57" xfId="0" applyFont="1" applyFill="1" applyBorder="1"/>
    <xf numFmtId="44" fontId="47" fillId="19" borderId="51" xfId="1" applyFont="1" applyFill="1" applyBorder="1"/>
    <xf numFmtId="0" fontId="21" fillId="19" borderId="19" xfId="0" applyFont="1" applyFill="1" applyBorder="1"/>
    <xf numFmtId="0" fontId="20" fillId="19" borderId="59" xfId="0" applyFont="1" applyFill="1" applyBorder="1"/>
    <xf numFmtId="44" fontId="47" fillId="19" borderId="20" xfId="1" applyFont="1" applyFill="1" applyBorder="1"/>
    <xf numFmtId="44" fontId="0" fillId="2" borderId="0" xfId="0" applyNumberFormat="1" applyFill="1"/>
    <xf numFmtId="10" fontId="0" fillId="2" borderId="0" xfId="2" applyNumberFormat="1" applyFont="1" applyFill="1" applyAlignment="1">
      <alignment horizontal="center" vertical="center"/>
    </xf>
    <xf numFmtId="10" fontId="47" fillId="19" borderId="20" xfId="2" applyNumberFormat="1" applyFont="1" applyFill="1" applyBorder="1"/>
    <xf numFmtId="0" fontId="20" fillId="19" borderId="60" xfId="0" applyFont="1" applyFill="1" applyBorder="1"/>
    <xf numFmtId="0" fontId="50" fillId="33" borderId="19" xfId="0" applyFont="1" applyFill="1" applyBorder="1"/>
    <xf numFmtId="0" fontId="48" fillId="33" borderId="59" xfId="0" applyFont="1" applyFill="1" applyBorder="1"/>
    <xf numFmtId="44" fontId="49" fillId="33" borderId="20" xfId="1" applyFont="1" applyFill="1" applyBorder="1"/>
    <xf numFmtId="10" fontId="49" fillId="33" borderId="20" xfId="2" applyNumberFormat="1" applyFont="1" applyFill="1" applyBorder="1"/>
    <xf numFmtId="0" fontId="50" fillId="33" borderId="32" xfId="0" applyFont="1" applyFill="1" applyBorder="1"/>
    <xf numFmtId="0" fontId="48" fillId="33" borderId="60" xfId="0" applyFont="1" applyFill="1" applyBorder="1"/>
    <xf numFmtId="10" fontId="49" fillId="33" borderId="33" xfId="2" applyNumberFormat="1" applyFont="1" applyFill="1" applyBorder="1"/>
    <xf numFmtId="0" fontId="48" fillId="32" borderId="59" xfId="0" applyFont="1" applyFill="1" applyBorder="1" applyAlignment="1">
      <alignment horizontal="center" vertical="center"/>
    </xf>
    <xf numFmtId="0" fontId="48" fillId="32" borderId="59" xfId="0" applyFont="1" applyFill="1" applyBorder="1"/>
    <xf numFmtId="167" fontId="50" fillId="32" borderId="59" xfId="1" applyNumberFormat="1" applyFont="1" applyFill="1" applyBorder="1"/>
    <xf numFmtId="10" fontId="49" fillId="32" borderId="59" xfId="2" applyNumberFormat="1" applyFont="1" applyFill="1" applyBorder="1"/>
    <xf numFmtId="166" fontId="50" fillId="32" borderId="59" xfId="0" applyNumberFormat="1" applyFont="1" applyFill="1" applyBorder="1"/>
    <xf numFmtId="10" fontId="50" fillId="32" borderId="59" xfId="2" applyNumberFormat="1" applyFont="1" applyFill="1" applyBorder="1"/>
    <xf numFmtId="0" fontId="48" fillId="32" borderId="59" xfId="0" applyFont="1" applyFill="1" applyBorder="1" applyAlignment="1">
      <alignment wrapText="1"/>
    </xf>
    <xf numFmtId="0" fontId="51" fillId="20" borderId="59" xfId="0" applyFont="1" applyFill="1" applyBorder="1" applyAlignment="1">
      <alignment horizontal="center" vertical="center"/>
    </xf>
    <xf numFmtId="0" fontId="52" fillId="20" borderId="59" xfId="0" applyFont="1" applyFill="1" applyBorder="1"/>
    <xf numFmtId="167" fontId="52" fillId="20" borderId="59" xfId="0" applyNumberFormat="1" applyFont="1" applyFill="1" applyBorder="1"/>
    <xf numFmtId="10" fontId="53" fillId="20" borderId="59" xfId="2" applyNumberFormat="1" applyFont="1" applyFill="1" applyBorder="1"/>
    <xf numFmtId="8" fontId="52" fillId="20" borderId="59" xfId="0" applyNumberFormat="1" applyFont="1" applyFill="1" applyBorder="1"/>
    <xf numFmtId="0" fontId="51" fillId="20" borderId="61" xfId="0" applyFont="1" applyFill="1" applyBorder="1"/>
    <xf numFmtId="167" fontId="52" fillId="20" borderId="61" xfId="1" applyNumberFormat="1" applyFont="1" applyFill="1" applyBorder="1"/>
    <xf numFmtId="0" fontId="53" fillId="2" borderId="0" xfId="0" applyFont="1" applyFill="1"/>
    <xf numFmtId="0" fontId="52" fillId="2" borderId="0" xfId="0" applyFont="1" applyFill="1"/>
    <xf numFmtId="0" fontId="51" fillId="20" borderId="59" xfId="0" applyFont="1" applyFill="1" applyBorder="1"/>
    <xf numFmtId="167" fontId="52" fillId="20" borderId="59" xfId="1" applyNumberFormat="1" applyFont="1" applyFill="1" applyBorder="1"/>
    <xf numFmtId="10" fontId="52" fillId="20" borderId="59" xfId="2" applyNumberFormat="1" applyFont="1" applyFill="1" applyBorder="1"/>
    <xf numFmtId="0" fontId="51" fillId="20" borderId="59" xfId="0" applyFont="1" applyFill="1" applyBorder="1" applyAlignment="1">
      <alignment wrapText="1"/>
    </xf>
    <xf numFmtId="0" fontId="0" fillId="34" borderId="0" xfId="0" applyFill="1"/>
    <xf numFmtId="0" fontId="10" fillId="34" borderId="0" xfId="0" applyFont="1" applyFill="1"/>
    <xf numFmtId="0" fontId="0" fillId="34" borderId="0" xfId="0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57" fillId="32" borderId="19" xfId="0" applyFont="1" applyFill="1" applyBorder="1"/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3" fillId="2" borderId="0" xfId="0" applyFont="1" applyFill="1" applyAlignment="1">
      <alignment wrapText="1"/>
    </xf>
    <xf numFmtId="0" fontId="52" fillId="2" borderId="0" xfId="0" applyFont="1" applyFill="1" applyAlignment="1">
      <alignment wrapText="1"/>
    </xf>
    <xf numFmtId="0" fontId="20" fillId="16" borderId="59" xfId="0" applyFont="1" applyFill="1" applyBorder="1" applyAlignment="1">
      <alignment horizontal="center" vertical="center"/>
    </xf>
    <xf numFmtId="0" fontId="20" fillId="16" borderId="59" xfId="0" applyFont="1" applyFill="1" applyBorder="1"/>
    <xf numFmtId="167" fontId="21" fillId="16" borderId="59" xfId="1" applyNumberFormat="1" applyFont="1" applyFill="1" applyBorder="1"/>
    <xf numFmtId="10" fontId="47" fillId="16" borderId="59" xfId="2" applyNumberFormat="1" applyFont="1" applyFill="1" applyBorder="1"/>
    <xf numFmtId="166" fontId="21" fillId="16" borderId="59" xfId="0" applyNumberFormat="1" applyFont="1" applyFill="1" applyBorder="1"/>
    <xf numFmtId="0" fontId="20" fillId="16" borderId="59" xfId="0" applyFont="1" applyFill="1" applyBorder="1" applyAlignment="1">
      <alignment wrapText="1"/>
    </xf>
    <xf numFmtId="0" fontId="20" fillId="16" borderId="59" xfId="0" applyFont="1" applyFill="1" applyBorder="1" applyAlignment="1">
      <alignment vertical="center"/>
    </xf>
    <xf numFmtId="166" fontId="21" fillId="16" borderId="59" xfId="0" applyNumberFormat="1" applyFont="1" applyFill="1" applyBorder="1" applyAlignment="1">
      <alignment vertical="center"/>
    </xf>
    <xf numFmtId="10" fontId="21" fillId="16" borderId="59" xfId="2" applyNumberFormat="1" applyFont="1" applyFill="1" applyBorder="1" applyAlignment="1">
      <alignment vertical="center"/>
    </xf>
    <xf numFmtId="0" fontId="9" fillId="2" borderId="0" xfId="0" applyFont="1" applyFill="1"/>
    <xf numFmtId="0" fontId="60" fillId="32" borderId="50" xfId="0" applyFont="1" applyFill="1" applyBorder="1"/>
    <xf numFmtId="0" fontId="60" fillId="32" borderId="57" xfId="0" applyFont="1" applyFill="1" applyBorder="1"/>
    <xf numFmtId="44" fontId="61" fillId="32" borderId="51" xfId="1" applyFont="1" applyFill="1" applyBorder="1"/>
    <xf numFmtId="0" fontId="60" fillId="32" borderId="59" xfId="0" applyFont="1" applyFill="1" applyBorder="1"/>
    <xf numFmtId="44" fontId="61" fillId="32" borderId="20" xfId="1" applyFont="1" applyFill="1" applyBorder="1"/>
    <xf numFmtId="10" fontId="61" fillId="32" borderId="20" xfId="2" applyNumberFormat="1" applyFont="1" applyFill="1" applyBorder="1"/>
    <xf numFmtId="0" fontId="14" fillId="5" borderId="50" xfId="0" applyFont="1" applyFill="1" applyBorder="1"/>
    <xf numFmtId="0" fontId="14" fillId="5" borderId="52" xfId="0" applyFont="1" applyFill="1" applyBorder="1"/>
    <xf numFmtId="0" fontId="14" fillId="5" borderId="19" xfId="0" applyFont="1" applyFill="1" applyBorder="1"/>
    <xf numFmtId="0" fontId="14" fillId="5" borderId="59" xfId="0" applyFont="1" applyFill="1" applyBorder="1" applyAlignment="1">
      <alignment horizontal="center" vertical="center"/>
    </xf>
    <xf numFmtId="0" fontId="14" fillId="5" borderId="32" xfId="0" applyFont="1" applyFill="1" applyBorder="1"/>
    <xf numFmtId="0" fontId="14" fillId="5" borderId="67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/>
    </xf>
    <xf numFmtId="0" fontId="44" fillId="2" borderId="0" xfId="0" applyFont="1" applyFill="1"/>
    <xf numFmtId="8" fontId="56" fillId="4" borderId="20" xfId="0" applyNumberFormat="1" applyFont="1" applyFill="1" applyBorder="1"/>
    <xf numFmtId="8" fontId="56" fillId="4" borderId="33" xfId="0" applyNumberFormat="1" applyFont="1" applyFill="1" applyBorder="1"/>
    <xf numFmtId="8" fontId="56" fillId="4" borderId="37" xfId="0" applyNumberFormat="1" applyFont="1" applyFill="1" applyBorder="1"/>
    <xf numFmtId="0" fontId="0" fillId="3" borderId="69" xfId="0" applyFill="1" applyBorder="1"/>
    <xf numFmtId="0" fontId="26" fillId="0" borderId="44" xfId="0" applyFont="1" applyBorder="1" applyAlignment="1">
      <alignment horizontal="center" vertical="center" wrapText="1"/>
    </xf>
    <xf numFmtId="0" fontId="9" fillId="24" borderId="70" xfId="0" applyFont="1" applyFill="1" applyBorder="1"/>
    <xf numFmtId="0" fontId="52" fillId="20" borderId="59" xfId="0" applyFont="1" applyFill="1" applyBorder="1" applyAlignment="1">
      <alignment vertical="center"/>
    </xf>
    <xf numFmtId="8" fontId="52" fillId="20" borderId="59" xfId="0" applyNumberFormat="1" applyFont="1" applyFill="1" applyBorder="1" applyAlignment="1">
      <alignment vertical="center"/>
    </xf>
    <xf numFmtId="10" fontId="53" fillId="20" borderId="59" xfId="2" applyNumberFormat="1" applyFont="1" applyFill="1" applyBorder="1" applyAlignment="1">
      <alignment vertical="center"/>
    </xf>
    <xf numFmtId="167" fontId="52" fillId="20" borderId="59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64" fillId="8" borderId="65" xfId="0" applyFont="1" applyFill="1" applyBorder="1" applyAlignment="1">
      <alignment vertical="center" wrapText="1"/>
    </xf>
    <xf numFmtId="0" fontId="64" fillId="8" borderId="65" xfId="0" applyFont="1" applyFill="1" applyBorder="1"/>
    <xf numFmtId="44" fontId="65" fillId="8" borderId="65" xfId="1" applyFont="1" applyFill="1" applyBorder="1" applyAlignment="1">
      <alignment vertical="center" wrapText="1"/>
    </xf>
    <xf numFmtId="0" fontId="28" fillId="19" borderId="20" xfId="0" applyFont="1" applyFill="1" applyBorder="1"/>
    <xf numFmtId="0" fontId="56" fillId="4" borderId="20" xfId="0" applyFont="1" applyFill="1" applyBorder="1"/>
    <xf numFmtId="0" fontId="63" fillId="41" borderId="50" xfId="0" applyFont="1" applyFill="1" applyBorder="1" applyAlignment="1">
      <alignment vertical="center"/>
    </xf>
    <xf numFmtId="44" fontId="59" fillId="41" borderId="51" xfId="1" applyFont="1" applyFill="1" applyBorder="1" applyAlignment="1">
      <alignment vertical="center"/>
    </xf>
    <xf numFmtId="0" fontId="63" fillId="41" borderId="19" xfId="0" applyFont="1" applyFill="1" applyBorder="1"/>
    <xf numFmtId="44" fontId="59" fillId="41" borderId="20" xfId="1" applyFont="1" applyFill="1" applyBorder="1"/>
    <xf numFmtId="0" fontId="63" fillId="41" borderId="32" xfId="0" applyFont="1" applyFill="1" applyBorder="1"/>
    <xf numFmtId="10" fontId="59" fillId="41" borderId="33" xfId="2" applyNumberFormat="1" applyFont="1" applyFill="1" applyBorder="1"/>
    <xf numFmtId="44" fontId="15" fillId="5" borderId="51" xfId="1" applyFont="1" applyFill="1" applyBorder="1"/>
    <xf numFmtId="44" fontId="15" fillId="5" borderId="53" xfId="1" applyFont="1" applyFill="1" applyBorder="1"/>
    <xf numFmtId="44" fontId="15" fillId="5" borderId="59" xfId="1" applyFont="1" applyFill="1" applyBorder="1"/>
    <xf numFmtId="44" fontId="15" fillId="5" borderId="66" xfId="1" applyFont="1" applyFill="1" applyBorder="1"/>
    <xf numFmtId="44" fontId="15" fillId="5" borderId="60" xfId="1" applyFont="1" applyFill="1" applyBorder="1"/>
    <xf numFmtId="44" fontId="15" fillId="5" borderId="68" xfId="1" applyFont="1" applyFill="1" applyBorder="1"/>
    <xf numFmtId="10" fontId="15" fillId="5" borderId="59" xfId="2" applyNumberFormat="1" applyFont="1" applyFill="1" applyBorder="1"/>
    <xf numFmtId="10" fontId="15" fillId="5" borderId="20" xfId="2" applyNumberFormat="1" applyFont="1" applyFill="1" applyBorder="1"/>
    <xf numFmtId="10" fontId="15" fillId="5" borderId="33" xfId="2" applyNumberFormat="1" applyFont="1" applyFill="1" applyBorder="1"/>
    <xf numFmtId="0" fontId="21" fillId="19" borderId="32" xfId="0" applyFont="1" applyFill="1" applyBorder="1"/>
    <xf numFmtId="10" fontId="47" fillId="19" borderId="33" xfId="2" applyNumberFormat="1" applyFont="1" applyFill="1" applyBorder="1"/>
    <xf numFmtId="0" fontId="48" fillId="33" borderId="50" xfId="0" applyFont="1" applyFill="1" applyBorder="1"/>
    <xf numFmtId="0" fontId="48" fillId="33" borderId="57" xfId="0" applyFont="1" applyFill="1" applyBorder="1"/>
    <xf numFmtId="44" fontId="49" fillId="33" borderId="51" xfId="1" applyFont="1" applyFill="1" applyBorder="1"/>
    <xf numFmtId="0" fontId="66" fillId="27" borderId="42" xfId="0" applyFont="1" applyFill="1" applyBorder="1" applyAlignment="1">
      <alignment horizontal="center" vertical="center" wrapText="1"/>
    </xf>
    <xf numFmtId="164" fontId="67" fillId="27" borderId="43" xfId="0" applyNumberFormat="1" applyFont="1" applyFill="1" applyBorder="1" applyAlignment="1">
      <alignment wrapText="1"/>
    </xf>
    <xf numFmtId="0" fontId="66" fillId="27" borderId="21" xfId="0" applyFont="1" applyFill="1" applyBorder="1" applyAlignment="1">
      <alignment horizontal="center" vertical="center" wrapText="1"/>
    </xf>
    <xf numFmtId="164" fontId="67" fillId="27" borderId="22" xfId="0" applyNumberFormat="1" applyFont="1" applyFill="1" applyBorder="1" applyAlignment="1">
      <alignment wrapText="1"/>
    </xf>
    <xf numFmtId="164" fontId="45" fillId="27" borderId="47" xfId="0" applyNumberFormat="1" applyFont="1" applyFill="1" applyBorder="1" applyAlignment="1">
      <alignment wrapText="1"/>
    </xf>
    <xf numFmtId="10" fontId="21" fillId="16" borderId="59" xfId="2" applyNumberFormat="1" applyFont="1" applyFill="1" applyBorder="1" applyAlignment="1">
      <alignment vertical="center" wrapText="1"/>
    </xf>
    <xf numFmtId="10" fontId="50" fillId="32" borderId="59" xfId="2" applyNumberFormat="1" applyFont="1" applyFill="1" applyBorder="1" applyAlignment="1">
      <alignment vertical="center" wrapText="1"/>
    </xf>
    <xf numFmtId="10" fontId="52" fillId="20" borderId="59" xfId="2" applyNumberFormat="1" applyFont="1" applyFill="1" applyBorder="1" applyAlignment="1">
      <alignment vertical="center" wrapText="1"/>
    </xf>
    <xf numFmtId="0" fontId="9" fillId="5" borderId="42" xfId="0" applyFont="1" applyFill="1" applyBorder="1" applyAlignment="1">
      <alignment horizontal="center" vertical="center"/>
    </xf>
    <xf numFmtId="0" fontId="41" fillId="16" borderId="16" xfId="0" applyFont="1" applyFill="1" applyBorder="1" applyAlignment="1">
      <alignment vertical="center"/>
    </xf>
    <xf numFmtId="164" fontId="15" fillId="7" borderId="51" xfId="0" applyNumberFormat="1" applyFont="1" applyFill="1" applyBorder="1" applyAlignment="1">
      <alignment vertical="center" wrapText="1"/>
    </xf>
    <xf numFmtId="164" fontId="15" fillId="7" borderId="20" xfId="0" applyNumberFormat="1" applyFont="1" applyFill="1" applyBorder="1" applyAlignment="1">
      <alignment vertical="center" wrapText="1"/>
    </xf>
    <xf numFmtId="164" fontId="68" fillId="7" borderId="33" xfId="0" applyNumberFormat="1" applyFont="1" applyFill="1" applyBorder="1" applyAlignment="1">
      <alignment vertical="center" wrapText="1"/>
    </xf>
    <xf numFmtId="165" fontId="18" fillId="8" borderId="2" xfId="0" applyNumberFormat="1" applyFont="1" applyFill="1" applyBorder="1" applyAlignment="1">
      <alignment vertical="center"/>
    </xf>
    <xf numFmtId="165" fontId="21" fillId="10" borderId="22" xfId="0" applyNumberFormat="1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164" fontId="21" fillId="10" borderId="15" xfId="0" applyNumberFormat="1" applyFont="1" applyFill="1" applyBorder="1" applyAlignment="1">
      <alignment vertical="center" wrapText="1"/>
    </xf>
    <xf numFmtId="0" fontId="25" fillId="12" borderId="58" xfId="0" applyFont="1" applyFill="1" applyBorder="1" applyAlignment="1">
      <alignment wrapText="1"/>
    </xf>
    <xf numFmtId="0" fontId="25" fillId="12" borderId="43" xfId="0" applyFont="1" applyFill="1" applyBorder="1" applyAlignment="1">
      <alignment wrapText="1"/>
    </xf>
    <xf numFmtId="0" fontId="24" fillId="12" borderId="15" xfId="0" applyFont="1" applyFill="1" applyBorder="1" applyAlignment="1">
      <alignment wrapText="1"/>
    </xf>
    <xf numFmtId="164" fontId="24" fillId="12" borderId="55" xfId="0" applyNumberFormat="1" applyFont="1" applyFill="1" applyBorder="1" applyAlignment="1">
      <alignment wrapText="1"/>
    </xf>
    <xf numFmtId="164" fontId="24" fillId="12" borderId="24" xfId="0" applyNumberFormat="1" applyFont="1" applyFill="1" applyBorder="1" applyAlignment="1">
      <alignment wrapText="1"/>
    </xf>
    <xf numFmtId="164" fontId="24" fillId="12" borderId="74" xfId="0" applyNumberFormat="1" applyFont="1" applyFill="1" applyBorder="1" applyAlignment="1">
      <alignment wrapText="1"/>
    </xf>
    <xf numFmtId="164" fontId="24" fillId="12" borderId="73" xfId="0" applyNumberFormat="1" applyFont="1" applyFill="1" applyBorder="1" applyAlignment="1">
      <alignment wrapText="1"/>
    </xf>
    <xf numFmtId="0" fontId="17" fillId="16" borderId="43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wrapText="1"/>
    </xf>
    <xf numFmtId="164" fontId="18" fillId="17" borderId="17" xfId="0" applyNumberFormat="1" applyFont="1" applyFill="1" applyBorder="1" applyAlignment="1">
      <alignment wrapText="1"/>
    </xf>
    <xf numFmtId="164" fontId="18" fillId="17" borderId="15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horizontal="right" vertical="center"/>
    </xf>
    <xf numFmtId="164" fontId="18" fillId="17" borderId="13" xfId="0" applyNumberFormat="1" applyFont="1" applyFill="1" applyBorder="1" applyAlignment="1">
      <alignment vertical="center" wrapText="1"/>
    </xf>
    <xf numFmtId="10" fontId="18" fillId="17" borderId="15" xfId="0" applyNumberFormat="1" applyFont="1" applyFill="1" applyBorder="1" applyAlignment="1">
      <alignment vertical="center" wrapText="1"/>
    </xf>
    <xf numFmtId="164" fontId="18" fillId="17" borderId="22" xfId="0" applyNumberFormat="1" applyFont="1" applyFill="1" applyBorder="1" applyAlignment="1">
      <alignment vertical="center" wrapText="1"/>
    </xf>
    <xf numFmtId="10" fontId="18" fillId="17" borderId="24" xfId="0" applyNumberFormat="1" applyFont="1" applyFill="1" applyBorder="1" applyAlignment="1">
      <alignment wrapText="1"/>
    </xf>
    <xf numFmtId="165" fontId="18" fillId="16" borderId="24" xfId="0" applyNumberFormat="1" applyFont="1" applyFill="1" applyBorder="1" applyAlignment="1">
      <alignment wrapText="1"/>
    </xf>
    <xf numFmtId="0" fontId="17" fillId="16" borderId="56" xfId="0" applyFont="1" applyFill="1" applyBorder="1" applyAlignment="1">
      <alignment horizontal="center" vertical="center" wrapText="1"/>
    </xf>
    <xf numFmtId="0" fontId="17" fillId="16" borderId="77" xfId="0" applyFont="1" applyFill="1" applyBorder="1" applyAlignment="1">
      <alignment horizontal="center" vertical="center" wrapText="1"/>
    </xf>
    <xf numFmtId="164" fontId="18" fillId="16" borderId="27" xfId="0" applyNumberFormat="1" applyFont="1" applyFill="1" applyBorder="1" applyAlignment="1">
      <alignment wrapText="1"/>
    </xf>
    <xf numFmtId="165" fontId="18" fillId="16" borderId="78" xfId="0" applyNumberFormat="1" applyFont="1" applyFill="1" applyBorder="1" applyAlignment="1">
      <alignment wrapText="1"/>
    </xf>
    <xf numFmtId="0" fontId="9" fillId="4" borderId="38" xfId="0" applyFont="1" applyFill="1" applyBorder="1" applyAlignment="1">
      <alignment horizontal="left" vertical="center"/>
    </xf>
    <xf numFmtId="0" fontId="63" fillId="41" borderId="19" xfId="0" applyFont="1" applyFill="1" applyBorder="1" applyAlignment="1">
      <alignment horizontal="left" vertical="center"/>
    </xf>
    <xf numFmtId="44" fontId="59" fillId="41" borderId="20" xfId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wrapText="1"/>
    </xf>
    <xf numFmtId="0" fontId="66" fillId="26" borderId="23" xfId="0" applyFont="1" applyFill="1" applyBorder="1" applyAlignment="1">
      <alignment horizontal="center" vertical="center" wrapText="1"/>
    </xf>
    <xf numFmtId="0" fontId="41" fillId="29" borderId="21" xfId="0" applyFont="1" applyFill="1" applyBorder="1" applyAlignment="1">
      <alignment horizontal="center" vertical="center" wrapText="1"/>
    </xf>
    <xf numFmtId="164" fontId="40" fillId="29" borderId="22" xfId="0" applyNumberFormat="1" applyFont="1" applyFill="1" applyBorder="1" applyAlignment="1">
      <alignment wrapText="1"/>
    </xf>
    <xf numFmtId="0" fontId="9" fillId="24" borderId="79" xfId="0" applyFont="1" applyFill="1" applyBorder="1" applyAlignment="1">
      <alignment vertical="center"/>
    </xf>
    <xf numFmtId="164" fontId="6" fillId="23" borderId="13" xfId="0" applyNumberFormat="1" applyFont="1" applyFill="1" applyBorder="1" applyAlignment="1">
      <alignment wrapText="1"/>
    </xf>
    <xf numFmtId="0" fontId="41" fillId="23" borderId="16" xfId="0" applyFont="1" applyFill="1" applyBorder="1" applyAlignment="1">
      <alignment wrapText="1"/>
    </xf>
    <xf numFmtId="164" fontId="6" fillId="23" borderId="17" xfId="0" applyNumberFormat="1" applyFont="1" applyFill="1" applyBorder="1" applyAlignment="1">
      <alignment wrapText="1"/>
    </xf>
    <xf numFmtId="0" fontId="41" fillId="23" borderId="30" xfId="0" applyFont="1" applyFill="1" applyBorder="1" applyAlignment="1">
      <alignment horizontal="left" vertical="center"/>
    </xf>
    <xf numFmtId="165" fontId="6" fillId="23" borderId="31" xfId="0" applyNumberFormat="1" applyFont="1" applyFill="1" applyBorder="1" applyAlignment="1">
      <alignment vertical="center" wrapText="1"/>
    </xf>
    <xf numFmtId="0" fontId="9" fillId="24" borderId="19" xfId="0" applyFont="1" applyFill="1" applyBorder="1" applyAlignment="1">
      <alignment vertical="center"/>
    </xf>
    <xf numFmtId="0" fontId="4" fillId="3" borderId="0" xfId="0" applyFont="1" applyFill="1" applyAlignment="1">
      <alignment horizontal="left"/>
    </xf>
    <xf numFmtId="167" fontId="0" fillId="24" borderId="20" xfId="0" applyNumberFormat="1" applyFill="1" applyBorder="1" applyAlignment="1">
      <alignment vertical="center"/>
    </xf>
    <xf numFmtId="0" fontId="2" fillId="4" borderId="62" xfId="0" applyFont="1" applyFill="1" applyBorder="1" applyAlignment="1" applyProtection="1">
      <alignment horizontal="right"/>
      <protection locked="0"/>
    </xf>
    <xf numFmtId="0" fontId="71" fillId="2" borderId="0" xfId="0" applyFont="1" applyFill="1"/>
    <xf numFmtId="168" fontId="0" fillId="3" borderId="0" xfId="0" applyNumberFormat="1" applyFill="1"/>
    <xf numFmtId="168" fontId="36" fillId="18" borderId="15" xfId="0" applyNumberFormat="1" applyFont="1" applyFill="1" applyBorder="1"/>
    <xf numFmtId="168" fontId="28" fillId="19" borderId="20" xfId="0" applyNumberFormat="1" applyFont="1" applyFill="1" applyBorder="1"/>
    <xf numFmtId="168" fontId="56" fillId="4" borderId="20" xfId="0" applyNumberFormat="1" applyFont="1" applyFill="1" applyBorder="1"/>
    <xf numFmtId="0" fontId="2" fillId="2" borderId="0" xfId="0" applyFont="1" applyFill="1"/>
    <xf numFmtId="0" fontId="0" fillId="2" borderId="80" xfId="0" applyFill="1" applyBorder="1"/>
    <xf numFmtId="44" fontId="0" fillId="2" borderId="0" xfId="1" applyFont="1" applyFill="1"/>
    <xf numFmtId="44" fontId="0" fillId="2" borderId="0" xfId="1" applyFont="1" applyFill="1" applyBorder="1"/>
    <xf numFmtId="44" fontId="71" fillId="2" borderId="80" xfId="1" applyFont="1" applyFill="1" applyBorder="1"/>
    <xf numFmtId="0" fontId="0" fillId="2" borderId="0" xfId="0" applyFill="1" applyAlignment="1">
      <alignment horizontal="right"/>
    </xf>
    <xf numFmtId="0" fontId="0" fillId="2" borderId="80" xfId="0" applyFill="1" applyBorder="1" applyAlignment="1">
      <alignment horizontal="right"/>
    </xf>
    <xf numFmtId="44" fontId="0" fillId="2" borderId="80" xfId="1" applyFont="1" applyFill="1" applyBorder="1"/>
    <xf numFmtId="44" fontId="2" fillId="2" borderId="0" xfId="1" applyFont="1" applyFill="1"/>
    <xf numFmtId="0" fontId="2" fillId="2" borderId="81" xfId="0" applyFont="1" applyFill="1" applyBorder="1"/>
    <xf numFmtId="44" fontId="2" fillId="2" borderId="81" xfId="1" applyFont="1" applyFill="1" applyBorder="1"/>
    <xf numFmtId="44" fontId="9" fillId="2" borderId="0" xfId="1" applyFont="1" applyFill="1"/>
    <xf numFmtId="0" fontId="41" fillId="12" borderId="82" xfId="0" applyFont="1" applyFill="1" applyBorder="1" applyAlignment="1">
      <alignment horizontal="center" vertical="center" wrapText="1"/>
    </xf>
    <xf numFmtId="0" fontId="41" fillId="12" borderId="83" xfId="0" applyFont="1" applyFill="1" applyBorder="1" applyAlignment="1">
      <alignment horizontal="center" vertical="center" wrapText="1"/>
    </xf>
    <xf numFmtId="0" fontId="0" fillId="2" borderId="84" xfId="0" applyFill="1" applyBorder="1"/>
    <xf numFmtId="0" fontId="9" fillId="8" borderId="40" xfId="0" applyFont="1" applyFill="1" applyBorder="1" applyAlignment="1">
      <alignment horizontal="center" vertical="center"/>
    </xf>
    <xf numFmtId="0" fontId="0" fillId="2" borderId="69" xfId="0" applyFill="1" applyBorder="1"/>
    <xf numFmtId="0" fontId="20" fillId="42" borderId="50" xfId="0" applyFont="1" applyFill="1" applyBorder="1"/>
    <xf numFmtId="0" fontId="20" fillId="42" borderId="19" xfId="0" applyFont="1" applyFill="1" applyBorder="1"/>
    <xf numFmtId="0" fontId="20" fillId="42" borderId="32" xfId="0" applyFont="1" applyFill="1" applyBorder="1"/>
    <xf numFmtId="169" fontId="0" fillId="2" borderId="72" xfId="0" applyNumberFormat="1" applyFill="1" applyBorder="1"/>
    <xf numFmtId="165" fontId="21" fillId="11" borderId="15" xfId="0" applyNumberFormat="1" applyFont="1" applyFill="1" applyBorder="1" applyAlignment="1" applyProtection="1">
      <alignment wrapText="1"/>
      <protection locked="0"/>
    </xf>
    <xf numFmtId="10" fontId="65" fillId="8" borderId="65" xfId="2" applyNumberFormat="1" applyFont="1" applyFill="1" applyBorder="1"/>
    <xf numFmtId="0" fontId="4" fillId="3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14" fillId="7" borderId="50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3" fillId="11" borderId="14" xfId="3" applyFill="1" applyBorder="1" applyAlignment="1" applyProtection="1">
      <alignment horizontal="center" wrapText="1"/>
    </xf>
    <xf numFmtId="0" fontId="20" fillId="10" borderId="16" xfId="0" applyFont="1" applyFill="1" applyBorder="1" applyAlignment="1">
      <alignment horizontal="center" wrapText="1"/>
    </xf>
    <xf numFmtId="0" fontId="20" fillId="10" borderId="12" xfId="0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 wrapText="1"/>
    </xf>
    <xf numFmtId="0" fontId="22" fillId="10" borderId="14" xfId="3" applyFont="1" applyFill="1" applyBorder="1" applyAlignment="1" applyProtection="1">
      <alignment horizontal="center" vertical="center" wrapText="1"/>
    </xf>
    <xf numFmtId="0" fontId="20" fillId="10" borderId="14" xfId="3" applyFont="1" applyFill="1" applyBorder="1" applyAlignment="1" applyProtection="1">
      <alignment horizontal="center" vertical="center" wrapText="1"/>
    </xf>
    <xf numFmtId="0" fontId="20" fillId="10" borderId="14" xfId="0" applyFont="1" applyFill="1" applyBorder="1" applyAlignment="1">
      <alignment horizontal="center" wrapText="1"/>
    </xf>
    <xf numFmtId="0" fontId="20" fillId="10" borderId="19" xfId="0" applyFont="1" applyFill="1" applyBorder="1" applyAlignment="1">
      <alignment horizontal="center" wrapText="1"/>
    </xf>
    <xf numFmtId="0" fontId="20" fillId="11" borderId="19" xfId="0" applyFont="1" applyFill="1" applyBorder="1" applyAlignment="1">
      <alignment horizontal="center" wrapText="1"/>
    </xf>
    <xf numFmtId="0" fontId="20" fillId="10" borderId="21" xfId="0" applyFont="1" applyFill="1" applyBorder="1" applyAlignment="1">
      <alignment horizontal="center" wrapText="1"/>
    </xf>
    <xf numFmtId="0" fontId="20" fillId="10" borderId="23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/>
    </xf>
    <xf numFmtId="0" fontId="24" fillId="12" borderId="42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 vertical="center"/>
    </xf>
    <xf numFmtId="0" fontId="25" fillId="12" borderId="75" xfId="0" applyFont="1" applyFill="1" applyBorder="1" applyAlignment="1">
      <alignment horizontal="center"/>
    </xf>
    <xf numFmtId="0" fontId="25" fillId="12" borderId="54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29" fillId="15" borderId="0" xfId="0" applyFont="1" applyFill="1" applyAlignment="1">
      <alignment horizontal="center" wrapText="1"/>
    </xf>
    <xf numFmtId="0" fontId="30" fillId="16" borderId="42" xfId="0" applyFont="1" applyFill="1" applyBorder="1" applyAlignment="1">
      <alignment horizontal="center"/>
    </xf>
    <xf numFmtId="0" fontId="17" fillId="16" borderId="14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17" fillId="17" borderId="14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wrapText="1"/>
    </xf>
    <xf numFmtId="0" fontId="17" fillId="17" borderId="23" xfId="0" applyFont="1" applyFill="1" applyBorder="1" applyAlignment="1">
      <alignment horizontal="center"/>
    </xf>
    <xf numFmtId="0" fontId="33" fillId="15" borderId="0" xfId="0" applyFont="1" applyFill="1" applyAlignment="1">
      <alignment horizontal="center" wrapText="1"/>
    </xf>
    <xf numFmtId="0" fontId="69" fillId="15" borderId="71" xfId="0" applyFont="1" applyFill="1" applyBorder="1" applyAlignment="1">
      <alignment horizontal="center" wrapText="1"/>
    </xf>
    <xf numFmtId="0" fontId="35" fillId="18" borderId="14" xfId="0" applyFont="1" applyFill="1" applyBorder="1" applyAlignment="1">
      <alignment horizontal="center"/>
    </xf>
    <xf numFmtId="0" fontId="35" fillId="18" borderId="12" xfId="0" applyFont="1" applyFill="1" applyBorder="1" applyAlignment="1">
      <alignment horizontal="center"/>
    </xf>
    <xf numFmtId="0" fontId="35" fillId="18" borderId="23" xfId="0" applyFont="1" applyFill="1" applyBorder="1" applyAlignment="1">
      <alignment horizontal="center"/>
    </xf>
    <xf numFmtId="0" fontId="35" fillId="18" borderId="30" xfId="0" applyFont="1" applyFill="1" applyBorder="1" applyAlignment="1">
      <alignment horizontal="center"/>
    </xf>
    <xf numFmtId="0" fontId="35" fillId="18" borderId="19" xfId="0" applyFont="1" applyFill="1" applyBorder="1" applyAlignment="1">
      <alignment horizontal="center"/>
    </xf>
    <xf numFmtId="0" fontId="35" fillId="18" borderId="3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8" fillId="19" borderId="19" xfId="0" applyFont="1" applyFill="1" applyBorder="1" applyAlignment="1">
      <alignment horizontal="center"/>
    </xf>
    <xf numFmtId="0" fontId="38" fillId="19" borderId="32" xfId="0" applyFont="1" applyFill="1" applyBorder="1" applyAlignment="1">
      <alignment horizontal="center"/>
    </xf>
    <xf numFmtId="0" fontId="38" fillId="19" borderId="36" xfId="0" applyFont="1" applyFill="1" applyBorder="1" applyAlignment="1">
      <alignment horizontal="center"/>
    </xf>
    <xf numFmtId="0" fontId="55" fillId="4" borderId="19" xfId="0" applyFont="1" applyFill="1" applyBorder="1" applyAlignment="1">
      <alignment horizontal="center"/>
    </xf>
    <xf numFmtId="0" fontId="55" fillId="4" borderId="32" xfId="0" applyFont="1" applyFill="1" applyBorder="1" applyAlignment="1">
      <alignment horizontal="center"/>
    </xf>
    <xf numFmtId="0" fontId="55" fillId="4" borderId="36" xfId="0" applyFont="1" applyFill="1" applyBorder="1" applyAlignment="1">
      <alignment horizontal="center"/>
    </xf>
    <xf numFmtId="0" fontId="41" fillId="6" borderId="12" xfId="0" applyFont="1" applyFill="1" applyBorder="1" applyAlignment="1">
      <alignment horizontal="center" vertical="center" wrapText="1"/>
    </xf>
    <xf numFmtId="164" fontId="40" fillId="6" borderId="13" xfId="0" applyNumberFormat="1" applyFont="1" applyFill="1" applyBorder="1" applyAlignment="1">
      <alignment vertical="center" wrapText="1"/>
    </xf>
    <xf numFmtId="0" fontId="9" fillId="8" borderId="21" xfId="0" applyFont="1" applyFill="1" applyBorder="1" applyAlignment="1">
      <alignment horizontal="center" vertical="center"/>
    </xf>
    <xf numFmtId="164" fontId="10" fillId="8" borderId="22" xfId="0" applyNumberFormat="1" applyFont="1" applyFill="1" applyBorder="1"/>
    <xf numFmtId="164" fontId="12" fillId="6" borderId="2" xfId="0" applyNumberFormat="1" applyFont="1" applyFill="1" applyBorder="1" applyAlignment="1" applyProtection="1">
      <alignment vertical="center" wrapText="1"/>
      <protection locked="0"/>
    </xf>
    <xf numFmtId="0" fontId="72" fillId="5" borderId="2" xfId="0" applyFont="1" applyFill="1" applyBorder="1" applyAlignment="1" applyProtection="1">
      <alignment horizontal="left" vertical="center" wrapText="1"/>
      <protection locked="0"/>
    </xf>
    <xf numFmtId="164" fontId="12" fillId="6" borderId="4" xfId="0" applyNumberFormat="1" applyFont="1" applyFill="1" applyBorder="1" applyAlignment="1" applyProtection="1">
      <alignment vertical="center" wrapText="1"/>
      <protection locked="0"/>
    </xf>
    <xf numFmtId="0" fontId="12" fillId="6" borderId="4" xfId="0" applyFont="1" applyFill="1" applyBorder="1" applyAlignment="1" applyProtection="1">
      <alignment vertical="center" wrapText="1"/>
      <protection locked="0"/>
    </xf>
    <xf numFmtId="164" fontId="21" fillId="10" borderId="15" xfId="0" applyNumberFormat="1" applyFont="1" applyFill="1" applyBorder="1" applyAlignment="1" applyProtection="1">
      <alignment wrapText="1"/>
      <protection locked="0"/>
    </xf>
    <xf numFmtId="164" fontId="21" fillId="10" borderId="20" xfId="0" applyNumberFormat="1" applyFont="1" applyFill="1" applyBorder="1" applyAlignment="1" applyProtection="1">
      <alignment wrapText="1"/>
      <protection locked="0"/>
    </xf>
    <xf numFmtId="164" fontId="40" fillId="29" borderId="15" xfId="0" applyNumberFormat="1" applyFont="1" applyFill="1" applyBorder="1" applyAlignment="1" applyProtection="1">
      <alignment wrapText="1"/>
      <protection locked="0"/>
    </xf>
    <xf numFmtId="164" fontId="40" fillId="22" borderId="41" xfId="0" applyNumberFormat="1" applyFont="1" applyFill="1" applyBorder="1" applyAlignment="1" applyProtection="1">
      <alignment wrapText="1"/>
      <protection locked="0"/>
    </xf>
    <xf numFmtId="0" fontId="40" fillId="6" borderId="15" xfId="0" applyFont="1" applyFill="1" applyBorder="1" applyAlignment="1">
      <alignment vertical="center" wrapText="1"/>
    </xf>
    <xf numFmtId="10" fontId="36" fillId="18" borderId="15" xfId="0" applyNumberFormat="1" applyFont="1" applyFill="1" applyBorder="1" applyProtection="1">
      <protection locked="0"/>
    </xf>
    <xf numFmtId="0" fontId="36" fillId="18" borderId="15" xfId="0" applyFont="1" applyFill="1" applyBorder="1" applyProtection="1">
      <protection locked="0"/>
    </xf>
    <xf numFmtId="10" fontId="28" fillId="19" borderId="20" xfId="0" applyNumberFormat="1" applyFont="1" applyFill="1" applyBorder="1" applyProtection="1">
      <protection locked="0"/>
    </xf>
    <xf numFmtId="10" fontId="56" fillId="4" borderId="20" xfId="0" applyNumberFormat="1" applyFont="1" applyFill="1" applyBorder="1" applyProtection="1">
      <protection locked="0"/>
    </xf>
    <xf numFmtId="10" fontId="6" fillId="16" borderId="17" xfId="0" applyNumberFormat="1" applyFont="1" applyFill="1" applyBorder="1" applyAlignment="1" applyProtection="1">
      <alignment wrapText="1"/>
      <protection locked="0"/>
    </xf>
    <xf numFmtId="165" fontId="6" fillId="16" borderId="15" xfId="0" applyNumberFormat="1" applyFont="1" applyFill="1" applyBorder="1" applyAlignment="1" applyProtection="1">
      <alignment wrapText="1"/>
      <protection locked="0"/>
    </xf>
    <xf numFmtId="165" fontId="0" fillId="16" borderId="15" xfId="0" applyNumberFormat="1" applyFill="1" applyBorder="1" applyProtection="1">
      <protection locked="0"/>
    </xf>
    <xf numFmtId="165" fontId="0" fillId="16" borderId="15" xfId="0" applyNumberFormat="1" applyFill="1" applyBorder="1" applyAlignment="1" applyProtection="1">
      <alignment vertical="center"/>
      <protection locked="0"/>
    </xf>
    <xf numFmtId="164" fontId="40" fillId="29" borderId="24" xfId="0" applyNumberFormat="1" applyFont="1" applyFill="1" applyBorder="1" applyAlignment="1" applyProtection="1">
      <alignment wrapText="1"/>
      <protection locked="0"/>
    </xf>
    <xf numFmtId="10" fontId="12" fillId="6" borderId="4" xfId="0" applyNumberFormat="1" applyFont="1" applyFill="1" applyBorder="1" applyAlignment="1" applyProtection="1">
      <alignment vertical="center" wrapText="1"/>
      <protection locked="0"/>
    </xf>
    <xf numFmtId="8" fontId="15" fillId="5" borderId="59" xfId="1" applyNumberFormat="1" applyFont="1" applyFill="1" applyBorder="1"/>
    <xf numFmtId="8" fontId="15" fillId="5" borderId="60" xfId="1" applyNumberFormat="1" applyFont="1" applyFill="1" applyBorder="1"/>
    <xf numFmtId="167" fontId="49" fillId="33" borderId="51" xfId="1" applyNumberFormat="1" applyFont="1" applyFill="1" applyBorder="1"/>
    <xf numFmtId="167" fontId="47" fillId="19" borderId="51" xfId="1" applyNumberFormat="1" applyFont="1" applyFill="1" applyBorder="1"/>
    <xf numFmtId="167" fontId="61" fillId="32" borderId="51" xfId="1" applyNumberFormat="1" applyFont="1" applyFill="1" applyBorder="1"/>
    <xf numFmtId="10" fontId="40" fillId="12" borderId="15" xfId="0" applyNumberFormat="1" applyFont="1" applyFill="1" applyBorder="1" applyAlignment="1" applyProtection="1">
      <alignment wrapText="1"/>
      <protection locked="0"/>
    </xf>
    <xf numFmtId="0" fontId="24" fillId="12" borderId="25" xfId="0" applyFont="1" applyFill="1" applyBorder="1" applyAlignment="1" applyProtection="1">
      <alignment wrapText="1"/>
      <protection locked="0"/>
    </xf>
    <xf numFmtId="164" fontId="24" fillId="12" borderId="25" xfId="0" applyNumberFormat="1" applyFont="1" applyFill="1" applyBorder="1" applyAlignment="1" applyProtection="1">
      <alignment vertical="center" wrapText="1"/>
      <protection locked="0"/>
    </xf>
    <xf numFmtId="164" fontId="24" fillId="12" borderId="26" xfId="0" applyNumberFormat="1" applyFont="1" applyFill="1" applyBorder="1" applyAlignment="1" applyProtection="1">
      <alignment vertical="center" wrapText="1"/>
      <protection locked="0"/>
    </xf>
    <xf numFmtId="164" fontId="24" fillId="12" borderId="13" xfId="0" applyNumberFormat="1" applyFont="1" applyFill="1" applyBorder="1" applyAlignment="1" applyProtection="1">
      <alignment vertical="center" wrapText="1"/>
      <protection locked="0"/>
    </xf>
    <xf numFmtId="0" fontId="73" fillId="2" borderId="0" xfId="3" applyFont="1" applyFill="1"/>
    <xf numFmtId="0" fontId="0" fillId="2" borderId="99" xfId="0" applyFill="1" applyBorder="1"/>
    <xf numFmtId="44" fontId="0" fillId="2" borderId="99" xfId="1" applyFont="1" applyFill="1" applyBorder="1"/>
    <xf numFmtId="0" fontId="9" fillId="2" borderId="100" xfId="0" applyFont="1" applyFill="1" applyBorder="1"/>
    <xf numFmtId="0" fontId="0" fillId="2" borderId="101" xfId="0" applyFill="1" applyBorder="1"/>
    <xf numFmtId="0" fontId="0" fillId="2" borderId="102" xfId="0" applyFill="1" applyBorder="1"/>
    <xf numFmtId="44" fontId="0" fillId="2" borderId="102" xfId="0" applyNumberFormat="1" applyFill="1" applyBorder="1"/>
    <xf numFmtId="0" fontId="0" fillId="2" borderId="100" xfId="0" applyFill="1" applyBorder="1"/>
    <xf numFmtId="10" fontId="0" fillId="2" borderId="100" xfId="2" applyNumberFormat="1" applyFont="1" applyFill="1" applyBorder="1"/>
    <xf numFmtId="44" fontId="0" fillId="2" borderId="99" xfId="0" applyNumberFormat="1" applyFill="1" applyBorder="1"/>
    <xf numFmtId="10" fontId="0" fillId="2" borderId="0" xfId="2" applyNumberFormat="1" applyFont="1" applyFill="1"/>
    <xf numFmtId="10" fontId="0" fillId="2" borderId="0" xfId="2" applyNumberFormat="1" applyFont="1" applyFill="1" applyBorder="1"/>
    <xf numFmtId="10" fontId="0" fillId="2" borderId="0" xfId="0" applyNumberFormat="1" applyFill="1"/>
    <xf numFmtId="10" fontId="0" fillId="2" borderId="101" xfId="0" applyNumberFormat="1" applyFill="1" applyBorder="1"/>
    <xf numFmtId="0" fontId="62" fillId="8" borderId="50" xfId="0" applyFont="1" applyFill="1" applyBorder="1" applyAlignment="1">
      <alignment vertical="center" wrapText="1"/>
    </xf>
    <xf numFmtId="44" fontId="58" fillId="8" borderId="51" xfId="1" applyFont="1" applyFill="1" applyBorder="1" applyAlignment="1">
      <alignment vertical="center" wrapText="1"/>
    </xf>
    <xf numFmtId="0" fontId="62" fillId="8" borderId="19" xfId="0" applyFont="1" applyFill="1" applyBorder="1"/>
    <xf numFmtId="10" fontId="58" fillId="8" borderId="20" xfId="2" applyNumberFormat="1" applyFont="1" applyFill="1" applyBorder="1"/>
    <xf numFmtId="44" fontId="58" fillId="8" borderId="33" xfId="0" applyNumberFormat="1" applyFont="1" applyFill="1" applyBorder="1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44" fontId="0" fillId="2" borderId="0" xfId="0" applyNumberFormat="1" applyFill="1" applyAlignment="1">
      <alignment horizontal="left" wrapText="1"/>
    </xf>
    <xf numFmtId="2" fontId="0" fillId="2" borderId="0" xfId="0" applyNumberFormat="1" applyFill="1"/>
    <xf numFmtId="0" fontId="75" fillId="2" borderId="0" xfId="3" applyFont="1" applyFill="1"/>
    <xf numFmtId="0" fontId="46" fillId="2" borderId="0" xfId="3" applyFont="1" applyFill="1"/>
    <xf numFmtId="0" fontId="76" fillId="2" borderId="0" xfId="0" applyFont="1" applyFill="1"/>
    <xf numFmtId="0" fontId="76" fillId="2" borderId="0" xfId="0" applyFont="1" applyFill="1" applyAlignment="1">
      <alignment horizontal="center"/>
    </xf>
    <xf numFmtId="169" fontId="76" fillId="2" borderId="0" xfId="0" applyNumberFormat="1" applyFont="1" applyFill="1"/>
    <xf numFmtId="0" fontId="77" fillId="24" borderId="50" xfId="0" applyFont="1" applyFill="1" applyBorder="1" applyAlignment="1">
      <alignment horizontal="center"/>
    </xf>
    <xf numFmtId="0" fontId="78" fillId="24" borderId="51" xfId="0" applyFont="1" applyFill="1" applyBorder="1" applyAlignment="1">
      <alignment horizontal="right"/>
    </xf>
    <xf numFmtId="0" fontId="77" fillId="24" borderId="32" xfId="0" applyFont="1" applyFill="1" applyBorder="1" applyAlignment="1">
      <alignment horizontal="center"/>
    </xf>
    <xf numFmtId="44" fontId="78" fillId="24" borderId="33" xfId="0" applyNumberFormat="1" applyFont="1" applyFill="1" applyBorder="1" applyAlignment="1">
      <alignment horizontal="right"/>
    </xf>
    <xf numFmtId="169" fontId="80" fillId="2" borderId="0" xfId="0" applyNumberFormat="1" applyFont="1" applyFill="1" applyAlignment="1">
      <alignment horizontal="center" vertical="center"/>
    </xf>
    <xf numFmtId="0" fontId="80" fillId="2" borderId="0" xfId="0" applyFont="1" applyFill="1" applyAlignment="1">
      <alignment horizontal="center" vertical="center"/>
    </xf>
    <xf numFmtId="0" fontId="81" fillId="35" borderId="50" xfId="0" applyFont="1" applyFill="1" applyBorder="1" applyAlignment="1">
      <alignment horizontal="center"/>
    </xf>
    <xf numFmtId="44" fontId="82" fillId="35" borderId="51" xfId="1" applyFont="1" applyFill="1" applyBorder="1"/>
    <xf numFmtId="0" fontId="81" fillId="35" borderId="19" xfId="0" applyFont="1" applyFill="1" applyBorder="1" applyAlignment="1">
      <alignment horizontal="center"/>
    </xf>
    <xf numFmtId="10" fontId="82" fillId="35" borderId="20" xfId="1" applyNumberFormat="1" applyFont="1" applyFill="1" applyBorder="1"/>
    <xf numFmtId="10" fontId="82" fillId="35" borderId="51" xfId="2" applyNumberFormat="1" applyFont="1" applyFill="1" applyBorder="1"/>
    <xf numFmtId="0" fontId="76" fillId="2" borderId="72" xfId="0" applyFont="1" applyFill="1" applyBorder="1"/>
    <xf numFmtId="0" fontId="76" fillId="2" borderId="0" xfId="0" applyFont="1" applyFill="1" applyAlignment="1">
      <alignment horizontal="right"/>
    </xf>
    <xf numFmtId="44" fontId="82" fillId="35" borderId="20" xfId="1" applyFont="1" applyFill="1" applyBorder="1"/>
    <xf numFmtId="10" fontId="82" fillId="35" borderId="20" xfId="2" applyNumberFormat="1" applyFont="1" applyFill="1" applyBorder="1"/>
    <xf numFmtId="0" fontId="82" fillId="35" borderId="20" xfId="1" applyNumberFormat="1" applyFont="1" applyFill="1" applyBorder="1"/>
    <xf numFmtId="0" fontId="81" fillId="35" borderId="52" xfId="0" applyFont="1" applyFill="1" applyBorder="1" applyAlignment="1">
      <alignment horizontal="center"/>
    </xf>
    <xf numFmtId="10" fontId="82" fillId="35" borderId="53" xfId="2" applyNumberFormat="1" applyFont="1" applyFill="1" applyBorder="1"/>
    <xf numFmtId="2" fontId="82" fillId="35" borderId="53" xfId="1" applyNumberFormat="1" applyFont="1" applyFill="1" applyBorder="1"/>
    <xf numFmtId="2" fontId="82" fillId="35" borderId="98" xfId="1" applyNumberFormat="1" applyFont="1" applyFill="1" applyBorder="1"/>
    <xf numFmtId="0" fontId="81" fillId="35" borderId="32" xfId="0" applyFont="1" applyFill="1" applyBorder="1" applyAlignment="1">
      <alignment horizontal="center"/>
    </xf>
    <xf numFmtId="10" fontId="82" fillId="35" borderId="33" xfId="2" applyNumberFormat="1" applyFont="1" applyFill="1" applyBorder="1"/>
    <xf numFmtId="0" fontId="76" fillId="2" borderId="97" xfId="0" applyFont="1" applyFill="1" applyBorder="1"/>
    <xf numFmtId="0" fontId="76" fillId="2" borderId="44" xfId="0" applyFont="1" applyFill="1" applyBorder="1"/>
    <xf numFmtId="0" fontId="84" fillId="36" borderId="36" xfId="0" applyFont="1" applyFill="1" applyBorder="1" applyAlignment="1">
      <alignment horizontal="center"/>
    </xf>
    <xf numFmtId="44" fontId="85" fillId="36" borderId="61" xfId="1" applyFont="1" applyFill="1" applyBorder="1"/>
    <xf numFmtId="44" fontId="85" fillId="36" borderId="37" xfId="1" applyFont="1" applyFill="1" applyBorder="1"/>
    <xf numFmtId="0" fontId="84" fillId="36" borderId="19" xfId="0" applyFont="1" applyFill="1" applyBorder="1" applyAlignment="1">
      <alignment horizontal="center"/>
    </xf>
    <xf numFmtId="44" fontId="85" fillId="36" borderId="59" xfId="1" applyFont="1" applyFill="1" applyBorder="1"/>
    <xf numFmtId="44" fontId="85" fillId="36" borderId="20" xfId="1" applyFont="1" applyFill="1" applyBorder="1"/>
    <xf numFmtId="0" fontId="84" fillId="36" borderId="32" xfId="0" applyFont="1" applyFill="1" applyBorder="1" applyAlignment="1">
      <alignment horizontal="center"/>
    </xf>
    <xf numFmtId="44" fontId="85" fillId="36" borderId="60" xfId="0" applyNumberFormat="1" applyFont="1" applyFill="1" applyBorder="1"/>
    <xf numFmtId="44" fontId="85" fillId="36" borderId="33" xfId="0" applyNumberFormat="1" applyFont="1" applyFill="1" applyBorder="1"/>
    <xf numFmtId="0" fontId="86" fillId="32" borderId="50" xfId="0" applyFont="1" applyFill="1" applyBorder="1" applyAlignment="1">
      <alignment horizontal="center"/>
    </xf>
    <xf numFmtId="16" fontId="87" fillId="32" borderId="51" xfId="0" applyNumberFormat="1" applyFont="1" applyFill="1" applyBorder="1" applyAlignment="1">
      <alignment horizontal="right"/>
    </xf>
    <xf numFmtId="0" fontId="86" fillId="32" borderId="19" xfId="0" applyFont="1" applyFill="1" applyBorder="1" applyAlignment="1">
      <alignment horizontal="center"/>
    </xf>
    <xf numFmtId="44" fontId="87" fillId="32" borderId="20" xfId="1" applyFont="1" applyFill="1" applyBorder="1" applyAlignment="1">
      <alignment horizontal="right"/>
    </xf>
    <xf numFmtId="44" fontId="87" fillId="32" borderId="20" xfId="1" applyFont="1" applyFill="1" applyBorder="1"/>
    <xf numFmtId="0" fontId="86" fillId="32" borderId="52" xfId="0" applyFont="1" applyFill="1" applyBorder="1" applyAlignment="1">
      <alignment horizontal="center"/>
    </xf>
    <xf numFmtId="44" fontId="87" fillId="32" borderId="53" xfId="1" applyFont="1" applyFill="1" applyBorder="1"/>
    <xf numFmtId="0" fontId="86" fillId="32" borderId="32" xfId="0" applyFont="1" applyFill="1" applyBorder="1" applyAlignment="1">
      <alignment horizontal="center"/>
    </xf>
    <xf numFmtId="44" fontId="87" fillId="32" borderId="33" xfId="1" applyFont="1" applyFill="1" applyBorder="1"/>
    <xf numFmtId="0" fontId="88" fillId="4" borderId="38" xfId="0" applyFont="1" applyFill="1" applyBorder="1" applyAlignment="1">
      <alignment horizontal="center"/>
    </xf>
    <xf numFmtId="44" fontId="79" fillId="4" borderId="64" xfId="1" applyFont="1" applyFill="1" applyBorder="1"/>
    <xf numFmtId="44" fontId="79" fillId="4" borderId="62" xfId="1" applyFont="1" applyFill="1" applyBorder="1"/>
    <xf numFmtId="0" fontId="84" fillId="8" borderId="50" xfId="0" applyFont="1" applyFill="1" applyBorder="1" applyAlignment="1">
      <alignment horizontal="center"/>
    </xf>
    <xf numFmtId="44" fontId="85" fillId="8" borderId="57" xfId="1" applyFont="1" applyFill="1" applyBorder="1"/>
    <xf numFmtId="44" fontId="79" fillId="8" borderId="51" xfId="1" applyFont="1" applyFill="1" applyBorder="1"/>
    <xf numFmtId="0" fontId="84" fillId="8" borderId="19" xfId="0" applyFont="1" applyFill="1" applyBorder="1" applyAlignment="1">
      <alignment horizontal="center"/>
    </xf>
    <xf numFmtId="44" fontId="85" fillId="8" borderId="59" xfId="1" applyFont="1" applyFill="1" applyBorder="1"/>
    <xf numFmtId="44" fontId="79" fillId="8" borderId="20" xfId="1" applyFont="1" applyFill="1" applyBorder="1"/>
    <xf numFmtId="0" fontId="84" fillId="8" borderId="32" xfId="0" applyFont="1" applyFill="1" applyBorder="1" applyAlignment="1">
      <alignment horizontal="center"/>
    </xf>
    <xf numFmtId="44" fontId="85" fillId="8" borderId="60" xfId="1" applyFont="1" applyFill="1" applyBorder="1"/>
    <xf numFmtId="44" fontId="79" fillId="8" borderId="33" xfId="1" applyFont="1" applyFill="1" applyBorder="1"/>
    <xf numFmtId="0" fontId="89" fillId="9" borderId="50" xfId="0" applyFont="1" applyFill="1" applyBorder="1" applyAlignment="1">
      <alignment horizontal="center"/>
    </xf>
    <xf numFmtId="44" fontId="90" fillId="9" borderId="57" xfId="1" applyFont="1" applyFill="1" applyBorder="1"/>
    <xf numFmtId="44" fontId="79" fillId="9" borderId="51" xfId="1" applyFont="1" applyFill="1" applyBorder="1"/>
    <xf numFmtId="0" fontId="89" fillId="9" borderId="32" xfId="0" applyFont="1" applyFill="1" applyBorder="1" applyAlignment="1">
      <alignment horizontal="center"/>
    </xf>
    <xf numFmtId="44" fontId="90" fillId="9" borderId="60" xfId="1" applyFont="1" applyFill="1" applyBorder="1"/>
    <xf numFmtId="44" fontId="79" fillId="9" borderId="33" xfId="1" applyFont="1" applyFill="1" applyBorder="1"/>
    <xf numFmtId="0" fontId="84" fillId="5" borderId="36" xfId="0" applyFont="1" applyFill="1" applyBorder="1" applyAlignment="1">
      <alignment horizontal="center"/>
    </xf>
    <xf numFmtId="44" fontId="85" fillId="5" borderId="61" xfId="1" applyFont="1" applyFill="1" applyBorder="1"/>
    <xf numFmtId="44" fontId="79" fillId="5" borderId="37" xfId="1" applyFont="1" applyFill="1" applyBorder="1"/>
    <xf numFmtId="0" fontId="84" fillId="5" borderId="32" xfId="0" applyFont="1" applyFill="1" applyBorder="1" applyAlignment="1">
      <alignment horizontal="center"/>
    </xf>
    <xf numFmtId="44" fontId="85" fillId="5" borderId="60" xfId="1" applyFont="1" applyFill="1" applyBorder="1"/>
    <xf numFmtId="44" fontId="79" fillId="5" borderId="33" xfId="1" applyFont="1" applyFill="1" applyBorder="1"/>
    <xf numFmtId="0" fontId="91" fillId="2" borderId="0" xfId="3" applyFont="1" applyFill="1" applyAlignment="1">
      <alignment horizontal="center" vertical="center"/>
    </xf>
    <xf numFmtId="0" fontId="84" fillId="31" borderId="50" xfId="0" applyFont="1" applyFill="1" applyBorder="1" applyAlignment="1">
      <alignment horizontal="center"/>
    </xf>
    <xf numFmtId="44" fontId="85" fillId="31" borderId="51" xfId="1" applyFont="1" applyFill="1" applyBorder="1"/>
    <xf numFmtId="0" fontId="84" fillId="31" borderId="19" xfId="0" applyFont="1" applyFill="1" applyBorder="1" applyAlignment="1">
      <alignment horizontal="center"/>
    </xf>
    <xf numFmtId="44" fontId="85" fillId="31" borderId="20" xfId="1" applyFont="1" applyFill="1" applyBorder="1"/>
    <xf numFmtId="164" fontId="85" fillId="31" borderId="20" xfId="1" applyNumberFormat="1" applyFont="1" applyFill="1" applyBorder="1"/>
    <xf numFmtId="0" fontId="84" fillId="31" borderId="32" xfId="0" applyFont="1" applyFill="1" applyBorder="1" applyAlignment="1">
      <alignment horizontal="center"/>
    </xf>
    <xf numFmtId="10" fontId="85" fillId="31" borderId="33" xfId="2" applyNumberFormat="1" applyFont="1" applyFill="1" applyBorder="1"/>
    <xf numFmtId="0" fontId="84" fillId="2" borderId="0" xfId="0" applyFont="1" applyFill="1" applyAlignment="1">
      <alignment horizontal="center"/>
    </xf>
    <xf numFmtId="10" fontId="85" fillId="2" borderId="0" xfId="2" applyNumberFormat="1" applyFont="1" applyFill="1" applyBorder="1"/>
    <xf numFmtId="10" fontId="85" fillId="36" borderId="37" xfId="2" applyNumberFormat="1" applyFont="1" applyFill="1" applyBorder="1"/>
    <xf numFmtId="10" fontId="85" fillId="36" borderId="20" xfId="2" applyNumberFormat="1" applyFont="1" applyFill="1" applyBorder="1"/>
    <xf numFmtId="0" fontId="84" fillId="36" borderId="52" xfId="0" applyFont="1" applyFill="1" applyBorder="1" applyAlignment="1">
      <alignment horizontal="center"/>
    </xf>
    <xf numFmtId="10" fontId="85" fillId="36" borderId="53" xfId="2" applyNumberFormat="1" applyFont="1" applyFill="1" applyBorder="1"/>
    <xf numFmtId="0" fontId="84" fillId="36" borderId="38" xfId="0" applyFont="1" applyFill="1" applyBorder="1" applyAlignment="1">
      <alignment horizontal="center"/>
    </xf>
    <xf numFmtId="10" fontId="85" fillId="36" borderId="62" xfId="2" applyNumberFormat="1" applyFont="1" applyFill="1" applyBorder="1"/>
    <xf numFmtId="0" fontId="88" fillId="39" borderId="19" xfId="0" applyFont="1" applyFill="1" applyBorder="1" applyAlignment="1">
      <alignment horizontal="center"/>
    </xf>
    <xf numFmtId="44" fontId="79" fillId="39" borderId="59" xfId="1" applyFont="1" applyFill="1" applyBorder="1"/>
    <xf numFmtId="10" fontId="79" fillId="39" borderId="59" xfId="2" applyNumberFormat="1" applyFont="1" applyFill="1" applyBorder="1"/>
    <xf numFmtId="10" fontId="79" fillId="39" borderId="20" xfId="2" applyNumberFormat="1" applyFont="1" applyFill="1" applyBorder="1"/>
    <xf numFmtId="44" fontId="79" fillId="39" borderId="59" xfId="0" applyNumberFormat="1" applyFont="1" applyFill="1" applyBorder="1"/>
    <xf numFmtId="0" fontId="92" fillId="40" borderId="93" xfId="0" applyFont="1" applyFill="1" applyBorder="1" applyAlignment="1">
      <alignment horizontal="center"/>
    </xf>
    <xf numFmtId="44" fontId="93" fillId="40" borderId="94" xfId="1" applyFont="1" applyFill="1" applyBorder="1"/>
    <xf numFmtId="10" fontId="93" fillId="40" borderId="95" xfId="2" applyNumberFormat="1" applyFont="1" applyFill="1" applyBorder="1"/>
    <xf numFmtId="10" fontId="93" fillId="40" borderId="96" xfId="2" applyNumberFormat="1" applyFont="1" applyFill="1" applyBorder="1"/>
    <xf numFmtId="10" fontId="93" fillId="40" borderId="62" xfId="2" applyNumberFormat="1" applyFont="1" applyFill="1" applyBorder="1"/>
    <xf numFmtId="0" fontId="92" fillId="40" borderId="85" xfId="0" applyFont="1" applyFill="1" applyBorder="1"/>
    <xf numFmtId="10" fontId="93" fillId="40" borderId="89" xfId="2" applyNumberFormat="1" applyFont="1" applyFill="1" applyBorder="1"/>
    <xf numFmtId="0" fontId="94" fillId="24" borderId="19" xfId="0" applyFont="1" applyFill="1" applyBorder="1" applyAlignment="1">
      <alignment horizontal="center"/>
    </xf>
    <xf numFmtId="44" fontId="78" fillId="24" borderId="59" xfId="1" applyFont="1" applyFill="1" applyBorder="1"/>
    <xf numFmtId="10" fontId="78" fillId="24" borderId="59" xfId="2" applyNumberFormat="1" applyFont="1" applyFill="1" applyBorder="1"/>
    <xf numFmtId="10" fontId="78" fillId="24" borderId="20" xfId="2" applyNumberFormat="1" applyFont="1" applyFill="1" applyBorder="1"/>
    <xf numFmtId="44" fontId="78" fillId="24" borderId="59" xfId="0" applyNumberFormat="1" applyFont="1" applyFill="1" applyBorder="1"/>
    <xf numFmtId="0" fontId="95" fillId="37" borderId="93" xfId="0" applyFont="1" applyFill="1" applyBorder="1" applyAlignment="1">
      <alignment horizontal="center"/>
    </xf>
    <xf numFmtId="44" fontId="96" fillId="37" borderId="94" xfId="1" applyFont="1" applyFill="1" applyBorder="1"/>
    <xf numFmtId="10" fontId="96" fillId="37" borderId="95" xfId="2" applyNumberFormat="1" applyFont="1" applyFill="1" applyBorder="1"/>
    <xf numFmtId="10" fontId="96" fillId="37" borderId="96" xfId="2" applyNumberFormat="1" applyFont="1" applyFill="1" applyBorder="1"/>
    <xf numFmtId="10" fontId="96" fillId="37" borderId="62" xfId="2" applyNumberFormat="1" applyFont="1" applyFill="1" applyBorder="1"/>
    <xf numFmtId="0" fontId="95" fillId="37" borderId="85" xfId="0" applyFont="1" applyFill="1" applyBorder="1"/>
    <xf numFmtId="10" fontId="96" fillId="37" borderId="89" xfId="2" applyNumberFormat="1" applyFont="1" applyFill="1" applyBorder="1"/>
    <xf numFmtId="0" fontId="97" fillId="31" borderId="19" xfId="0" applyFont="1" applyFill="1" applyBorder="1" applyAlignment="1">
      <alignment horizontal="center"/>
    </xf>
    <xf numFmtId="44" fontId="98" fillId="31" borderId="59" xfId="1" applyFont="1" applyFill="1" applyBorder="1"/>
    <xf numFmtId="10" fontId="98" fillId="31" borderId="88" xfId="2" applyNumberFormat="1" applyFont="1" applyFill="1" applyBorder="1"/>
    <xf numFmtId="10" fontId="98" fillId="31" borderId="20" xfId="2" applyNumberFormat="1" applyFont="1" applyFill="1" applyBorder="1"/>
    <xf numFmtId="44" fontId="98" fillId="31" borderId="59" xfId="0" applyNumberFormat="1" applyFont="1" applyFill="1" applyBorder="1"/>
    <xf numFmtId="0" fontId="99" fillId="38" borderId="32" xfId="0" applyFont="1" applyFill="1" applyBorder="1" applyAlignment="1">
      <alignment horizontal="center"/>
    </xf>
    <xf numFmtId="44" fontId="100" fillId="38" borderId="60" xfId="1" applyFont="1" applyFill="1" applyBorder="1"/>
    <xf numFmtId="10" fontId="100" fillId="38" borderId="90" xfId="2" applyNumberFormat="1" applyFont="1" applyFill="1" applyBorder="1"/>
    <xf numFmtId="10" fontId="100" fillId="38" borderId="33" xfId="2" applyNumberFormat="1" applyFont="1" applyFill="1" applyBorder="1"/>
    <xf numFmtId="10" fontId="100" fillId="38" borderId="71" xfId="2" applyNumberFormat="1" applyFont="1" applyFill="1" applyBorder="1"/>
    <xf numFmtId="0" fontId="99" fillId="38" borderId="85" xfId="0" applyFont="1" applyFill="1" applyBorder="1"/>
    <xf numFmtId="10" fontId="100" fillId="38" borderId="92" xfId="2" applyNumberFormat="1" applyFont="1" applyFill="1" applyBorder="1"/>
    <xf numFmtId="44" fontId="76" fillId="2" borderId="0" xfId="0" applyNumberFormat="1" applyFont="1" applyFill="1"/>
    <xf numFmtId="8" fontId="76" fillId="2" borderId="0" xfId="0" applyNumberFormat="1" applyFont="1" applyFill="1"/>
    <xf numFmtId="0" fontId="76" fillId="32" borderId="0" xfId="0" applyFont="1" applyFill="1"/>
    <xf numFmtId="0" fontId="101" fillId="32" borderId="0" xfId="3" quotePrefix="1" applyFont="1" applyFill="1"/>
    <xf numFmtId="0" fontId="102" fillId="2" borderId="0" xfId="0" applyFont="1" applyFill="1"/>
    <xf numFmtId="0" fontId="103" fillId="2" borderId="0" xfId="0" applyFont="1" applyFill="1"/>
    <xf numFmtId="165" fontId="104" fillId="0" borderId="0" xfId="0" applyNumberFormat="1" applyFont="1"/>
    <xf numFmtId="10" fontId="104" fillId="0" borderId="0" xfId="0" applyNumberFormat="1" applyFont="1"/>
    <xf numFmtId="0" fontId="104" fillId="0" borderId="0" xfId="0" applyFont="1"/>
    <xf numFmtId="0" fontId="66" fillId="0" borderId="0" xfId="0" applyFont="1" applyAlignment="1">
      <alignment horizontal="center" vertical="center" wrapText="1"/>
    </xf>
    <xf numFmtId="165" fontId="66" fillId="0" borderId="0" xfId="0" applyNumberFormat="1" applyFont="1" applyAlignment="1">
      <alignment horizontal="center" vertical="center" wrapText="1"/>
    </xf>
    <xf numFmtId="0" fontId="104" fillId="0" borderId="0" xfId="0" applyFont="1" applyAlignment="1">
      <alignment horizontal="center" vertical="center" wrapText="1"/>
    </xf>
    <xf numFmtId="0" fontId="104" fillId="0" borderId="0" xfId="0" applyFont="1" applyAlignment="1">
      <alignment horizontal="center"/>
    </xf>
    <xf numFmtId="44" fontId="104" fillId="0" borderId="0" xfId="1" applyFont="1" applyFill="1"/>
    <xf numFmtId="10" fontId="104" fillId="0" borderId="0" xfId="2" applyNumberFormat="1" applyFont="1" applyFill="1"/>
    <xf numFmtId="0" fontId="104" fillId="0" borderId="38" xfId="0" applyFont="1" applyBorder="1" applyAlignment="1">
      <alignment horizontal="center" vertical="center"/>
    </xf>
    <xf numFmtId="44" fontId="104" fillId="0" borderId="62" xfId="1" applyFont="1" applyFill="1" applyBorder="1" applyAlignment="1">
      <alignment horizontal="center" vertical="center"/>
    </xf>
    <xf numFmtId="10" fontId="104" fillId="0" borderId="38" xfId="2" applyNumberFormat="1" applyFont="1" applyFill="1" applyBorder="1" applyAlignment="1">
      <alignment horizontal="center" vertical="center" wrapText="1"/>
    </xf>
    <xf numFmtId="10" fontId="104" fillId="0" borderId="62" xfId="2" applyNumberFormat="1" applyFont="1" applyFill="1" applyBorder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104" fillId="0" borderId="36" xfId="0" applyFont="1" applyBorder="1" applyAlignment="1">
      <alignment horizontal="center"/>
    </xf>
    <xf numFmtId="44" fontId="104" fillId="0" borderId="61" xfId="1" applyFont="1" applyFill="1" applyBorder="1"/>
    <xf numFmtId="0" fontId="104" fillId="0" borderId="61" xfId="0" applyFont="1" applyBorder="1" applyAlignment="1">
      <alignment horizontal="center"/>
    </xf>
    <xf numFmtId="10" fontId="104" fillId="0" borderId="61" xfId="2" applyNumberFormat="1" applyFont="1" applyFill="1" applyBorder="1"/>
    <xf numFmtId="10" fontId="104" fillId="0" borderId="37" xfId="2" applyNumberFormat="1" applyFont="1" applyFill="1" applyBorder="1"/>
    <xf numFmtId="0" fontId="104" fillId="0" borderId="19" xfId="0" applyFont="1" applyBorder="1" applyAlignment="1">
      <alignment horizontal="center"/>
    </xf>
    <xf numFmtId="44" fontId="104" fillId="0" borderId="59" xfId="1" applyFont="1" applyFill="1" applyBorder="1"/>
    <xf numFmtId="0" fontId="104" fillId="0" borderId="59" xfId="0" applyFont="1" applyBorder="1" applyAlignment="1">
      <alignment horizontal="center"/>
    </xf>
    <xf numFmtId="10" fontId="104" fillId="0" borderId="59" xfId="2" applyNumberFormat="1" applyFont="1" applyFill="1" applyBorder="1"/>
    <xf numFmtId="0" fontId="104" fillId="0" borderId="32" xfId="0" applyFont="1" applyBorder="1" applyAlignment="1">
      <alignment horizontal="center"/>
    </xf>
    <xf numFmtId="44" fontId="104" fillId="0" borderId="60" xfId="1" applyFont="1" applyFill="1" applyBorder="1"/>
    <xf numFmtId="0" fontId="104" fillId="0" borderId="60" xfId="0" applyFont="1" applyBorder="1" applyAlignment="1">
      <alignment horizontal="center"/>
    </xf>
    <xf numFmtId="10" fontId="104" fillId="0" borderId="60" xfId="2" applyNumberFormat="1" applyFont="1" applyFill="1" applyBorder="1"/>
    <xf numFmtId="0" fontId="104" fillId="2" borderId="0" xfId="0" applyFont="1" applyFill="1"/>
    <xf numFmtId="0" fontId="66" fillId="2" borderId="104" xfId="0" applyFont="1" applyFill="1" applyBorder="1" applyAlignment="1">
      <alignment horizontal="center" vertical="center"/>
    </xf>
    <xf numFmtId="0" fontId="66" fillId="2" borderId="105" xfId="0" applyFont="1" applyFill="1" applyBorder="1" applyAlignment="1">
      <alignment horizontal="center" vertical="center"/>
    </xf>
    <xf numFmtId="0" fontId="66" fillId="2" borderId="98" xfId="0" applyFont="1" applyFill="1" applyBorder="1" applyAlignment="1">
      <alignment horizontal="center" vertical="center" wrapText="1"/>
    </xf>
    <xf numFmtId="0" fontId="66" fillId="2" borderId="59" xfId="0" applyFont="1" applyFill="1" applyBorder="1" applyAlignment="1">
      <alignment horizontal="center" vertical="center"/>
    </xf>
    <xf numFmtId="0" fontId="66" fillId="2" borderId="59" xfId="0" applyFont="1" applyFill="1" applyBorder="1" applyAlignment="1">
      <alignment horizontal="center" vertical="center" wrapText="1"/>
    </xf>
    <xf numFmtId="0" fontId="104" fillId="2" borderId="50" xfId="0" applyFont="1" applyFill="1" applyBorder="1"/>
    <xf numFmtId="167" fontId="104" fillId="2" borderId="57" xfId="0" applyNumberFormat="1" applyFont="1" applyFill="1" applyBorder="1"/>
    <xf numFmtId="10" fontId="67" fillId="2" borderId="57" xfId="2" applyNumberFormat="1" applyFont="1" applyFill="1" applyBorder="1"/>
    <xf numFmtId="167" fontId="104" fillId="2" borderId="51" xfId="0" applyNumberFormat="1" applyFont="1" applyFill="1" applyBorder="1"/>
    <xf numFmtId="0" fontId="104" fillId="2" borderId="59" xfId="0" applyFont="1" applyFill="1" applyBorder="1"/>
    <xf numFmtId="167" fontId="104" fillId="2" borderId="59" xfId="0" applyNumberFormat="1" applyFont="1" applyFill="1" applyBorder="1"/>
    <xf numFmtId="10" fontId="67" fillId="2" borderId="59" xfId="2" applyNumberFormat="1" applyFont="1" applyFill="1" applyBorder="1"/>
    <xf numFmtId="0" fontId="104" fillId="2" borderId="19" xfId="0" applyFont="1" applyFill="1" applyBorder="1"/>
    <xf numFmtId="8" fontId="104" fillId="2" borderId="59" xfId="0" applyNumberFormat="1" applyFont="1" applyFill="1" applyBorder="1"/>
    <xf numFmtId="167" fontId="104" fillId="2" borderId="20" xfId="0" applyNumberFormat="1" applyFont="1" applyFill="1" applyBorder="1"/>
    <xf numFmtId="0" fontId="104" fillId="2" borderId="19" xfId="0" applyFont="1" applyFill="1" applyBorder="1" applyAlignment="1">
      <alignment vertical="center"/>
    </xf>
    <xf numFmtId="8" fontId="104" fillId="2" borderId="59" xfId="0" applyNumberFormat="1" applyFont="1" applyFill="1" applyBorder="1" applyAlignment="1">
      <alignment vertical="center"/>
    </xf>
    <xf numFmtId="167" fontId="104" fillId="2" borderId="20" xfId="0" applyNumberFormat="1" applyFont="1" applyFill="1" applyBorder="1" applyAlignment="1">
      <alignment vertical="center"/>
    </xf>
    <xf numFmtId="0" fontId="104" fillId="2" borderId="59" xfId="0" applyFont="1" applyFill="1" applyBorder="1" applyAlignment="1">
      <alignment vertical="center"/>
    </xf>
    <xf numFmtId="167" fontId="104" fillId="2" borderId="59" xfId="0" applyNumberFormat="1" applyFont="1" applyFill="1" applyBorder="1" applyAlignment="1">
      <alignment vertical="center"/>
    </xf>
    <xf numFmtId="0" fontId="104" fillId="2" borderId="19" xfId="0" applyFont="1" applyFill="1" applyBorder="1" applyAlignment="1">
      <alignment wrapText="1"/>
    </xf>
    <xf numFmtId="8" fontId="104" fillId="2" borderId="59" xfId="0" applyNumberFormat="1" applyFont="1" applyFill="1" applyBorder="1" applyAlignment="1">
      <alignment wrapText="1"/>
    </xf>
    <xf numFmtId="10" fontId="67" fillId="2" borderId="59" xfId="2" applyNumberFormat="1" applyFont="1" applyFill="1" applyBorder="1" applyAlignment="1">
      <alignment wrapText="1"/>
    </xf>
    <xf numFmtId="167" fontId="104" fillId="2" borderId="20" xfId="0" applyNumberFormat="1" applyFont="1" applyFill="1" applyBorder="1" applyAlignment="1">
      <alignment wrapText="1"/>
    </xf>
    <xf numFmtId="0" fontId="104" fillId="2" borderId="0" xfId="0" applyFont="1" applyFill="1" applyAlignment="1">
      <alignment wrapText="1"/>
    </xf>
    <xf numFmtId="0" fontId="104" fillId="2" borderId="32" xfId="0" applyFont="1" applyFill="1" applyBorder="1"/>
    <xf numFmtId="8" fontId="104" fillId="2" borderId="60" xfId="0" applyNumberFormat="1" applyFont="1" applyFill="1" applyBorder="1"/>
    <xf numFmtId="10" fontId="67" fillId="2" borderId="60" xfId="2" applyNumberFormat="1" applyFont="1" applyFill="1" applyBorder="1"/>
    <xf numFmtId="0" fontId="66" fillId="2" borderId="36" xfId="0" applyFont="1" applyFill="1" applyBorder="1"/>
    <xf numFmtId="167" fontId="104" fillId="2" borderId="37" xfId="1" applyNumberFormat="1" applyFont="1" applyFill="1" applyBorder="1"/>
    <xf numFmtId="0" fontId="66" fillId="2" borderId="61" xfId="0" applyFont="1" applyFill="1" applyBorder="1"/>
    <xf numFmtId="167" fontId="104" fillId="2" borderId="61" xfId="1" applyNumberFormat="1" applyFont="1" applyFill="1" applyBorder="1"/>
    <xf numFmtId="0" fontId="66" fillId="2" borderId="19" xfId="0" applyFont="1" applyFill="1" applyBorder="1"/>
    <xf numFmtId="167" fontId="104" fillId="2" borderId="20" xfId="1" applyNumberFormat="1" applyFont="1" applyFill="1" applyBorder="1"/>
    <xf numFmtId="0" fontId="66" fillId="2" borderId="59" xfId="0" applyFont="1" applyFill="1" applyBorder="1"/>
    <xf numFmtId="167" fontId="104" fillId="2" borderId="59" xfId="1" applyNumberFormat="1" applyFont="1" applyFill="1" applyBorder="1"/>
    <xf numFmtId="10" fontId="104" fillId="2" borderId="20" xfId="2" applyNumberFormat="1" applyFont="1" applyFill="1" applyBorder="1"/>
    <xf numFmtId="10" fontId="104" fillId="2" borderId="59" xfId="2" applyNumberFormat="1" applyFont="1" applyFill="1" applyBorder="1"/>
    <xf numFmtId="0" fontId="66" fillId="2" borderId="32" xfId="0" applyFont="1" applyFill="1" applyBorder="1" applyAlignment="1">
      <alignment horizontal="center" wrapText="1"/>
    </xf>
    <xf numFmtId="10" fontId="104" fillId="2" borderId="33" xfId="2" applyNumberFormat="1" applyFont="1" applyFill="1" applyBorder="1" applyAlignment="1">
      <alignment horizontal="right" vertical="center" wrapText="1"/>
    </xf>
    <xf numFmtId="0" fontId="104" fillId="2" borderId="0" xfId="0" applyFont="1" applyFill="1" applyAlignment="1">
      <alignment horizontal="center"/>
    </xf>
    <xf numFmtId="0" fontId="104" fillId="2" borderId="0" xfId="0" applyFont="1" applyFill="1" applyAlignment="1">
      <alignment horizontal="center" wrapText="1"/>
    </xf>
    <xf numFmtId="0" fontId="66" fillId="2" borderId="59" xfId="0" applyFont="1" applyFill="1" applyBorder="1" applyAlignment="1">
      <alignment wrapText="1"/>
    </xf>
    <xf numFmtId="10" fontId="104" fillId="2" borderId="59" xfId="2" applyNumberFormat="1" applyFont="1" applyFill="1" applyBorder="1" applyAlignment="1">
      <alignment vertical="center" wrapText="1"/>
    </xf>
    <xf numFmtId="0" fontId="3" fillId="2" borderId="0" xfId="3" applyFill="1"/>
    <xf numFmtId="0" fontId="113" fillId="13" borderId="42" xfId="0" applyFont="1" applyFill="1" applyBorder="1" applyAlignment="1">
      <alignment horizontal="center"/>
    </xf>
    <xf numFmtId="0" fontId="114" fillId="13" borderId="56" xfId="0" applyFont="1" applyFill="1" applyBorder="1" applyAlignment="1">
      <alignment horizontal="center" vertical="center" wrapText="1"/>
    </xf>
    <xf numFmtId="0" fontId="114" fillId="13" borderId="14" xfId="0" applyFont="1" applyFill="1" applyBorder="1" applyAlignment="1">
      <alignment horizontal="center"/>
    </xf>
    <xf numFmtId="0" fontId="114" fillId="14" borderId="16" xfId="0" applyFont="1" applyFill="1" applyBorder="1" applyAlignment="1">
      <alignment horizontal="center"/>
    </xf>
    <xf numFmtId="164" fontId="115" fillId="14" borderId="17" xfId="0" applyNumberFormat="1" applyFont="1" applyFill="1" applyBorder="1" applyAlignment="1">
      <alignment wrapText="1"/>
    </xf>
    <xf numFmtId="0" fontId="114" fillId="14" borderId="14" xfId="0" applyFont="1" applyFill="1" applyBorder="1" applyAlignment="1">
      <alignment horizontal="center"/>
    </xf>
    <xf numFmtId="164" fontId="115" fillId="14" borderId="15" xfId="0" applyNumberFormat="1" applyFont="1" applyFill="1" applyBorder="1" applyAlignment="1">
      <alignment wrapText="1"/>
    </xf>
    <xf numFmtId="0" fontId="114" fillId="14" borderId="12" xfId="0" applyFont="1" applyFill="1" applyBorder="1" applyAlignment="1">
      <alignment horizontal="center"/>
    </xf>
    <xf numFmtId="164" fontId="115" fillId="14" borderId="13" xfId="0" applyNumberFormat="1" applyFont="1" applyFill="1" applyBorder="1" applyAlignment="1">
      <alignment wrapText="1"/>
    </xf>
    <xf numFmtId="0" fontId="114" fillId="14" borderId="76" xfId="0" applyFont="1" applyFill="1" applyBorder="1" applyAlignment="1">
      <alignment horizontal="center" vertical="center"/>
    </xf>
    <xf numFmtId="164" fontId="115" fillId="14" borderId="13" xfId="0" applyNumberFormat="1" applyFont="1" applyFill="1" applyBorder="1" applyAlignment="1">
      <alignment vertical="center" wrapText="1"/>
    </xf>
    <xf numFmtId="0" fontId="114" fillId="14" borderId="76" xfId="0" applyFont="1" applyFill="1" applyBorder="1" applyAlignment="1">
      <alignment horizontal="center" vertical="center" wrapText="1"/>
    </xf>
    <xf numFmtId="10" fontId="115" fillId="14" borderId="15" xfId="0" applyNumberFormat="1" applyFont="1" applyFill="1" applyBorder="1" applyAlignment="1">
      <alignment vertical="center" wrapText="1"/>
    </xf>
    <xf numFmtId="0" fontId="114" fillId="14" borderId="12" xfId="0" applyFont="1" applyFill="1" applyBorder="1" applyAlignment="1">
      <alignment horizontal="center" vertical="center" wrapText="1"/>
    </xf>
    <xf numFmtId="164" fontId="115" fillId="14" borderId="22" xfId="0" applyNumberFormat="1" applyFont="1" applyFill="1" applyBorder="1" applyAlignment="1">
      <alignment vertical="center" wrapText="1"/>
    </xf>
    <xf numFmtId="0" fontId="114" fillId="14" borderId="23" xfId="0" applyFont="1" applyFill="1" applyBorder="1" applyAlignment="1">
      <alignment horizontal="center"/>
    </xf>
    <xf numFmtId="10" fontId="115" fillId="14" borderId="24" xfId="0" applyNumberFormat="1" applyFont="1" applyFill="1" applyBorder="1" applyAlignment="1">
      <alignment wrapText="1"/>
    </xf>
    <xf numFmtId="0" fontId="114" fillId="13" borderId="77" xfId="0" applyFont="1" applyFill="1" applyBorder="1" applyAlignment="1">
      <alignment horizontal="center" vertical="center" wrapText="1"/>
    </xf>
    <xf numFmtId="0" fontId="114" fillId="13" borderId="43" xfId="0" applyFont="1" applyFill="1" applyBorder="1" applyAlignment="1">
      <alignment horizontal="center" vertical="center" wrapText="1"/>
    </xf>
    <xf numFmtId="0" fontId="3" fillId="2" borderId="0" xfId="3" applyFill="1" applyAlignment="1">
      <alignment vertical="top"/>
    </xf>
    <xf numFmtId="0" fontId="111" fillId="43" borderId="109" xfId="7" applyAlignment="1" applyProtection="1">
      <alignment horizontal="left" vertical="center" wrapText="1"/>
      <protection locked="0"/>
    </xf>
    <xf numFmtId="164" fontId="111" fillId="43" borderId="109" xfId="7" applyNumberFormat="1" applyAlignment="1" applyProtection="1">
      <alignment vertical="center" wrapText="1"/>
      <protection locked="0"/>
    </xf>
    <xf numFmtId="0" fontId="111" fillId="43" borderId="109" xfId="7" applyAlignment="1" applyProtection="1">
      <alignment vertical="center" wrapText="1"/>
      <protection locked="0"/>
    </xf>
    <xf numFmtId="10" fontId="111" fillId="43" borderId="109" xfId="7" applyNumberFormat="1" applyAlignment="1" applyProtection="1">
      <alignment vertical="center" wrapText="1"/>
      <protection locked="0"/>
    </xf>
    <xf numFmtId="164" fontId="111" fillId="43" borderId="109" xfId="7" applyNumberFormat="1" applyAlignment="1" applyProtection="1">
      <alignment wrapText="1"/>
      <protection locked="0"/>
    </xf>
    <xf numFmtId="0" fontId="111" fillId="43" borderId="109" xfId="7" applyAlignment="1" applyProtection="1">
      <alignment wrapText="1"/>
      <protection locked="0"/>
    </xf>
    <xf numFmtId="0" fontId="116" fillId="13" borderId="42" xfId="0" applyFont="1" applyFill="1" applyBorder="1" applyAlignment="1">
      <alignment horizontal="center"/>
    </xf>
    <xf numFmtId="0" fontId="117" fillId="13" borderId="56" xfId="0" applyFont="1" applyFill="1" applyBorder="1" applyAlignment="1">
      <alignment horizontal="center" vertical="center" wrapText="1"/>
    </xf>
    <xf numFmtId="0" fontId="117" fillId="13" borderId="14" xfId="0" applyFont="1" applyFill="1" applyBorder="1" applyAlignment="1">
      <alignment horizontal="center"/>
    </xf>
    <xf numFmtId="0" fontId="117" fillId="14" borderId="16" xfId="0" applyFont="1" applyFill="1" applyBorder="1" applyAlignment="1">
      <alignment horizontal="center"/>
    </xf>
    <xf numFmtId="164" fontId="118" fillId="14" borderId="17" xfId="0" applyNumberFormat="1" applyFont="1" applyFill="1" applyBorder="1" applyAlignment="1">
      <alignment wrapText="1"/>
    </xf>
    <xf numFmtId="0" fontId="117" fillId="14" borderId="14" xfId="0" applyFont="1" applyFill="1" applyBorder="1" applyAlignment="1">
      <alignment horizontal="center"/>
    </xf>
    <xf numFmtId="164" fontId="118" fillId="14" borderId="15" xfId="0" applyNumberFormat="1" applyFont="1" applyFill="1" applyBorder="1" applyAlignment="1">
      <alignment wrapText="1"/>
    </xf>
    <xf numFmtId="0" fontId="117" fillId="14" borderId="12" xfId="0" applyFont="1" applyFill="1" applyBorder="1" applyAlignment="1">
      <alignment horizontal="center"/>
    </xf>
    <xf numFmtId="164" fontId="118" fillId="14" borderId="13" xfId="0" applyNumberFormat="1" applyFont="1" applyFill="1" applyBorder="1" applyAlignment="1">
      <alignment wrapText="1"/>
    </xf>
    <xf numFmtId="0" fontId="117" fillId="14" borderId="76" xfId="0" applyFont="1" applyFill="1" applyBorder="1" applyAlignment="1">
      <alignment horizontal="center" vertical="center"/>
    </xf>
    <xf numFmtId="164" fontId="118" fillId="14" borderId="13" xfId="0" applyNumberFormat="1" applyFont="1" applyFill="1" applyBorder="1" applyAlignment="1">
      <alignment vertical="center" wrapText="1"/>
    </xf>
    <xf numFmtId="0" fontId="117" fillId="14" borderId="76" xfId="0" applyFont="1" applyFill="1" applyBorder="1" applyAlignment="1">
      <alignment horizontal="center" vertical="center" wrapText="1"/>
    </xf>
    <xf numFmtId="10" fontId="118" fillId="14" borderId="15" xfId="0" applyNumberFormat="1" applyFont="1" applyFill="1" applyBorder="1" applyAlignment="1">
      <alignment vertical="center" wrapText="1"/>
    </xf>
    <xf numFmtId="0" fontId="117" fillId="14" borderId="12" xfId="0" applyFont="1" applyFill="1" applyBorder="1" applyAlignment="1">
      <alignment horizontal="center" vertical="center" wrapText="1"/>
    </xf>
    <xf numFmtId="164" fontId="118" fillId="14" borderId="22" xfId="0" applyNumberFormat="1" applyFont="1" applyFill="1" applyBorder="1" applyAlignment="1">
      <alignment vertical="center" wrapText="1"/>
    </xf>
    <xf numFmtId="0" fontId="117" fillId="14" borderId="23" xfId="0" applyFont="1" applyFill="1" applyBorder="1" applyAlignment="1">
      <alignment horizontal="center"/>
    </xf>
    <xf numFmtId="10" fontId="118" fillId="14" borderId="24" xfId="0" applyNumberFormat="1" applyFont="1" applyFill="1" applyBorder="1" applyAlignment="1">
      <alignment wrapText="1"/>
    </xf>
    <xf numFmtId="0" fontId="117" fillId="13" borderId="77" xfId="0" applyFont="1" applyFill="1" applyBorder="1" applyAlignment="1">
      <alignment horizontal="center" vertical="center" wrapText="1"/>
    </xf>
    <xf numFmtId="0" fontId="117" fillId="13" borderId="43" xfId="0" applyFont="1" applyFill="1" applyBorder="1" applyAlignment="1">
      <alignment horizontal="center" vertical="center" wrapText="1"/>
    </xf>
    <xf numFmtId="165" fontId="111" fillId="43" borderId="109" xfId="7" applyNumberFormat="1" applyAlignment="1" applyProtection="1">
      <alignment wrapText="1"/>
      <protection locked="0"/>
    </xf>
    <xf numFmtId="0" fontId="111" fillId="43" borderId="109" xfId="7" applyProtection="1">
      <protection locked="0"/>
    </xf>
    <xf numFmtId="10" fontId="111" fillId="43" borderId="109" xfId="7" applyNumberFormat="1" applyProtection="1">
      <protection locked="0"/>
    </xf>
    <xf numFmtId="0" fontId="0" fillId="2" borderId="0" xfId="0" applyFill="1" applyAlignment="1">
      <alignment horizontal="center"/>
    </xf>
    <xf numFmtId="0" fontId="8" fillId="44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44" borderId="14" xfId="0" applyFont="1" applyFill="1" applyBorder="1" applyAlignment="1">
      <alignment horizontal="center"/>
    </xf>
    <xf numFmtId="0" fontId="8" fillId="44" borderId="0" xfId="0" applyFont="1" applyFill="1" applyAlignment="1">
      <alignment horizontal="center"/>
    </xf>
    <xf numFmtId="164" fontId="12" fillId="28" borderId="4" xfId="0" applyNumberFormat="1" applyFont="1" applyFill="1" applyBorder="1" applyAlignment="1">
      <alignment vertical="center" wrapText="1"/>
    </xf>
    <xf numFmtId="164" fontId="13" fillId="28" borderId="6" xfId="0" applyNumberFormat="1" applyFont="1" applyFill="1" applyBorder="1" applyAlignment="1">
      <alignment vertical="center" wrapText="1"/>
    </xf>
    <xf numFmtId="0" fontId="38" fillId="46" borderId="50" xfId="0" applyFont="1" applyFill="1" applyBorder="1" applyAlignment="1">
      <alignment horizontal="center" vertical="center"/>
    </xf>
    <xf numFmtId="164" fontId="28" fillId="46" borderId="51" xfId="0" applyNumberFormat="1" applyFont="1" applyFill="1" applyBorder="1" applyAlignment="1">
      <alignment vertical="center" wrapText="1"/>
    </xf>
    <xf numFmtId="0" fontId="38" fillId="46" borderId="19" xfId="0" applyFont="1" applyFill="1" applyBorder="1" applyAlignment="1">
      <alignment horizontal="center" vertical="center"/>
    </xf>
    <xf numFmtId="164" fontId="28" fillId="46" borderId="20" xfId="0" applyNumberFormat="1" applyFont="1" applyFill="1" applyBorder="1" applyAlignment="1">
      <alignment vertical="center" wrapText="1"/>
    </xf>
    <xf numFmtId="0" fontId="38" fillId="46" borderId="32" xfId="0" applyFont="1" applyFill="1" applyBorder="1" applyAlignment="1">
      <alignment horizontal="center" vertical="center"/>
    </xf>
    <xf numFmtId="0" fontId="17" fillId="48" borderId="1" xfId="0" applyFont="1" applyFill="1" applyBorder="1" applyAlignment="1">
      <alignment horizontal="center" vertical="center" wrapText="1"/>
    </xf>
    <xf numFmtId="165" fontId="18" fillId="48" borderId="2" xfId="0" applyNumberFormat="1" applyFont="1" applyFill="1" applyBorder="1" applyAlignment="1">
      <alignment vertical="center"/>
    </xf>
    <xf numFmtId="0" fontId="17" fillId="48" borderId="5" xfId="0" applyFont="1" applyFill="1" applyBorder="1" applyAlignment="1">
      <alignment horizontal="center" vertical="center" wrapText="1"/>
    </xf>
    <xf numFmtId="165" fontId="18" fillId="48" borderId="6" xfId="0" applyNumberFormat="1" applyFont="1" applyFill="1" applyBorder="1" applyAlignment="1">
      <alignment vertical="center"/>
    </xf>
    <xf numFmtId="0" fontId="0" fillId="49" borderId="0" xfId="0" applyFill="1"/>
    <xf numFmtId="169" fontId="111" fillId="43" borderId="109" xfId="7" applyNumberFormat="1" applyAlignment="1">
      <alignment horizontal="right"/>
    </xf>
    <xf numFmtId="0" fontId="111" fillId="43" borderId="109" xfId="7" applyAlignment="1">
      <alignment horizontal="right"/>
    </xf>
    <xf numFmtId="44" fontId="111" fillId="43" borderId="109" xfId="7" applyNumberFormat="1" applyAlignment="1">
      <alignment horizontal="right"/>
    </xf>
    <xf numFmtId="10" fontId="111" fillId="43" borderId="109" xfId="7" applyNumberFormat="1" applyAlignment="1" applyProtection="1">
      <alignment wrapText="1"/>
      <protection locked="0"/>
    </xf>
    <xf numFmtId="10" fontId="111" fillId="43" borderId="109" xfId="7" applyNumberFormat="1" applyAlignment="1" applyProtection="1">
      <alignment horizontal="right" vertical="center"/>
      <protection locked="0"/>
    </xf>
    <xf numFmtId="0" fontId="66" fillId="50" borderId="50" xfId="0" applyFont="1" applyFill="1" applyBorder="1" applyAlignment="1">
      <alignment horizontal="center" vertical="center" wrapText="1"/>
    </xf>
    <xf numFmtId="0" fontId="66" fillId="50" borderId="32" xfId="0" applyFont="1" applyFill="1" applyBorder="1" applyAlignment="1">
      <alignment horizontal="center" vertical="center" wrapText="1"/>
    </xf>
    <xf numFmtId="0" fontId="9" fillId="33" borderId="42" xfId="0" applyFont="1" applyFill="1" applyBorder="1" applyAlignment="1">
      <alignment horizontal="center" vertical="center"/>
    </xf>
    <xf numFmtId="0" fontId="41" fillId="51" borderId="14" xfId="0" applyFont="1" applyFill="1" applyBorder="1" applyAlignment="1">
      <alignment horizontal="center" vertical="center" wrapText="1"/>
    </xf>
    <xf numFmtId="0" fontId="41" fillId="51" borderId="12" xfId="0" applyFont="1" applyFill="1" applyBorder="1" applyAlignment="1">
      <alignment horizontal="center" vertical="center" wrapText="1"/>
    </xf>
    <xf numFmtId="164" fontId="40" fillId="51" borderId="13" xfId="0" applyNumberFormat="1" applyFont="1" applyFill="1" applyBorder="1" applyAlignment="1">
      <alignment vertical="center" wrapText="1"/>
    </xf>
    <xf numFmtId="0" fontId="9" fillId="24" borderId="40" xfId="0" applyFont="1" applyFill="1" applyBorder="1" applyAlignment="1">
      <alignment horizontal="center" vertical="center"/>
    </xf>
    <xf numFmtId="0" fontId="51" fillId="13" borderId="38" xfId="0" applyFont="1" applyFill="1" applyBorder="1" applyAlignment="1">
      <alignment horizontal="center" vertical="center"/>
    </xf>
    <xf numFmtId="165" fontId="53" fillId="14" borderId="39" xfId="0" applyNumberFormat="1" applyFont="1" applyFill="1" applyBorder="1" applyAlignment="1">
      <alignment horizontal="right" wrapText="1"/>
    </xf>
    <xf numFmtId="0" fontId="0" fillId="11" borderId="0" xfId="0" applyFill="1"/>
    <xf numFmtId="0" fontId="125" fillId="11" borderId="70" xfId="0" applyFont="1" applyFill="1" applyBorder="1" applyAlignment="1">
      <alignment horizontal="center"/>
    </xf>
    <xf numFmtId="0" fontId="66" fillId="52" borderId="50" xfId="0" applyFont="1" applyFill="1" applyBorder="1" applyAlignment="1">
      <alignment horizontal="center" vertical="center" wrapText="1"/>
    </xf>
    <xf numFmtId="164" fontId="10" fillId="52" borderId="51" xfId="0" applyNumberFormat="1" applyFont="1" applyFill="1" applyBorder="1" applyAlignment="1" applyProtection="1">
      <alignment wrapText="1"/>
      <protection locked="0"/>
    </xf>
    <xf numFmtId="0" fontId="66" fillId="52" borderId="32" xfId="0" applyFont="1" applyFill="1" applyBorder="1" applyAlignment="1">
      <alignment horizontal="center" vertical="center" wrapText="1"/>
    </xf>
    <xf numFmtId="164" fontId="10" fillId="52" borderId="33" xfId="0" applyNumberFormat="1" applyFont="1" applyFill="1" applyBorder="1" applyAlignment="1" applyProtection="1">
      <alignment wrapText="1"/>
      <protection locked="0"/>
    </xf>
    <xf numFmtId="167" fontId="111" fillId="43" borderId="109" xfId="7" applyNumberFormat="1" applyProtection="1">
      <protection locked="0"/>
    </xf>
    <xf numFmtId="0" fontId="0" fillId="18" borderId="0" xfId="0" applyFill="1"/>
    <xf numFmtId="0" fontId="0" fillId="53" borderId="0" xfId="0" applyFill="1"/>
    <xf numFmtId="0" fontId="0" fillId="11" borderId="97" xfId="0" applyFill="1" applyBorder="1"/>
    <xf numFmtId="0" fontId="0" fillId="11" borderId="44" xfId="0" applyFill="1" applyBorder="1"/>
    <xf numFmtId="0" fontId="108" fillId="11" borderId="110" xfId="4" applyFill="1" applyBorder="1"/>
    <xf numFmtId="0" fontId="0" fillId="11" borderId="103" xfId="0" applyFill="1" applyBorder="1"/>
    <xf numFmtId="0" fontId="0" fillId="11" borderId="72" xfId="0" applyFill="1" applyBorder="1"/>
    <xf numFmtId="0" fontId="0" fillId="11" borderId="69" xfId="0" applyFill="1" applyBorder="1"/>
    <xf numFmtId="0" fontId="124" fillId="11" borderId="0" xfId="5" applyFont="1" applyFill="1" applyBorder="1"/>
    <xf numFmtId="0" fontId="109" fillId="11" borderId="0" xfId="5" applyFill="1" applyBorder="1"/>
    <xf numFmtId="0" fontId="3" fillId="11" borderId="0" xfId="3" applyFill="1" applyBorder="1" applyAlignment="1">
      <alignment horizontal="left"/>
    </xf>
    <xf numFmtId="0" fontId="112" fillId="11" borderId="0" xfId="6" applyFont="1" applyFill="1" applyBorder="1"/>
    <xf numFmtId="0" fontId="120" fillId="11" borderId="0" xfId="3" applyFont="1" applyFill="1" applyBorder="1"/>
    <xf numFmtId="0" fontId="3" fillId="11" borderId="0" xfId="3" applyFill="1" applyBorder="1"/>
    <xf numFmtId="0" fontId="3" fillId="11" borderId="0" xfId="3" quotePrefix="1" applyFill="1" applyBorder="1" applyAlignment="1">
      <alignment horizontal="left"/>
    </xf>
    <xf numFmtId="0" fontId="0" fillId="11" borderId="54" xfId="0" applyFill="1" applyBorder="1"/>
    <xf numFmtId="0" fontId="0" fillId="11" borderId="71" xfId="0" applyFill="1" applyBorder="1"/>
    <xf numFmtId="0" fontId="0" fillId="11" borderId="92" xfId="0" applyFill="1" applyBorder="1"/>
    <xf numFmtId="0" fontId="128" fillId="18" borderId="0" xfId="0" applyFont="1" applyFill="1"/>
    <xf numFmtId="0" fontId="3" fillId="32" borderId="0" xfId="3" applyFill="1"/>
    <xf numFmtId="0" fontId="41" fillId="51" borderId="111" xfId="0" applyFont="1" applyFill="1" applyBorder="1" applyAlignment="1">
      <alignment horizontal="center" vertical="center" wrapText="1"/>
    </xf>
    <xf numFmtId="164" fontId="40" fillId="51" borderId="31" xfId="0" applyNumberFormat="1" applyFont="1" applyFill="1" applyBorder="1" applyAlignment="1">
      <alignment vertical="center" wrapText="1"/>
    </xf>
    <xf numFmtId="164" fontId="40" fillId="51" borderId="17" xfId="0" applyNumberFormat="1" applyFont="1" applyFill="1" applyBorder="1" applyAlignment="1">
      <alignment vertical="center" wrapText="1"/>
    </xf>
    <xf numFmtId="0" fontId="129" fillId="33" borderId="59" xfId="7" applyFont="1" applyFill="1" applyBorder="1" applyAlignment="1" applyProtection="1">
      <alignment vertical="center" wrapText="1"/>
    </xf>
    <xf numFmtId="0" fontId="41" fillId="29" borderId="111" xfId="0" applyFont="1" applyFill="1" applyBorder="1" applyAlignment="1">
      <alignment horizontal="center" vertical="center" wrapText="1"/>
    </xf>
    <xf numFmtId="164" fontId="40" fillId="29" borderId="31" xfId="0" applyNumberFormat="1" applyFont="1" applyFill="1" applyBorder="1" applyAlignment="1">
      <alignment wrapText="1"/>
    </xf>
    <xf numFmtId="164" fontId="40" fillId="29" borderId="17" xfId="0" applyNumberFormat="1" applyFont="1" applyFill="1" applyBorder="1" applyAlignment="1">
      <alignment wrapText="1"/>
    </xf>
    <xf numFmtId="164" fontId="129" fillId="54" borderId="59" xfId="7" applyNumberFormat="1" applyFont="1" applyFill="1" applyBorder="1" applyAlignment="1" applyProtection="1">
      <alignment wrapText="1"/>
    </xf>
    <xf numFmtId="165" fontId="111" fillId="43" borderId="109" xfId="7" applyNumberFormat="1" applyProtection="1">
      <protection locked="0"/>
    </xf>
    <xf numFmtId="165" fontId="111" fillId="43" borderId="109" xfId="7" applyNumberFormat="1" applyAlignment="1" applyProtection="1">
      <alignment vertical="center"/>
      <protection locked="0"/>
    </xf>
    <xf numFmtId="0" fontId="110" fillId="33" borderId="112" xfId="6" applyFill="1" applyBorder="1" applyAlignment="1">
      <alignment horizontal="center"/>
    </xf>
    <xf numFmtId="0" fontId="110" fillId="33" borderId="113" xfId="6" applyFill="1" applyBorder="1" applyAlignment="1">
      <alignment horizontal="center"/>
    </xf>
    <xf numFmtId="0" fontId="110" fillId="33" borderId="114" xfId="6" applyFill="1" applyBorder="1" applyAlignment="1">
      <alignment horizontal="center"/>
    </xf>
    <xf numFmtId="0" fontId="0" fillId="33" borderId="54" xfId="0" applyFill="1" applyBorder="1"/>
    <xf numFmtId="44" fontId="0" fillId="33" borderId="71" xfId="1" applyFont="1" applyFill="1" applyBorder="1"/>
    <xf numFmtId="10" fontId="0" fillId="33" borderId="71" xfId="2" applyNumberFormat="1" applyFont="1" applyFill="1" applyBorder="1"/>
    <xf numFmtId="44" fontId="0" fillId="33" borderId="92" xfId="1" applyFont="1" applyFill="1" applyBorder="1"/>
    <xf numFmtId="0" fontId="122" fillId="2" borderId="0" xfId="0" applyFont="1" applyFill="1"/>
    <xf numFmtId="0" fontId="122" fillId="33" borderId="65" xfId="0" applyFont="1" applyFill="1" applyBorder="1" applyAlignment="1">
      <alignment horizontal="center"/>
    </xf>
    <xf numFmtId="0" fontId="122" fillId="2" borderId="0" xfId="0" applyFont="1" applyFill="1" applyAlignment="1">
      <alignment horizontal="center"/>
    </xf>
    <xf numFmtId="0" fontId="110" fillId="19" borderId="112" xfId="6" applyFill="1" applyBorder="1" applyAlignment="1">
      <alignment horizontal="center" vertical="center" wrapText="1"/>
    </xf>
    <xf numFmtId="0" fontId="110" fillId="19" borderId="113" xfId="6" applyFill="1" applyBorder="1" applyAlignment="1">
      <alignment horizontal="center" vertical="center" wrapText="1"/>
    </xf>
    <xf numFmtId="0" fontId="110" fillId="19" borderId="114" xfId="6" applyFill="1" applyBorder="1" applyAlignment="1">
      <alignment horizontal="center" vertical="center" wrapText="1"/>
    </xf>
    <xf numFmtId="0" fontId="0" fillId="19" borderId="54" xfId="0" applyFill="1" applyBorder="1"/>
    <xf numFmtId="44" fontId="0" fillId="19" borderId="71" xfId="0" applyNumberFormat="1" applyFill="1" applyBorder="1" applyAlignment="1">
      <alignment wrapText="1"/>
    </xf>
    <xf numFmtId="44" fontId="0" fillId="19" borderId="71" xfId="1" applyFont="1" applyFill="1" applyBorder="1" applyAlignment="1">
      <alignment wrapText="1"/>
    </xf>
    <xf numFmtId="10" fontId="0" fillId="19" borderId="71" xfId="2" applyNumberFormat="1" applyFont="1" applyFill="1" applyBorder="1" applyAlignment="1">
      <alignment wrapText="1"/>
    </xf>
    <xf numFmtId="10" fontId="0" fillId="19" borderId="92" xfId="2" applyNumberFormat="1" applyFont="1" applyFill="1" applyBorder="1" applyAlignment="1">
      <alignment wrapText="1"/>
    </xf>
    <xf numFmtId="0" fontId="122" fillId="19" borderId="65" xfId="0" applyFont="1" applyFill="1" applyBorder="1" applyAlignment="1">
      <alignment horizontal="center"/>
    </xf>
    <xf numFmtId="164" fontId="59" fillId="41" borderId="20" xfId="1" applyNumberFormat="1" applyFont="1" applyFill="1" applyBorder="1"/>
    <xf numFmtId="0" fontId="84" fillId="36" borderId="50" xfId="0" applyFont="1" applyFill="1" applyBorder="1" applyAlignment="1">
      <alignment horizontal="center"/>
    </xf>
    <xf numFmtId="10" fontId="85" fillId="36" borderId="51" xfId="2" applyNumberFormat="1" applyFont="1" applyFill="1" applyBorder="1"/>
    <xf numFmtId="0" fontId="130" fillId="2" borderId="0" xfId="3" applyFont="1" applyFill="1"/>
    <xf numFmtId="0" fontId="130" fillId="2" borderId="80" xfId="3" applyFont="1" applyFill="1" applyBorder="1"/>
    <xf numFmtId="44" fontId="0" fillId="2" borderId="80" xfId="0" applyNumberFormat="1" applyFill="1" applyBorder="1"/>
    <xf numFmtId="0" fontId="122" fillId="2" borderId="0" xfId="0" applyFont="1" applyFill="1" applyAlignment="1">
      <alignment horizontal="left"/>
    </xf>
    <xf numFmtId="0" fontId="121" fillId="2" borderId="80" xfId="0" applyFont="1" applyFill="1" applyBorder="1"/>
    <xf numFmtId="44" fontId="0" fillId="2" borderId="0" xfId="0" applyNumberFormat="1" applyFill="1" applyAlignment="1">
      <alignment wrapText="1"/>
    </xf>
    <xf numFmtId="44" fontId="0" fillId="2" borderId="0" xfId="1" applyFont="1" applyFill="1" applyBorder="1" applyAlignment="1">
      <alignment wrapText="1"/>
    </xf>
    <xf numFmtId="10" fontId="0" fillId="2" borderId="0" xfId="2" applyNumberFormat="1" applyFont="1" applyFill="1" applyBorder="1" applyAlignment="1">
      <alignment wrapText="1"/>
    </xf>
    <xf numFmtId="0" fontId="122" fillId="2" borderId="0" xfId="0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 wrapText="1"/>
    </xf>
    <xf numFmtId="0" fontId="110" fillId="55" borderId="112" xfId="6" applyFill="1" applyBorder="1" applyAlignment="1">
      <alignment horizontal="center" vertical="center"/>
    </xf>
    <xf numFmtId="0" fontId="110" fillId="55" borderId="113" xfId="6" applyFill="1" applyBorder="1" applyAlignment="1">
      <alignment horizontal="center" vertical="center"/>
    </xf>
    <xf numFmtId="44" fontId="110" fillId="55" borderId="113" xfId="6" applyNumberFormat="1" applyFill="1" applyBorder="1" applyAlignment="1">
      <alignment horizontal="center" vertical="center" wrapText="1"/>
    </xf>
    <xf numFmtId="44" fontId="110" fillId="55" borderId="114" xfId="6" applyNumberFormat="1" applyFill="1" applyBorder="1" applyAlignment="1">
      <alignment horizontal="center" vertical="center" wrapText="1"/>
    </xf>
    <xf numFmtId="10" fontId="0" fillId="55" borderId="54" xfId="0" applyNumberFormat="1" applyFill="1" applyBorder="1"/>
    <xf numFmtId="0" fontId="0" fillId="55" borderId="71" xfId="0" applyFill="1" applyBorder="1"/>
    <xf numFmtId="8" fontId="0" fillId="55" borderId="71" xfId="0" applyNumberFormat="1" applyFill="1" applyBorder="1"/>
    <xf numFmtId="10" fontId="0" fillId="55" borderId="92" xfId="2" applyNumberFormat="1" applyFont="1" applyFill="1" applyBorder="1"/>
    <xf numFmtId="171" fontId="0" fillId="2" borderId="0" xfId="0" applyNumberFormat="1" applyFill="1"/>
    <xf numFmtId="0" fontId="12" fillId="2" borderId="0" xfId="0" applyFont="1" applyFill="1"/>
    <xf numFmtId="167" fontId="131" fillId="16" borderId="59" xfId="1" applyNumberFormat="1" applyFont="1" applyFill="1" applyBorder="1"/>
    <xf numFmtId="0" fontId="111" fillId="43" borderId="109" xfId="7" applyAlignment="1">
      <alignment horizontal="right" wrapText="1"/>
    </xf>
    <xf numFmtId="0" fontId="111" fillId="43" borderId="109" xfId="7" applyAlignment="1" applyProtection="1">
      <alignment horizontal="left"/>
      <protection locked="0"/>
    </xf>
    <xf numFmtId="165" fontId="6" fillId="16" borderId="115" xfId="0" applyNumberFormat="1" applyFont="1" applyFill="1" applyBorder="1" applyAlignment="1">
      <alignment wrapText="1"/>
    </xf>
    <xf numFmtId="0" fontId="41" fillId="16" borderId="117" xfId="0" applyFont="1" applyFill="1" applyBorder="1" applyAlignment="1">
      <alignment vertical="center"/>
    </xf>
    <xf numFmtId="10" fontId="129" fillId="16" borderId="118" xfId="7" applyNumberFormat="1" applyFont="1" applyFill="1" applyBorder="1" applyAlignment="1" applyProtection="1">
      <alignment wrapText="1"/>
      <protection locked="0"/>
    </xf>
    <xf numFmtId="0" fontId="0" fillId="2" borderId="72" xfId="0" applyFill="1" applyBorder="1"/>
    <xf numFmtId="0" fontId="122" fillId="2" borderId="80" xfId="0" applyFont="1" applyFill="1" applyBorder="1"/>
    <xf numFmtId="10" fontId="0" fillId="2" borderId="80" xfId="0" applyNumberFormat="1" applyFill="1" applyBorder="1"/>
    <xf numFmtId="0" fontId="132" fillId="49" borderId="0" xfId="0" applyFont="1" applyFill="1"/>
    <xf numFmtId="0" fontId="104" fillId="3" borderId="97" xfId="3" applyFont="1" applyFill="1" applyBorder="1" applyAlignment="1"/>
    <xf numFmtId="0" fontId="0" fillId="3" borderId="54" xfId="0" applyFill="1" applyBorder="1"/>
    <xf numFmtId="172" fontId="111" fillId="43" borderId="109" xfId="7" applyNumberFormat="1" applyAlignment="1">
      <alignment wrapText="1"/>
    </xf>
    <xf numFmtId="0" fontId="20" fillId="10" borderId="76" xfId="0" applyFont="1" applyFill="1" applyBorder="1" applyAlignment="1">
      <alignment horizontal="center"/>
    </xf>
    <xf numFmtId="164" fontId="21" fillId="10" borderId="120" xfId="0" applyNumberFormat="1" applyFont="1" applyFill="1" applyBorder="1" applyAlignment="1">
      <alignment wrapText="1"/>
    </xf>
    <xf numFmtId="0" fontId="0" fillId="3" borderId="72" xfId="0" applyFill="1" applyBorder="1"/>
    <xf numFmtId="164" fontId="133" fillId="11" borderId="121" xfId="7" applyNumberFormat="1" applyFont="1" applyFill="1" applyBorder="1" applyAlignment="1" applyProtection="1">
      <alignment wrapText="1"/>
      <protection locked="0"/>
    </xf>
    <xf numFmtId="164" fontId="111" fillId="43" borderId="116" xfId="7" applyNumberFormat="1" applyBorder="1" applyAlignment="1" applyProtection="1">
      <alignment vertical="center" wrapText="1"/>
      <protection locked="0"/>
    </xf>
    <xf numFmtId="0" fontId="8" fillId="28" borderId="122" xfId="0" applyFont="1" applyFill="1" applyBorder="1" applyAlignment="1">
      <alignment horizontal="center" vertical="center"/>
    </xf>
    <xf numFmtId="0" fontId="111" fillId="43" borderId="119" xfId="7" applyBorder="1" applyAlignment="1" applyProtection="1">
      <alignment vertical="center" wrapText="1"/>
      <protection locked="0"/>
    </xf>
    <xf numFmtId="164" fontId="134" fillId="44" borderId="121" xfId="7" applyNumberFormat="1" applyFont="1" applyFill="1" applyBorder="1" applyAlignment="1" applyProtection="1">
      <alignment vertical="center" wrapText="1"/>
      <protection locked="0"/>
    </xf>
    <xf numFmtId="0" fontId="11" fillId="3" borderId="72" xfId="0" applyFont="1" applyFill="1" applyBorder="1"/>
    <xf numFmtId="0" fontId="4" fillId="2" borderId="0" xfId="0" applyFont="1" applyFill="1"/>
    <xf numFmtId="0" fontId="106" fillId="2" borderId="0" xfId="0" applyFont="1" applyFill="1"/>
    <xf numFmtId="0" fontId="66" fillId="2" borderId="0" xfId="0" applyFont="1" applyFill="1"/>
    <xf numFmtId="0" fontId="104" fillId="3" borderId="50" xfId="0" applyFont="1" applyFill="1" applyBorder="1" applyAlignment="1">
      <alignment horizontal="center" vertical="center"/>
    </xf>
    <xf numFmtId="44" fontId="104" fillId="3" borderId="51" xfId="1" applyFont="1" applyFill="1" applyBorder="1" applyAlignment="1">
      <alignment horizontal="right"/>
    </xf>
    <xf numFmtId="0" fontId="104" fillId="3" borderId="19" xfId="0" applyFont="1" applyFill="1" applyBorder="1" applyAlignment="1">
      <alignment horizontal="center" vertical="center"/>
    </xf>
    <xf numFmtId="44" fontId="104" fillId="3" borderId="20" xfId="1" applyFont="1" applyFill="1" applyBorder="1" applyAlignment="1">
      <alignment horizontal="right"/>
    </xf>
    <xf numFmtId="44" fontId="104" fillId="3" borderId="20" xfId="1" applyFont="1" applyFill="1" applyBorder="1"/>
    <xf numFmtId="8" fontId="104" fillId="3" borderId="20" xfId="1" applyNumberFormat="1" applyFont="1" applyFill="1" applyBorder="1"/>
    <xf numFmtId="10" fontId="104" fillId="3" borderId="20" xfId="1" applyNumberFormat="1" applyFont="1" applyFill="1" applyBorder="1"/>
    <xf numFmtId="10" fontId="104" fillId="3" borderId="20" xfId="2" applyNumberFormat="1" applyFont="1" applyFill="1" applyBorder="1"/>
    <xf numFmtId="8" fontId="104" fillId="3" borderId="20" xfId="0" applyNumberFormat="1" applyFont="1" applyFill="1" applyBorder="1"/>
    <xf numFmtId="0" fontId="104" fillId="3" borderId="32" xfId="0" applyFont="1" applyFill="1" applyBorder="1" applyAlignment="1">
      <alignment horizontal="center" vertical="center"/>
    </xf>
    <xf numFmtId="170" fontId="104" fillId="3" borderId="33" xfId="0" applyNumberFormat="1" applyFont="1" applyFill="1" applyBorder="1"/>
    <xf numFmtId="0" fontId="104" fillId="55" borderId="50" xfId="0" applyFont="1" applyFill="1" applyBorder="1" applyAlignment="1">
      <alignment horizontal="center" vertical="center"/>
    </xf>
    <xf numFmtId="44" fontId="104" fillId="55" borderId="51" xfId="1" applyFont="1" applyFill="1" applyBorder="1" applyAlignment="1">
      <alignment horizontal="right"/>
    </xf>
    <xf numFmtId="0" fontId="104" fillId="55" borderId="19" xfId="0" applyFont="1" applyFill="1" applyBorder="1" applyAlignment="1">
      <alignment horizontal="center" vertical="center"/>
    </xf>
    <xf numFmtId="44" fontId="104" fillId="55" borderId="20" xfId="1" applyFont="1" applyFill="1" applyBorder="1" applyAlignment="1">
      <alignment horizontal="right"/>
    </xf>
    <xf numFmtId="44" fontId="104" fillId="55" borderId="20" xfId="1" applyFont="1" applyFill="1" applyBorder="1"/>
    <xf numFmtId="8" fontId="104" fillId="55" borderId="20" xfId="1" applyNumberFormat="1" applyFont="1" applyFill="1" applyBorder="1"/>
    <xf numFmtId="10" fontId="104" fillId="55" borderId="20" xfId="1" applyNumberFormat="1" applyFont="1" applyFill="1" applyBorder="1"/>
    <xf numFmtId="10" fontId="104" fillId="55" borderId="20" xfId="2" applyNumberFormat="1" applyFont="1" applyFill="1" applyBorder="1"/>
    <xf numFmtId="8" fontId="104" fillId="55" borderId="20" xfId="0" applyNumberFormat="1" applyFont="1" applyFill="1" applyBorder="1"/>
    <xf numFmtId="0" fontId="104" fillId="55" borderId="32" xfId="0" applyFont="1" applyFill="1" applyBorder="1" applyAlignment="1">
      <alignment horizontal="center" vertical="center"/>
    </xf>
    <xf numFmtId="170" fontId="104" fillId="55" borderId="33" xfId="0" applyNumberFormat="1" applyFont="1" applyFill="1" applyBorder="1"/>
    <xf numFmtId="0" fontId="104" fillId="11" borderId="50" xfId="0" applyFont="1" applyFill="1" applyBorder="1" applyAlignment="1">
      <alignment horizontal="center" vertical="center"/>
    </xf>
    <xf numFmtId="44" fontId="104" fillId="11" borderId="51" xfId="1" applyFont="1" applyFill="1" applyBorder="1" applyAlignment="1">
      <alignment horizontal="right"/>
    </xf>
    <xf numFmtId="0" fontId="104" fillId="11" borderId="19" xfId="0" applyFont="1" applyFill="1" applyBorder="1" applyAlignment="1">
      <alignment horizontal="center" vertical="center"/>
    </xf>
    <xf numFmtId="44" fontId="104" fillId="11" borderId="20" xfId="1" applyFont="1" applyFill="1" applyBorder="1" applyAlignment="1">
      <alignment horizontal="right"/>
    </xf>
    <xf numFmtId="0" fontId="104" fillId="11" borderId="52" xfId="0" applyFont="1" applyFill="1" applyBorder="1" applyAlignment="1">
      <alignment horizontal="center" vertical="center"/>
    </xf>
    <xf numFmtId="44" fontId="104" fillId="11" borderId="51" xfId="1" applyFont="1" applyFill="1" applyBorder="1"/>
    <xf numFmtId="44" fontId="104" fillId="11" borderId="20" xfId="1" applyFont="1" applyFill="1" applyBorder="1"/>
    <xf numFmtId="8" fontId="104" fillId="11" borderId="20" xfId="1" applyNumberFormat="1" applyFont="1" applyFill="1" applyBorder="1"/>
    <xf numFmtId="10" fontId="104" fillId="11" borderId="20" xfId="1" applyNumberFormat="1" applyFont="1" applyFill="1" applyBorder="1"/>
    <xf numFmtId="10" fontId="104" fillId="11" borderId="20" xfId="2" applyNumberFormat="1" applyFont="1" applyFill="1" applyBorder="1"/>
    <xf numFmtId="8" fontId="104" fillId="11" borderId="20" xfId="0" applyNumberFormat="1" applyFont="1" applyFill="1" applyBorder="1"/>
    <xf numFmtId="0" fontId="104" fillId="11" borderId="32" xfId="0" applyFont="1" applyFill="1" applyBorder="1" applyAlignment="1">
      <alignment horizontal="center" vertical="center"/>
    </xf>
    <xf numFmtId="170" fontId="104" fillId="11" borderId="33" xfId="0" applyNumberFormat="1" applyFont="1" applyFill="1" applyBorder="1"/>
    <xf numFmtId="0" fontId="104" fillId="11" borderId="36" xfId="0" applyFont="1" applyFill="1" applyBorder="1" applyAlignment="1">
      <alignment horizontal="center" vertical="center"/>
    </xf>
    <xf numFmtId="44" fontId="104" fillId="11" borderId="37" xfId="1" applyFont="1" applyFill="1" applyBorder="1"/>
    <xf numFmtId="10" fontId="129" fillId="55" borderId="20" xfId="2" applyNumberFormat="1" applyFont="1" applyFill="1" applyBorder="1"/>
    <xf numFmtId="10" fontId="129" fillId="11" borderId="53" xfId="2" applyNumberFormat="1" applyFont="1" applyFill="1" applyBorder="1"/>
    <xf numFmtId="0" fontId="78" fillId="24" borderId="20" xfId="0" applyFont="1" applyFill="1" applyBorder="1" applyAlignment="1">
      <alignment horizontal="left" wrapText="1"/>
    </xf>
    <xf numFmtId="0" fontId="77" fillId="24" borderId="19" xfId="0" applyFont="1" applyFill="1" applyBorder="1" applyAlignment="1">
      <alignment horizontal="center" vertical="center"/>
    </xf>
    <xf numFmtId="0" fontId="62" fillId="8" borderId="32" xfId="0" applyFont="1" applyFill="1" applyBorder="1" applyAlignment="1">
      <alignment wrapText="1"/>
    </xf>
    <xf numFmtId="0" fontId="3" fillId="11" borderId="0" xfId="3" applyFill="1"/>
    <xf numFmtId="0" fontId="0" fillId="11" borderId="0" xfId="0" applyFill="1" applyAlignment="1">
      <alignment horizontal="center"/>
    </xf>
    <xf numFmtId="44" fontId="0" fillId="11" borderId="0" xfId="1" applyFont="1" applyFill="1"/>
    <xf numFmtId="10" fontId="0" fillId="11" borderId="0" xfId="2" applyNumberFormat="1" applyFont="1" applyFill="1"/>
    <xf numFmtId="0" fontId="0" fillId="11" borderId="0" xfId="0" applyFill="1" applyAlignment="1">
      <alignment horizontal="center" vertical="center"/>
    </xf>
    <xf numFmtId="0" fontId="0" fillId="24" borderId="38" xfId="0" applyFill="1" applyBorder="1" applyAlignment="1">
      <alignment horizontal="center" vertical="center"/>
    </xf>
    <xf numFmtId="44" fontId="0" fillId="24" borderId="62" xfId="1" applyFont="1" applyFill="1" applyBorder="1" applyAlignment="1">
      <alignment horizontal="center" vertical="center"/>
    </xf>
    <xf numFmtId="10" fontId="0" fillId="24" borderId="38" xfId="2" applyNumberFormat="1" applyFont="1" applyFill="1" applyBorder="1" applyAlignment="1">
      <alignment horizontal="center" vertical="center" wrapText="1"/>
    </xf>
    <xf numFmtId="10" fontId="0" fillId="24" borderId="62" xfId="2" applyNumberFormat="1" applyFont="1" applyFill="1" applyBorder="1" applyAlignment="1">
      <alignment horizontal="center" vertical="center"/>
    </xf>
    <xf numFmtId="0" fontId="0" fillId="24" borderId="36" xfId="0" applyFill="1" applyBorder="1" applyAlignment="1">
      <alignment horizontal="center"/>
    </xf>
    <xf numFmtId="44" fontId="0" fillId="24" borderId="61" xfId="1" applyFont="1" applyFill="1" applyBorder="1"/>
    <xf numFmtId="0" fontId="0" fillId="24" borderId="61" xfId="0" applyFill="1" applyBorder="1" applyAlignment="1">
      <alignment horizontal="center"/>
    </xf>
    <xf numFmtId="10" fontId="0" fillId="24" borderId="61" xfId="2" applyNumberFormat="1" applyFont="1" applyFill="1" applyBorder="1"/>
    <xf numFmtId="10" fontId="0" fillId="24" borderId="37" xfId="2" applyNumberFormat="1" applyFont="1" applyFill="1" applyBorder="1"/>
    <xf numFmtId="0" fontId="0" fillId="24" borderId="19" xfId="0" applyFill="1" applyBorder="1" applyAlignment="1">
      <alignment horizontal="center"/>
    </xf>
    <xf numFmtId="44" fontId="0" fillId="24" borderId="59" xfId="1" applyFont="1" applyFill="1" applyBorder="1"/>
    <xf numFmtId="0" fontId="0" fillId="24" borderId="59" xfId="0" applyFill="1" applyBorder="1" applyAlignment="1">
      <alignment horizontal="center"/>
    </xf>
    <xf numFmtId="10" fontId="0" fillId="24" borderId="59" xfId="2" applyNumberFormat="1" applyFont="1" applyFill="1" applyBorder="1"/>
    <xf numFmtId="10" fontId="0" fillId="24" borderId="20" xfId="2" applyNumberFormat="1" applyFont="1" applyFill="1" applyBorder="1"/>
    <xf numFmtId="0" fontId="0" fillId="24" borderId="32" xfId="0" applyFill="1" applyBorder="1" applyAlignment="1">
      <alignment horizontal="center"/>
    </xf>
    <xf numFmtId="44" fontId="0" fillId="24" borderId="60" xfId="1" applyFont="1" applyFill="1" applyBorder="1"/>
    <xf numFmtId="0" fontId="0" fillId="24" borderId="60" xfId="0" applyFill="1" applyBorder="1" applyAlignment="1">
      <alignment horizontal="center"/>
    </xf>
    <xf numFmtId="10" fontId="0" fillId="24" borderId="60" xfId="2" applyNumberFormat="1" applyFont="1" applyFill="1" applyBorder="1"/>
    <xf numFmtId="10" fontId="0" fillId="24" borderId="33" xfId="2" applyNumberFormat="1" applyFont="1" applyFill="1" applyBorder="1"/>
    <xf numFmtId="165" fontId="104" fillId="2" borderId="0" xfId="0" applyNumberFormat="1" applyFont="1" applyFill="1"/>
    <xf numFmtId="10" fontId="104" fillId="2" borderId="0" xfId="0" applyNumberFormat="1" applyFont="1" applyFill="1"/>
    <xf numFmtId="0" fontId="66" fillId="2" borderId="0" xfId="0" applyFont="1" applyFill="1" applyAlignment="1">
      <alignment horizontal="center" vertical="center" wrapText="1"/>
    </xf>
    <xf numFmtId="165" fontId="66" fillId="2" borderId="0" xfId="0" applyNumberFormat="1" applyFont="1" applyFill="1" applyAlignment="1">
      <alignment horizontal="center" vertical="center" wrapText="1"/>
    </xf>
    <xf numFmtId="0" fontId="104" fillId="2" borderId="0" xfId="0" applyFont="1" applyFill="1" applyAlignment="1">
      <alignment horizontal="center" vertical="center" wrapText="1"/>
    </xf>
    <xf numFmtId="0" fontId="66" fillId="11" borderId="36" xfId="0" applyFont="1" applyFill="1" applyBorder="1"/>
    <xf numFmtId="0" fontId="66" fillId="11" borderId="19" xfId="0" applyFont="1" applyFill="1" applyBorder="1"/>
    <xf numFmtId="0" fontId="66" fillId="11" borderId="32" xfId="0" applyFont="1" applyFill="1" applyBorder="1"/>
    <xf numFmtId="167" fontId="104" fillId="11" borderId="33" xfId="0" applyNumberFormat="1" applyFont="1" applyFill="1" applyBorder="1"/>
    <xf numFmtId="0" fontId="66" fillId="48" borderId="36" xfId="0" applyFont="1" applyFill="1" applyBorder="1"/>
    <xf numFmtId="0" fontId="66" fillId="48" borderId="19" xfId="0" applyFont="1" applyFill="1" applyBorder="1"/>
    <xf numFmtId="0" fontId="66" fillId="48" borderId="32" xfId="0" applyFont="1" applyFill="1" applyBorder="1"/>
    <xf numFmtId="167" fontId="104" fillId="48" borderId="33" xfId="0" applyNumberFormat="1" applyFont="1" applyFill="1" applyBorder="1"/>
    <xf numFmtId="0" fontId="109" fillId="11" borderId="107" xfId="5" applyFill="1"/>
    <xf numFmtId="0" fontId="123" fillId="11" borderId="0" xfId="0" applyFont="1" applyFill="1"/>
    <xf numFmtId="0" fontId="127" fillId="11" borderId="0" xfId="0" applyFont="1" applyFill="1"/>
    <xf numFmtId="0" fontId="126" fillId="11" borderId="0" xfId="0" applyFont="1" applyFill="1"/>
    <xf numFmtId="0" fontId="124" fillId="11" borderId="0" xfId="0" applyFont="1" applyFill="1"/>
    <xf numFmtId="0" fontId="3" fillId="42" borderId="0" xfId="3" applyFill="1"/>
    <xf numFmtId="0" fontId="104" fillId="42" borderId="0" xfId="0" applyFont="1" applyFill="1"/>
    <xf numFmtId="0" fontId="0" fillId="42" borderId="0" xfId="0" applyFill="1"/>
    <xf numFmtId="0" fontId="66" fillId="24" borderId="3" xfId="0" applyFont="1" applyFill="1" applyBorder="1" applyAlignment="1">
      <alignment wrapText="1"/>
    </xf>
    <xf numFmtId="164" fontId="104" fillId="24" borderId="4" xfId="0" applyNumberFormat="1" applyFont="1" applyFill="1" applyBorder="1" applyAlignment="1">
      <alignment wrapText="1"/>
    </xf>
    <xf numFmtId="10" fontId="104" fillId="24" borderId="4" xfId="0" applyNumberFormat="1" applyFont="1" applyFill="1" applyBorder="1" applyAlignment="1">
      <alignment wrapText="1"/>
    </xf>
    <xf numFmtId="0" fontId="104" fillId="24" borderId="4" xfId="0" applyFont="1" applyFill="1" applyBorder="1" applyAlignment="1">
      <alignment vertical="center" wrapText="1"/>
    </xf>
    <xf numFmtId="0" fontId="104" fillId="24" borderId="4" xfId="0" applyFont="1" applyFill="1" applyBorder="1" applyAlignment="1">
      <alignment wrapText="1"/>
    </xf>
    <xf numFmtId="0" fontId="104" fillId="24" borderId="4" xfId="0" applyFont="1" applyFill="1" applyBorder="1" applyAlignment="1">
      <alignment horizontal="right" vertical="center" wrapText="1"/>
    </xf>
    <xf numFmtId="0" fontId="66" fillId="24" borderId="9" xfId="0" applyFont="1" applyFill="1" applyBorder="1" applyAlignment="1">
      <alignment wrapText="1"/>
    </xf>
    <xf numFmtId="164" fontId="104" fillId="24" borderId="10" xfId="0" applyNumberFormat="1" applyFont="1" applyFill="1" applyBorder="1" applyAlignment="1">
      <alignment wrapText="1"/>
    </xf>
    <xf numFmtId="0" fontId="66" fillId="24" borderId="3" xfId="0" applyFont="1" applyFill="1" applyBorder="1"/>
    <xf numFmtId="164" fontId="107" fillId="24" borderId="4" xfId="0" applyNumberFormat="1" applyFont="1" applyFill="1" applyBorder="1" applyAlignment="1">
      <alignment wrapText="1"/>
    </xf>
    <xf numFmtId="0" fontId="107" fillId="24" borderId="4" xfId="0" applyFont="1" applyFill="1" applyBorder="1" applyAlignment="1">
      <alignment vertical="center" wrapText="1"/>
    </xf>
    <xf numFmtId="0" fontId="66" fillId="11" borderId="3" xfId="0" applyFont="1" applyFill="1" applyBorder="1" applyAlignment="1">
      <alignment wrapText="1"/>
    </xf>
    <xf numFmtId="164" fontId="104" fillId="11" borderId="4" xfId="0" applyNumberFormat="1" applyFont="1" applyFill="1" applyBorder="1" applyAlignment="1">
      <alignment wrapText="1"/>
    </xf>
    <xf numFmtId="10" fontId="104" fillId="11" borderId="4" xfId="0" applyNumberFormat="1" applyFont="1" applyFill="1" applyBorder="1" applyAlignment="1">
      <alignment wrapText="1"/>
    </xf>
    <xf numFmtId="0" fontId="104" fillId="11" borderId="4" xfId="0" applyFont="1" applyFill="1" applyBorder="1" applyAlignment="1">
      <alignment vertical="center" wrapText="1"/>
    </xf>
    <xf numFmtId="0" fontId="104" fillId="11" borderId="4" xfId="0" applyFont="1" applyFill="1" applyBorder="1" applyAlignment="1">
      <alignment wrapText="1"/>
    </xf>
    <xf numFmtId="0" fontId="104" fillId="11" borderId="4" xfId="0" applyFont="1" applyFill="1" applyBorder="1" applyAlignment="1">
      <alignment horizontal="right" vertical="center" wrapText="1"/>
    </xf>
    <xf numFmtId="0" fontId="66" fillId="11" borderId="9" xfId="0" applyFont="1" applyFill="1" applyBorder="1" applyAlignment="1">
      <alignment wrapText="1"/>
    </xf>
    <xf numFmtId="164" fontId="104" fillId="11" borderId="10" xfId="0" applyNumberFormat="1" applyFont="1" applyFill="1" applyBorder="1" applyAlignment="1">
      <alignment wrapText="1"/>
    </xf>
    <xf numFmtId="0" fontId="66" fillId="11" borderId="3" xfId="0" applyFont="1" applyFill="1" applyBorder="1"/>
    <xf numFmtId="9" fontId="104" fillId="2" borderId="0" xfId="0" applyNumberFormat="1" applyFont="1" applyFill="1"/>
    <xf numFmtId="0" fontId="122" fillId="0" borderId="80" xfId="0" applyFont="1" applyBorder="1"/>
    <xf numFmtId="8" fontId="0" fillId="2" borderId="0" xfId="0" applyNumberFormat="1" applyFill="1"/>
    <xf numFmtId="0" fontId="135" fillId="2" borderId="0" xfId="3" applyFont="1" applyFill="1"/>
    <xf numFmtId="173" fontId="0" fillId="2" borderId="80" xfId="0" applyNumberFormat="1" applyFill="1" applyBorder="1"/>
    <xf numFmtId="8" fontId="9" fillId="2" borderId="100" xfId="1" applyNumberFormat="1" applyFont="1" applyFill="1" applyBorder="1"/>
    <xf numFmtId="0" fontId="136" fillId="2" borderId="0" xfId="3" applyFont="1" applyFill="1"/>
    <xf numFmtId="0" fontId="54" fillId="4" borderId="34" xfId="0" applyFont="1" applyFill="1" applyBorder="1" applyAlignment="1">
      <alignment horizontal="center"/>
    </xf>
    <xf numFmtId="0" fontId="54" fillId="4" borderId="35" xfId="0" applyFont="1" applyFill="1" applyBorder="1" applyAlignment="1">
      <alignment horizontal="center"/>
    </xf>
    <xf numFmtId="0" fontId="27" fillId="3" borderId="0" xfId="0" applyFont="1" applyFill="1" applyAlignment="1">
      <alignment horizontal="left" wrapText="1"/>
    </xf>
    <xf numFmtId="0" fontId="119" fillId="45" borderId="40" xfId="0" applyFont="1" applyFill="1" applyBorder="1" applyAlignment="1">
      <alignment horizontal="center" vertical="center" wrapText="1"/>
    </xf>
    <xf numFmtId="0" fontId="119" fillId="45" borderId="41" xfId="0" applyFont="1" applyFill="1" applyBorder="1" applyAlignment="1">
      <alignment horizontal="center" vertical="center" wrapText="1"/>
    </xf>
    <xf numFmtId="0" fontId="51" fillId="47" borderId="45" xfId="0" applyFont="1" applyFill="1" applyBorder="1" applyAlignment="1">
      <alignment horizontal="center" vertical="center"/>
    </xf>
    <xf numFmtId="0" fontId="51" fillId="47" borderId="39" xfId="0" applyFont="1" applyFill="1" applyBorder="1" applyAlignment="1">
      <alignment horizontal="center" vertical="center"/>
    </xf>
    <xf numFmtId="0" fontId="16" fillId="30" borderId="45" xfId="0" applyFont="1" applyFill="1" applyBorder="1" applyAlignment="1">
      <alignment horizontal="center" vertical="center" wrapText="1"/>
    </xf>
    <xf numFmtId="0" fontId="16" fillId="30" borderId="39" xfId="0" applyFont="1" applyFill="1" applyBorder="1" applyAlignment="1">
      <alignment horizontal="center" vertical="center" wrapText="1"/>
    </xf>
    <xf numFmtId="0" fontId="19" fillId="9" borderId="45" xfId="0" applyFont="1" applyFill="1" applyBorder="1" applyAlignment="1">
      <alignment horizontal="center" vertical="center" wrapText="1"/>
    </xf>
    <xf numFmtId="0" fontId="19" fillId="9" borderId="39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2" xfId="0" applyFont="1" applyFill="1" applyBorder="1" applyAlignment="1">
      <alignment horizontal="left" wrapText="1"/>
    </xf>
    <xf numFmtId="0" fontId="31" fillId="3" borderId="0" xfId="0" applyFont="1" applyFill="1" applyAlignment="1">
      <alignment horizontal="left" wrapText="1"/>
    </xf>
    <xf numFmtId="0" fontId="34" fillId="18" borderId="28" xfId="0" applyFont="1" applyFill="1" applyBorder="1" applyAlignment="1">
      <alignment horizontal="center"/>
    </xf>
    <xf numFmtId="0" fontId="34" fillId="18" borderId="29" xfId="0" applyFont="1" applyFill="1" applyBorder="1" applyAlignment="1">
      <alignment horizontal="center"/>
    </xf>
    <xf numFmtId="0" fontId="37" fillId="19" borderId="34" xfId="0" applyFont="1" applyFill="1" applyBorder="1" applyAlignment="1">
      <alignment horizontal="center"/>
    </xf>
    <xf numFmtId="0" fontId="37" fillId="19" borderId="35" xfId="0" applyFont="1" applyFill="1" applyBorder="1" applyAlignment="1">
      <alignment horizontal="center"/>
    </xf>
    <xf numFmtId="0" fontId="70" fillId="27" borderId="45" xfId="0" applyFont="1" applyFill="1" applyBorder="1" applyAlignment="1">
      <alignment horizontal="center" vertical="center" wrapText="1"/>
    </xf>
    <xf numFmtId="0" fontId="70" fillId="27" borderId="39" xfId="0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/>
    </xf>
    <xf numFmtId="0" fontId="42" fillId="7" borderId="34" xfId="0" applyFont="1" applyFill="1" applyBorder="1" applyAlignment="1">
      <alignment horizontal="center" vertical="center" wrapText="1"/>
    </xf>
    <xf numFmtId="0" fontId="42" fillId="7" borderId="35" xfId="0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2" fillId="20" borderId="39" xfId="0" applyFont="1" applyFill="1" applyBorder="1" applyAlignment="1">
      <alignment horizontal="center" vertical="center" wrapText="1"/>
    </xf>
    <xf numFmtId="0" fontId="44" fillId="27" borderId="45" xfId="0" applyFont="1" applyFill="1" applyBorder="1" applyAlignment="1">
      <alignment horizontal="center" vertical="center" wrapText="1"/>
    </xf>
    <xf numFmtId="0" fontId="44" fillId="27" borderId="39" xfId="0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26" fillId="5" borderId="39" xfId="0" applyFont="1" applyFill="1" applyBorder="1" applyAlignment="1">
      <alignment horizontal="center" vertical="center" wrapText="1"/>
    </xf>
    <xf numFmtId="0" fontId="83" fillId="36" borderId="38" xfId="0" applyFont="1" applyFill="1" applyBorder="1" applyAlignment="1">
      <alignment horizontal="center"/>
    </xf>
    <xf numFmtId="0" fontId="83" fillId="36" borderId="64" xfId="0" applyFont="1" applyFill="1" applyBorder="1" applyAlignment="1">
      <alignment horizontal="center"/>
    </xf>
    <xf numFmtId="0" fontId="83" fillId="36" borderId="62" xfId="0" applyFont="1" applyFill="1" applyBorder="1" applyAlignment="1">
      <alignment horizontal="center"/>
    </xf>
    <xf numFmtId="0" fontId="99" fillId="38" borderId="45" xfId="0" applyFont="1" applyFill="1" applyBorder="1" applyAlignment="1">
      <alignment horizontal="center"/>
    </xf>
    <xf numFmtId="0" fontId="99" fillId="38" borderId="85" xfId="0" applyFont="1" applyFill="1" applyBorder="1" applyAlignment="1">
      <alignment horizontal="center"/>
    </xf>
    <xf numFmtId="0" fontId="95" fillId="37" borderId="45" xfId="0" applyFont="1" applyFill="1" applyBorder="1" applyAlignment="1">
      <alignment horizontal="center"/>
    </xf>
    <xf numFmtId="0" fontId="95" fillId="37" borderId="85" xfId="0" applyFont="1" applyFill="1" applyBorder="1" applyAlignment="1">
      <alignment horizontal="center"/>
    </xf>
    <xf numFmtId="0" fontId="92" fillId="40" borderId="45" xfId="0" applyFont="1" applyFill="1" applyBorder="1" applyAlignment="1">
      <alignment horizontal="center"/>
    </xf>
    <xf numFmtId="0" fontId="92" fillId="40" borderId="85" xfId="0" applyFont="1" applyFill="1" applyBorder="1" applyAlignment="1">
      <alignment horizontal="center"/>
    </xf>
    <xf numFmtId="0" fontId="80" fillId="2" borderId="71" xfId="0" applyFont="1" applyFill="1" applyBorder="1" applyAlignment="1">
      <alignment horizontal="center"/>
    </xf>
    <xf numFmtId="0" fontId="88" fillId="39" borderId="34" xfId="0" applyFont="1" applyFill="1" applyBorder="1" applyAlignment="1">
      <alignment horizontal="center" vertical="center"/>
    </xf>
    <xf numFmtId="0" fontId="88" fillId="39" borderId="63" xfId="0" applyFont="1" applyFill="1" applyBorder="1" applyAlignment="1">
      <alignment horizontal="center" vertical="center"/>
    </xf>
    <xf numFmtId="0" fontId="88" fillId="39" borderId="35" xfId="0" applyFont="1" applyFill="1" applyBorder="1" applyAlignment="1">
      <alignment horizontal="center" vertical="center"/>
    </xf>
    <xf numFmtId="0" fontId="94" fillId="24" borderId="87" xfId="0" applyFont="1" applyFill="1" applyBorder="1" applyAlignment="1">
      <alignment horizontal="center" vertical="center"/>
    </xf>
    <xf numFmtId="0" fontId="94" fillId="24" borderId="80" xfId="0" applyFont="1" applyFill="1" applyBorder="1" applyAlignment="1">
      <alignment horizontal="center" vertical="center"/>
    </xf>
    <xf numFmtId="0" fontId="94" fillId="24" borderId="91" xfId="0" applyFont="1" applyFill="1" applyBorder="1" applyAlignment="1">
      <alignment horizontal="center" vertical="center"/>
    </xf>
    <xf numFmtId="0" fontId="97" fillId="31" borderId="87" xfId="0" applyFont="1" applyFill="1" applyBorder="1" applyAlignment="1">
      <alignment horizontal="center"/>
    </xf>
    <xf numFmtId="0" fontId="97" fillId="31" borderId="80" xfId="0" applyFont="1" applyFill="1" applyBorder="1" applyAlignment="1">
      <alignment horizontal="center"/>
    </xf>
    <xf numFmtId="0" fontId="97" fillId="31" borderId="91" xfId="0" applyFont="1" applyFill="1" applyBorder="1" applyAlignment="1">
      <alignment horizontal="center"/>
    </xf>
    <xf numFmtId="0" fontId="88" fillId="39" borderId="19" xfId="0" applyFont="1" applyFill="1" applyBorder="1" applyAlignment="1">
      <alignment horizontal="center"/>
    </xf>
    <xf numFmtId="0" fontId="88" fillId="39" borderId="59" xfId="0" applyFont="1" applyFill="1" applyBorder="1" applyAlignment="1">
      <alignment horizontal="center"/>
    </xf>
    <xf numFmtId="0" fontId="84" fillId="36" borderId="38" xfId="0" applyFont="1" applyFill="1" applyBorder="1" applyAlignment="1">
      <alignment horizontal="center"/>
    </xf>
    <xf numFmtId="0" fontId="84" fillId="36" borderId="62" xfId="0" applyFont="1" applyFill="1" applyBorder="1" applyAlignment="1">
      <alignment horizontal="center"/>
    </xf>
    <xf numFmtId="0" fontId="4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5" fillId="2" borderId="0" xfId="0" applyFont="1" applyFill="1" applyAlignment="1">
      <alignment horizontal="center"/>
    </xf>
    <xf numFmtId="0" fontId="66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73" fillId="24" borderId="7" xfId="0" applyFont="1" applyFill="1" applyBorder="1" applyAlignment="1">
      <alignment horizontal="center" vertical="center" wrapText="1"/>
    </xf>
    <xf numFmtId="0" fontId="73" fillId="24" borderId="8" xfId="0" applyFont="1" applyFill="1" applyBorder="1" applyAlignment="1">
      <alignment horizontal="center" vertical="center" wrapText="1"/>
    </xf>
    <xf numFmtId="0" fontId="73" fillId="11" borderId="7" xfId="0" applyFont="1" applyFill="1" applyBorder="1" applyAlignment="1">
      <alignment horizontal="center" vertical="center" wrapText="1"/>
    </xf>
    <xf numFmtId="0" fontId="73" fillId="11" borderId="8" xfId="0" applyFont="1" applyFill="1" applyBorder="1" applyAlignment="1">
      <alignment horizontal="center" vertical="center" wrapText="1"/>
    </xf>
    <xf numFmtId="0" fontId="106" fillId="42" borderId="86" xfId="0" applyFont="1" applyFill="1" applyBorder="1" applyAlignment="1">
      <alignment horizontal="center"/>
    </xf>
    <xf numFmtId="0" fontId="66" fillId="11" borderId="38" xfId="0" applyFont="1" applyFill="1" applyBorder="1" applyAlignment="1">
      <alignment horizontal="center"/>
    </xf>
    <xf numFmtId="0" fontId="66" fillId="11" borderId="62" xfId="0" applyFont="1" applyFill="1" applyBorder="1" applyAlignment="1">
      <alignment horizontal="center"/>
    </xf>
    <xf numFmtId="0" fontId="66" fillId="48" borderId="38" xfId="0" applyFont="1" applyFill="1" applyBorder="1" applyAlignment="1">
      <alignment horizontal="center"/>
    </xf>
    <xf numFmtId="0" fontId="66" fillId="48" borderId="62" xfId="0" applyFont="1" applyFill="1" applyBorder="1" applyAlignment="1">
      <alignment horizontal="center"/>
    </xf>
    <xf numFmtId="0" fontId="106" fillId="2" borderId="71" xfId="0" applyFont="1" applyFill="1" applyBorder="1" applyAlignment="1">
      <alignment horizontal="center"/>
    </xf>
    <xf numFmtId="0" fontId="7" fillId="4" borderId="4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16" fillId="4" borderId="45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42" fillId="7" borderId="45" xfId="0" applyFont="1" applyFill="1" applyBorder="1" applyAlignment="1">
      <alignment horizontal="center" vertical="center" wrapText="1"/>
    </xf>
    <xf numFmtId="0" fontId="42" fillId="7" borderId="39" xfId="0" applyFont="1" applyFill="1" applyBorder="1" applyAlignment="1">
      <alignment horizontal="center" vertical="center" wrapText="1"/>
    </xf>
    <xf numFmtId="0" fontId="10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3" fillId="3" borderId="0" xfId="3" applyFill="1" applyAlignment="1">
      <alignment horizontal="left"/>
    </xf>
    <xf numFmtId="164" fontId="40" fillId="29" borderId="27" xfId="0" applyNumberFormat="1" applyFont="1" applyFill="1" applyBorder="1" applyAlignment="1">
      <alignment vertical="center" wrapText="1"/>
    </xf>
    <xf numFmtId="9" fontId="111" fillId="43" borderId="109" xfId="7" applyNumberFormat="1" applyAlignment="1">
      <alignment horizontal="right" vertical="center"/>
    </xf>
    <xf numFmtId="0" fontId="122" fillId="53" borderId="38" xfId="0" applyFont="1" applyFill="1" applyBorder="1" applyAlignment="1">
      <alignment horizontal="center" wrapText="1"/>
    </xf>
    <xf numFmtId="164" fontId="111" fillId="43" borderId="109" xfId="7" applyNumberFormat="1" applyAlignment="1">
      <alignment wrapText="1"/>
    </xf>
    <xf numFmtId="174" fontId="111" fillId="43" borderId="109" xfId="7" applyNumberFormat="1"/>
    <xf numFmtId="0" fontId="122" fillId="55" borderId="45" xfId="0" applyFont="1" applyFill="1" applyBorder="1" applyAlignment="1">
      <alignment horizontal="center"/>
    </xf>
    <xf numFmtId="0" fontId="137" fillId="0" borderId="0" xfId="0" applyFont="1"/>
    <xf numFmtId="44" fontId="0" fillId="0" borderId="0" xfId="1" applyFont="1"/>
    <xf numFmtId="8" fontId="0" fillId="0" borderId="0" xfId="1" applyNumberFormat="1" applyFont="1"/>
  </cellXfs>
  <cellStyles count="8">
    <cellStyle name="Check Cell" xfId="7" builtinId="23"/>
    <cellStyle name="Currency" xfId="1" builtinId="4"/>
    <cellStyle name="Heading 1" xfId="4" builtinId="16"/>
    <cellStyle name="Heading 2" xfId="5" builtinId="17"/>
    <cellStyle name="Heading 3" xfId="6" builtinId="18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198501872659173E-2"/>
          <c:y val="5.9701492537313432E-2"/>
          <c:w val="0.95880149812734083"/>
          <c:h val="0.83837084263720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>
              <a:glow rad="127000">
                <a:schemeClr val="accent1">
                  <a:alpha val="6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('Financial Statement'!$B$24,'Financial Statement'!$B$34,'Financial Statement'!$B$41,'Financial Statement'!$B$43)</c:f>
              <c:strCache>
                <c:ptCount val="4"/>
                <c:pt idx="0">
                  <c:v>Return on investment (CF)</c:v>
                </c:pt>
                <c:pt idx="1">
                  <c:v>Return on Investment (PR)</c:v>
                </c:pt>
                <c:pt idx="2">
                  <c:v>Return on Investmnet (PA)</c:v>
                </c:pt>
                <c:pt idx="3">
                  <c:v>Total Return on Investment</c:v>
                </c:pt>
              </c:strCache>
            </c:strRef>
          </c:cat>
          <c:val>
            <c:numRef>
              <c:f>('Financial Statement'!$C$24,'Financial Statement'!$C$34,'Financial Statement'!$C$41,'Financial Statement'!$C$43)</c:f>
              <c:numCache>
                <c:formatCode>0.00%</c:formatCode>
                <c:ptCount val="4"/>
                <c:pt idx="0">
                  <c:v>-0.121467687769911</c:v>
                </c:pt>
                <c:pt idx="1">
                  <c:v>6.5589638801835506E-2</c:v>
                </c:pt>
                <c:pt idx="2">
                  <c:v>8.5541608554160861E-2</c:v>
                </c:pt>
                <c:pt idx="3">
                  <c:v>2.9663559586085367E-2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E-4919-8ED3-7B7C3088FF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4321456"/>
        <c:axId val="454489680"/>
      </c:barChart>
      <c:catAx>
        <c:axId val="57432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noFill/>
            <a:round/>
          </a:ln>
          <a:effectLst>
            <a:glow>
              <a:schemeClr val="accent1"/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89680"/>
        <c:crosses val="autoZero"/>
        <c:auto val="1"/>
        <c:lblAlgn val="ctr"/>
        <c:lblOffset val="100"/>
        <c:noMultiLvlLbl val="0"/>
      </c:catAx>
      <c:valAx>
        <c:axId val="4544896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7432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19751.663828784745</c:v>
                </c:pt>
                <c:pt idx="1">
                  <c:v>20865.812924420865</c:v>
                </c:pt>
                <c:pt idx="2">
                  <c:v>22042.808786692309</c:v>
                </c:pt>
                <c:pt idx="3">
                  <c:v>23286.196467237107</c:v>
                </c:pt>
                <c:pt idx="4">
                  <c:v>24599.720986471155</c:v>
                </c:pt>
                <c:pt idx="5">
                  <c:v>25987.338613399144</c:v>
                </c:pt>
                <c:pt idx="6">
                  <c:v>27453.228781695383</c:v>
                </c:pt>
                <c:pt idx="7">
                  <c:v>29001.806677945417</c:v>
                </c:pt>
                <c:pt idx="8">
                  <c:v>30637.736539963244</c:v>
                </c:pt>
                <c:pt idx="9">
                  <c:v>32365.945705238293</c:v>
                </c:pt>
                <c:pt idx="10">
                  <c:v>34191.639451825184</c:v>
                </c:pt>
                <c:pt idx="11">
                  <c:v>36120.316676376307</c:v>
                </c:pt>
                <c:pt idx="12">
                  <c:v>38157.786456538663</c:v>
                </c:pt>
                <c:pt idx="13">
                  <c:v>40310.185547600166</c:v>
                </c:pt>
                <c:pt idx="14">
                  <c:v>42583.996866084242</c:v>
                </c:pt>
                <c:pt idx="15">
                  <c:v>44986.0690159644</c:v>
                </c:pt>
                <c:pt idx="16">
                  <c:v>47523.636916310985</c:v>
                </c:pt>
                <c:pt idx="17">
                  <c:v>50204.343592499135</c:v>
                </c:pt>
                <c:pt idx="18">
                  <c:v>53036.263196612257</c:v>
                </c:pt>
                <c:pt idx="19">
                  <c:v>56027.925326377277</c:v>
                </c:pt>
                <c:pt idx="20">
                  <c:v>59188.340715878767</c:v>
                </c:pt>
                <c:pt idx="21">
                  <c:v>62527.028375431553</c:v>
                </c:pt>
                <c:pt idx="22">
                  <c:v>66054.04426235531</c:v>
                </c:pt>
                <c:pt idx="23">
                  <c:v>69780.011569006208</c:v>
                </c:pt>
                <c:pt idx="24">
                  <c:v>73716.152719291553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8-4AE7-B41B-9EEF73305D9F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56179.02641683448</c:v>
                </c:pt>
                <c:pt idx="1">
                  <c:v>55064.877321198372</c:v>
                </c:pt>
                <c:pt idx="2">
                  <c:v>53887.881458926917</c:v>
                </c:pt>
                <c:pt idx="3">
                  <c:v>52644.493778382122</c:v>
                </c:pt>
                <c:pt idx="4">
                  <c:v>51330.969259148071</c:v>
                </c:pt>
                <c:pt idx="5">
                  <c:v>49943.351632220096</c:v>
                </c:pt>
                <c:pt idx="6">
                  <c:v>48477.46146392385</c:v>
                </c:pt>
                <c:pt idx="7">
                  <c:v>46928.883567673816</c:v>
                </c:pt>
                <c:pt idx="8">
                  <c:v>45292.953705655986</c:v>
                </c:pt>
                <c:pt idx="9">
                  <c:v>43564.74454038094</c:v>
                </c:pt>
                <c:pt idx="10">
                  <c:v>41739.050793794042</c:v>
                </c:pt>
                <c:pt idx="11">
                  <c:v>39810.373569242933</c:v>
                </c:pt>
                <c:pt idx="12">
                  <c:v>37772.90378908057</c:v>
                </c:pt>
                <c:pt idx="13">
                  <c:v>35620.504698019067</c:v>
                </c:pt>
                <c:pt idx="14">
                  <c:v>33346.693379534991</c:v>
                </c:pt>
                <c:pt idx="15">
                  <c:v>30944.621229654826</c:v>
                </c:pt>
                <c:pt idx="16">
                  <c:v>28407.053329308248</c:v>
                </c:pt>
                <c:pt idx="17">
                  <c:v>25726.346653120101</c:v>
                </c:pt>
                <c:pt idx="18">
                  <c:v>22894.427049006965</c:v>
                </c:pt>
                <c:pt idx="19">
                  <c:v>19902.764919241949</c:v>
                </c:pt>
                <c:pt idx="20">
                  <c:v>16742.349529740459</c:v>
                </c:pt>
                <c:pt idx="21">
                  <c:v>13403.661870187672</c:v>
                </c:pt>
                <c:pt idx="22">
                  <c:v>9876.6459832639175</c:v>
                </c:pt>
                <c:pt idx="23">
                  <c:v>6150.6786766130062</c:v>
                </c:pt>
                <c:pt idx="24">
                  <c:v>2214.5375263274609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8-4AE7-B41B-9EEF733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05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69822567799462E-2"/>
          <c:y val="0.14366013071895425"/>
          <c:w val="0.95411887382690297"/>
          <c:h val="0.74718233750192986"/>
        </c:manualLayout>
      </c:layout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-36578.779495030998</c:v>
                </c:pt>
                <c:pt idx="1">
                  <c:v>-36240.330931133351</c:v>
                </c:pt>
                <c:pt idx="2">
                  <c:v>-35912.384097525646</c:v>
                </c:pt>
                <c:pt idx="3">
                  <c:v>-35595.813950824057</c:v>
                </c:pt>
                <c:pt idx="4">
                  <c:v>-35291.538546274431</c:v>
                </c:pt>
                <c:pt idx="5">
                  <c:v>-35000.520885305654</c:v>
                </c:pt>
                <c:pt idx="6">
                  <c:v>-34723.770837978693</c:v>
                </c:pt>
                <c:pt idx="7">
                  <c:v>-34462.347143290579</c:v>
                </c:pt>
                <c:pt idx="8">
                  <c:v>-34217.359490407056</c:v>
                </c:pt>
                <c:pt idx="9">
                  <c:v>-33989.970684018655</c:v>
                </c:pt>
                <c:pt idx="10">
                  <c:v>-33781.398897138046</c:v>
                </c:pt>
                <c:pt idx="11">
                  <c:v>-33592.920014787356</c:v>
                </c:pt>
                <c:pt idx="12">
                  <c:v>-33425.870072157464</c:v>
                </c:pt>
                <c:pt idx="13">
                  <c:v>-33281.647790961491</c:v>
                </c:pt>
                <c:pt idx="14">
                  <c:v>-33161.717217849095</c:v>
                </c:pt>
                <c:pt idx="15">
                  <c:v>-33067.610468899737</c:v>
                </c:pt>
                <c:pt idx="16">
                  <c:v>-33000.930584368201</c:v>
                </c:pt>
                <c:pt idx="17">
                  <c:v>-32963.354498019638</c:v>
                </c:pt>
                <c:pt idx="18">
                  <c:v>-32956.636125558878</c:v>
                </c:pt>
                <c:pt idx="19">
                  <c:v>-32982.60957683481</c:v>
                </c:pt>
                <c:pt idx="20">
                  <c:v>-33043.192496682801</c:v>
                </c:pt>
                <c:pt idx="21">
                  <c:v>-33140.389539456883</c:v>
                </c:pt>
                <c:pt idx="22">
                  <c:v>-33276.295982499912</c:v>
                </c:pt>
                <c:pt idx="23">
                  <c:v>-33453.101484004736</c:v>
                </c:pt>
                <c:pt idx="24">
                  <c:v>-33673.093990930181</c:v>
                </c:pt>
                <c:pt idx="25">
                  <c:v>-33938.663802857205</c:v>
                </c:pt>
                <c:pt idx="26">
                  <c:v>-34252.307797898058</c:v>
                </c:pt>
                <c:pt idx="27">
                  <c:v>-34616.633827009762</c:v>
                </c:pt>
                <c:pt idx="28">
                  <c:v>-35034.365283309191</c:v>
                </c:pt>
                <c:pt idx="29">
                  <c:v>-35508.345853244507</c:v>
                </c:pt>
                <c:pt idx="30">
                  <c:v>39889.145788877227</c:v>
                </c:pt>
                <c:pt idx="31">
                  <c:v>39293.629861892972</c:v>
                </c:pt>
                <c:pt idx="32">
                  <c:v>38632.561610922727</c:v>
                </c:pt>
                <c:pt idx="33">
                  <c:v>37902.564772277081</c:v>
                </c:pt>
                <c:pt idx="34">
                  <c:v>37100.116046130206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-0.121467687769911</c:v>
                </c:pt>
                <c:pt idx="1">
                  <c:v>-0.12034379667640749</c:v>
                </c:pt>
                <c:pt idx="2">
                  <c:v>-0.11925477883218984</c:v>
                </c:pt>
                <c:pt idx="3">
                  <c:v>-0.11820353971848328</c:v>
                </c:pt>
                <c:pt idx="4">
                  <c:v>-0.11719312793476266</c:v>
                </c:pt>
                <c:pt idx="5">
                  <c:v>-0.11622674133394983</c:v>
                </c:pt>
                <c:pt idx="6">
                  <c:v>-0.11530773340631829</c:v>
                </c:pt>
                <c:pt idx="7">
                  <c:v>-0.11443961992193193</c:v>
                </c:pt>
                <c:pt idx="8">
                  <c:v>-0.11362608584182458</c:v>
                </c:pt>
                <c:pt idx="9">
                  <c:v>-0.11287099250852978</c:v>
                </c:pt>
                <c:pt idx="10">
                  <c:v>-0.11217838512697764</c:v>
                </c:pt>
                <c:pt idx="11">
                  <c:v>-0.11155250054721179</c:v>
                </c:pt>
                <c:pt idx="12">
                  <c:v>-0.11099777536082044</c:v>
                </c:pt>
                <c:pt idx="13">
                  <c:v>-0.11051885432344255</c:v>
                </c:pt>
                <c:pt idx="14">
                  <c:v>-0.11012059911618879</c:v>
                </c:pt>
                <c:pt idx="15">
                  <c:v>-0.10980809745932037</c:v>
                </c:pt>
                <c:pt idx="16">
                  <c:v>-0.10958667259204424</c:v>
                </c:pt>
                <c:pt idx="17">
                  <c:v>-0.10946189313282738</c:v>
                </c:pt>
                <c:pt idx="18">
                  <c:v>-0.1094395833351892</c:v>
                </c:pt>
                <c:pt idx="19">
                  <c:v>-0.10952583375451554</c:v>
                </c:pt>
                <c:pt idx="20">
                  <c:v>-0.10972701234204291</c:v>
                </c:pt>
                <c:pt idx="21">
                  <c:v>-0.11004977598278835</c:v>
                </c:pt>
                <c:pt idx="22">
                  <c:v>-0.1105010824948526</c:v>
                </c:pt>
                <c:pt idx="23">
                  <c:v>-0.11108820310820461</c:v>
                </c:pt>
                <c:pt idx="24">
                  <c:v>-0.11181873544175527</c:v>
                </c:pt>
                <c:pt idx="25">
                  <c:v>-0.11270061699826395</c:v>
                </c:pt>
                <c:pt idx="26">
                  <c:v>-0.11374213919737683</c:v>
                </c:pt>
                <c:pt idx="27">
                  <c:v>-0.1149519619678879</c:v>
                </c:pt>
                <c:pt idx="28">
                  <c:v>-0.11633912892113034</c:v>
                </c:pt>
                <c:pt idx="29">
                  <c:v>-0.11791308312826097</c:v>
                </c:pt>
                <c:pt idx="30">
                  <c:v>0.13246046951211141</c:v>
                </c:pt>
                <c:pt idx="31">
                  <c:v>0.13048293106825057</c:v>
                </c:pt>
                <c:pt idx="32">
                  <c:v>0.12828771206389961</c:v>
                </c:pt>
                <c:pt idx="33">
                  <c:v>0.12586360089087162</c:v>
                </c:pt>
                <c:pt idx="34">
                  <c:v>0.12319889767593215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CF Compare</a:t>
            </a:r>
          </a:p>
        </c:rich>
      </c:tx>
      <c:layout>
        <c:manualLayout>
          <c:xMode val="edge"/>
          <c:yMode val="edge"/>
          <c:x val="0.3928263342082240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ARV 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'ROI Detail ARV'!$C$32:$C$46</c:f>
              <c:numCache>
                <c:formatCode>"$"#,##0.00_);[Red]\("$"#,##0.00\)</c:formatCode>
                <c:ptCount val="1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1-47D0-9115-9B9AB5CD20F1}"/>
            </c:ext>
          </c:extLst>
        </c:ser>
        <c:ser>
          <c:idx val="2"/>
          <c:order val="2"/>
          <c:tx>
            <c:v>Original CF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'ROI details'!$C$32:$C$46</c:f>
              <c:numCache>
                <c:formatCode>"$"#,##0.00_);[Red]\("$"#,##0.00\)</c:formatCode>
                <c:ptCount val="15"/>
                <c:pt idx="0" formatCode="&quot;$&quot;#,##0.00">
                  <c:v>-36578.779495030998</c:v>
                </c:pt>
                <c:pt idx="1">
                  <c:v>-36240.330931133351</c:v>
                </c:pt>
                <c:pt idx="2">
                  <c:v>-35912.384097525646</c:v>
                </c:pt>
                <c:pt idx="3">
                  <c:v>-35595.813950824057</c:v>
                </c:pt>
                <c:pt idx="4">
                  <c:v>-35291.538546274431</c:v>
                </c:pt>
                <c:pt idx="5">
                  <c:v>-35000.520885305654</c:v>
                </c:pt>
                <c:pt idx="6">
                  <c:v>-34723.770837978693</c:v>
                </c:pt>
                <c:pt idx="7">
                  <c:v>-34462.347143290579</c:v>
                </c:pt>
                <c:pt idx="8">
                  <c:v>-34217.359490407056</c:v>
                </c:pt>
                <c:pt idx="9">
                  <c:v>-33989.970684018655</c:v>
                </c:pt>
                <c:pt idx="10">
                  <c:v>-33781.398897138046</c:v>
                </c:pt>
                <c:pt idx="11">
                  <c:v>-33592.920014787356</c:v>
                </c:pt>
                <c:pt idx="12">
                  <c:v>-33425.870072157464</c:v>
                </c:pt>
                <c:pt idx="13">
                  <c:v>-33281.647790961491</c:v>
                </c:pt>
                <c:pt idx="14">
                  <c:v>-33161.717217849095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420447"/>
        <c:axId val="902461263"/>
      </c:barChart>
      <c:lineChart>
        <c:grouping val="standard"/>
        <c:varyColors val="0"/>
        <c:ser>
          <c:idx val="1"/>
          <c:order val="1"/>
          <c:tx>
            <c:v>ARV CF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'ROI Detail ARV'!$D$32:$D$46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1-47D0-9115-9B9AB5CD20F1}"/>
            </c:ext>
          </c:extLst>
        </c:ser>
        <c:ser>
          <c:idx val="3"/>
          <c:order val="3"/>
          <c:tx>
            <c:v>Original CF %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'ROI details'!$D$32:$D$46</c:f>
              <c:numCache>
                <c:formatCode>0.00%</c:formatCode>
                <c:ptCount val="15"/>
                <c:pt idx="0">
                  <c:v>-0.121467687769911</c:v>
                </c:pt>
                <c:pt idx="1">
                  <c:v>-0.12034379667640749</c:v>
                </c:pt>
                <c:pt idx="2">
                  <c:v>-0.11925477883218984</c:v>
                </c:pt>
                <c:pt idx="3">
                  <c:v>-0.11820353971848328</c:v>
                </c:pt>
                <c:pt idx="4">
                  <c:v>-0.11719312793476266</c:v>
                </c:pt>
                <c:pt idx="5">
                  <c:v>-0.11622674133394983</c:v>
                </c:pt>
                <c:pt idx="6">
                  <c:v>-0.11530773340631829</c:v>
                </c:pt>
                <c:pt idx="7">
                  <c:v>-0.11443961992193193</c:v>
                </c:pt>
                <c:pt idx="8">
                  <c:v>-0.11362608584182458</c:v>
                </c:pt>
                <c:pt idx="9">
                  <c:v>-0.11287099250852978</c:v>
                </c:pt>
                <c:pt idx="10">
                  <c:v>-0.11217838512697764</c:v>
                </c:pt>
                <c:pt idx="11">
                  <c:v>-0.11155250054721179</c:v>
                </c:pt>
                <c:pt idx="12">
                  <c:v>-0.11099777536082044</c:v>
                </c:pt>
                <c:pt idx="13">
                  <c:v>-0.11051885432344255</c:v>
                </c:pt>
                <c:pt idx="14">
                  <c:v>-0.11012059911618879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463599"/>
        <c:axId val="891568463"/>
      </c:lineChart>
      <c:catAx>
        <c:axId val="99842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1263"/>
        <c:crosses val="autoZero"/>
        <c:auto val="1"/>
        <c:lblAlgn val="ctr"/>
        <c:lblOffset val="100"/>
        <c:noMultiLvlLbl val="0"/>
      </c:catAx>
      <c:valAx>
        <c:axId val="9024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20447"/>
        <c:crosses val="autoZero"/>
        <c:crossBetween val="between"/>
      </c:valAx>
      <c:valAx>
        <c:axId val="89156846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63599"/>
        <c:crosses val="max"/>
        <c:crossBetween val="between"/>
      </c:valAx>
      <c:catAx>
        <c:axId val="995463599"/>
        <c:scaling>
          <c:orientation val="minMax"/>
        </c:scaling>
        <c:delete val="1"/>
        <c:axPos val="b"/>
        <c:majorTickMark val="none"/>
        <c:minorTickMark val="none"/>
        <c:tickLblPos val="nextTo"/>
        <c:crossAx val="891568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5314599436541"/>
          <c:y val="0.92909614239396543"/>
          <c:w val="0.53804233186448025"/>
          <c:h val="7.090385760603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$ 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Result'!$C$54:$C$56,'Total Result'!$C$58)</c:f>
              <c:numCache>
                <c:formatCode>_("$"* #,##0.00_);_("$"* \(#,##0.00\);_("$"* "-"??_);_(@_)</c:formatCode>
                <c:ptCount val="4"/>
                <c:pt idx="0">
                  <c:v>-179023.55395527009</c:v>
                </c:pt>
                <c:pt idx="1">
                  <c:v>112657.76394446184</c:v>
                </c:pt>
                <c:pt idx="2">
                  <c:v>134056.07452160004</c:v>
                </c:pt>
                <c:pt idx="3">
                  <c:v>67690.284510791782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2-4662-BA65-BC3C695DDCD5}"/>
            </c:ext>
          </c:extLst>
        </c:ser>
        <c:ser>
          <c:idx val="1"/>
          <c:order val="1"/>
          <c:tx>
            <c:v>$ ARV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Result'!$E$54:$E$56,'Total Result'!$E$58)</c:f>
              <c:numCache>
                <c:formatCode>_("$"* #,##0.00_);_("$"* \(#,##0.00\);_("$"*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134056.07452160004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2566815"/>
        <c:axId val="1256325423"/>
      </c:barChart>
      <c:lineChart>
        <c:grouping val="standard"/>
        <c:varyColors val="0"/>
        <c:ser>
          <c:idx val="2"/>
          <c:order val="2"/>
          <c:tx>
            <c:v>% Original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Result'!$D$54:$D$56</c:f>
              <c:numCache>
                <c:formatCode>0.00%</c:formatCode>
                <c:ptCount val="3"/>
                <c:pt idx="0">
                  <c:v>-0.59448613254722082</c:v>
                </c:pt>
                <c:pt idx="1">
                  <c:v>0.37410428353743058</c:v>
                </c:pt>
                <c:pt idx="2">
                  <c:v>0.44516196626685273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2-4662-BA65-BC3C695DDCD5}"/>
            </c:ext>
          </c:extLst>
        </c:ser>
        <c:ser>
          <c:idx val="3"/>
          <c:order val="3"/>
          <c:tx>
            <c:v>% 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Result'!$F$54:$F$56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0.10067746708442858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229455"/>
        <c:axId val="1028269423"/>
      </c:lineChart>
      <c:catAx>
        <c:axId val="102256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25423"/>
        <c:crosses val="autoZero"/>
        <c:auto val="1"/>
        <c:lblAlgn val="ctr"/>
        <c:lblOffset val="100"/>
        <c:noMultiLvlLbl val="0"/>
      </c:catAx>
      <c:valAx>
        <c:axId val="12563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66815"/>
        <c:crosses val="autoZero"/>
        <c:crossBetween val="between"/>
      </c:valAx>
      <c:valAx>
        <c:axId val="10282694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9455"/>
        <c:crosses val="max"/>
        <c:crossBetween val="between"/>
      </c:valAx>
      <c:catAx>
        <c:axId val="737229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26942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10 year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Result'!$C$61:$C$63</c:f>
              <c:numCache>
                <c:formatCode>_("$"* #,##0.00_);_("$"* \(#,##0.00\);_("$"* "-"??_);_(@_)</c:formatCode>
                <c:ptCount val="3"/>
                <c:pt idx="0">
                  <c:v>-352012.81606178905</c:v>
                </c:pt>
                <c:pt idx="1">
                  <c:v>258770.44802082863</c:v>
                </c:pt>
                <c:pt idx="2">
                  <c:v>206776.58263239125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84E-B927-BE84E9342902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Result'!$E$61:$E$63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206776.58263239125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066991"/>
        <c:axId val="1014493423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Result'!$D$61:$D$63</c:f>
              <c:numCache>
                <c:formatCode>0.00%</c:formatCode>
                <c:ptCount val="3"/>
                <c:pt idx="0">
                  <c:v>-1.1689341039443084</c:v>
                </c:pt>
                <c:pt idx="1">
                  <c:v>0.8593028093937326</c:v>
                </c:pt>
                <c:pt idx="2">
                  <c:v>0.68664602056316415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84E-B927-BE84E9342902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Result'!$F$61:$F$63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0.15529130377787467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100511"/>
        <c:axId val="1014455151"/>
      </c:lineChart>
      <c:catAx>
        <c:axId val="11710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93423"/>
        <c:crosses val="autoZero"/>
        <c:auto val="1"/>
        <c:lblAlgn val="ctr"/>
        <c:lblOffset val="100"/>
        <c:noMultiLvlLbl val="0"/>
      </c:catAx>
      <c:valAx>
        <c:axId val="10144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6991"/>
        <c:crosses val="autoZero"/>
        <c:crossBetween val="between"/>
      </c:valAx>
      <c:valAx>
        <c:axId val="101445515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00511"/>
        <c:crosses val="max"/>
        <c:crossBetween val="between"/>
      </c:valAx>
      <c:catAx>
        <c:axId val="100910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5515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Result'!$C$67:$C$69</c:f>
              <c:numCache>
                <c:formatCode>_("$"* #,##0.00_);_("$"* \(#,##0.00\);_("$"* "-"??_);_(@_)</c:formatCode>
                <c:ptCount val="3"/>
                <c:pt idx="0">
                  <c:v>-519256.37005468254</c:v>
                </c:pt>
                <c:pt idx="1">
                  <c:v>451011.45767549612</c:v>
                </c:pt>
                <c:pt idx="2">
                  <c:v>445478.41976147844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E-4830-8511-67AC8C80061E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Result'!$E$67:$E$69</c:f>
              <c:numCache>
                <c:formatCode>_("$"* #,##0.00_);_("$"* \(#,##0.00\);_("$"*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445478.41976147844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494111"/>
        <c:axId val="1014461391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Result'!$D$67:$D$69</c:f>
              <c:numCache>
                <c:formatCode>0.00%</c:formatCode>
                <c:ptCount val="3"/>
                <c:pt idx="0">
                  <c:v>-1.7243022184189498</c:v>
                </c:pt>
                <c:pt idx="1">
                  <c:v>1.4976803402918779</c:v>
                </c:pt>
                <c:pt idx="2">
                  <c:v>1.4793067004100366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E-4830-8511-67AC8C80061E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Result'!$F$67:$F$69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0.33455879640226988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732095"/>
        <c:axId val="1014474703"/>
      </c:lineChart>
      <c:catAx>
        <c:axId val="11604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61391"/>
        <c:crosses val="autoZero"/>
        <c:auto val="1"/>
        <c:lblAlgn val="ctr"/>
        <c:lblOffset val="100"/>
        <c:noMultiLvlLbl val="0"/>
      </c:catAx>
      <c:valAx>
        <c:axId val="10144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94111"/>
        <c:crosses val="autoZero"/>
        <c:crossBetween val="between"/>
      </c:valAx>
      <c:valAx>
        <c:axId val="1014474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32095"/>
        <c:crosses val="max"/>
        <c:crossBetween val="between"/>
      </c:valAx>
      <c:catAx>
        <c:axId val="1012732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7470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 payment Principle/interest</a:t>
            </a:r>
          </a:p>
        </c:rich>
      </c:tx>
      <c:layout>
        <c:manualLayout>
          <c:xMode val="edge"/>
          <c:yMode val="edge"/>
          <c:x val="0.272010481361735"/>
          <c:y val="2.172226532195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result'!$C$4:$C$33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5-4D6A-AFB4-057F8BA1DE21}"/>
            </c:ext>
          </c:extLst>
        </c:ser>
        <c:ser>
          <c:idx val="1"/>
          <c:order val="1"/>
          <c:tx>
            <c:v>Interest payment</c:v>
          </c:tx>
          <c:spPr>
            <a:gradFill rotWithShape="1">
              <a:gsLst>
                <a:gs pos="0">
                  <a:schemeClr val="accent2">
                    <a:tint val="97000"/>
                    <a:satMod val="100000"/>
                    <a:lumMod val="102000"/>
                  </a:schemeClr>
                </a:gs>
                <a:gs pos="50000">
                  <a:schemeClr val="accent2">
                    <a:shade val="100000"/>
                    <a:satMod val="100000"/>
                    <a:lumMod val="100000"/>
                  </a:schemeClr>
                </a:gs>
                <a:gs pos="100000">
                  <a:schemeClr val="accent2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result'!$E$4:$E$33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683248"/>
        <c:axId val="693010160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 ARV result'!$G$4:$G$33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830112"/>
        <c:axId val="795389520"/>
      </c:lineChart>
      <c:catAx>
        <c:axId val="9136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0160"/>
        <c:crosses val="autoZero"/>
        <c:auto val="1"/>
        <c:lblAlgn val="ctr"/>
        <c:lblOffset val="100"/>
        <c:noMultiLvlLbl val="0"/>
      </c:catAx>
      <c:valAx>
        <c:axId val="693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248"/>
        <c:crosses val="autoZero"/>
        <c:crossBetween val="between"/>
      </c:valAx>
      <c:valAx>
        <c:axId val="7953895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30112"/>
        <c:crosses val="max"/>
        <c:crossBetween val="between"/>
      </c:valAx>
      <c:catAx>
        <c:axId val="10168301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38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19751.663828784745</c:v>
                </c:pt>
                <c:pt idx="1">
                  <c:v>20865.812924420865</c:v>
                </c:pt>
                <c:pt idx="2">
                  <c:v>22042.808786692309</c:v>
                </c:pt>
                <c:pt idx="3">
                  <c:v>23286.196467237107</c:v>
                </c:pt>
                <c:pt idx="4">
                  <c:v>24599.720986471155</c:v>
                </c:pt>
                <c:pt idx="5">
                  <c:v>25987.338613399144</c:v>
                </c:pt>
                <c:pt idx="6">
                  <c:v>27453.228781695383</c:v>
                </c:pt>
                <c:pt idx="7">
                  <c:v>29001.806677945417</c:v>
                </c:pt>
                <c:pt idx="8">
                  <c:v>30637.736539963244</c:v>
                </c:pt>
                <c:pt idx="9">
                  <c:v>32365.945705238293</c:v>
                </c:pt>
                <c:pt idx="10">
                  <c:v>34191.639451825184</c:v>
                </c:pt>
                <c:pt idx="11">
                  <c:v>36120.316676376307</c:v>
                </c:pt>
                <c:pt idx="12">
                  <c:v>38157.786456538663</c:v>
                </c:pt>
                <c:pt idx="13">
                  <c:v>40310.185547600166</c:v>
                </c:pt>
                <c:pt idx="14">
                  <c:v>42583.996866084242</c:v>
                </c:pt>
                <c:pt idx="15">
                  <c:v>44986.0690159644</c:v>
                </c:pt>
                <c:pt idx="16">
                  <c:v>47523.636916310985</c:v>
                </c:pt>
                <c:pt idx="17">
                  <c:v>50204.343592499135</c:v>
                </c:pt>
                <c:pt idx="18">
                  <c:v>53036.263196612257</c:v>
                </c:pt>
                <c:pt idx="19">
                  <c:v>56027.925326377277</c:v>
                </c:pt>
                <c:pt idx="20">
                  <c:v>59188.340715878767</c:v>
                </c:pt>
                <c:pt idx="21">
                  <c:v>62527.028375431553</c:v>
                </c:pt>
                <c:pt idx="22">
                  <c:v>66054.04426235531</c:v>
                </c:pt>
                <c:pt idx="23">
                  <c:v>69780.011569006208</c:v>
                </c:pt>
                <c:pt idx="24">
                  <c:v>73716.152719291553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D-4F89-9623-66DFA3F7E8DD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56179.02641683448</c:v>
                </c:pt>
                <c:pt idx="1">
                  <c:v>55064.877321198372</c:v>
                </c:pt>
                <c:pt idx="2">
                  <c:v>53887.881458926917</c:v>
                </c:pt>
                <c:pt idx="3">
                  <c:v>52644.493778382122</c:v>
                </c:pt>
                <c:pt idx="4">
                  <c:v>51330.969259148071</c:v>
                </c:pt>
                <c:pt idx="5">
                  <c:v>49943.351632220096</c:v>
                </c:pt>
                <c:pt idx="6">
                  <c:v>48477.46146392385</c:v>
                </c:pt>
                <c:pt idx="7">
                  <c:v>46928.883567673816</c:v>
                </c:pt>
                <c:pt idx="8">
                  <c:v>45292.953705655986</c:v>
                </c:pt>
                <c:pt idx="9">
                  <c:v>43564.74454038094</c:v>
                </c:pt>
                <c:pt idx="10">
                  <c:v>41739.050793794042</c:v>
                </c:pt>
                <c:pt idx="11">
                  <c:v>39810.373569242933</c:v>
                </c:pt>
                <c:pt idx="12">
                  <c:v>37772.90378908057</c:v>
                </c:pt>
                <c:pt idx="13">
                  <c:v>35620.504698019067</c:v>
                </c:pt>
                <c:pt idx="14">
                  <c:v>33346.693379534991</c:v>
                </c:pt>
                <c:pt idx="15">
                  <c:v>30944.621229654826</c:v>
                </c:pt>
                <c:pt idx="16">
                  <c:v>28407.053329308248</c:v>
                </c:pt>
                <c:pt idx="17">
                  <c:v>25726.346653120101</c:v>
                </c:pt>
                <c:pt idx="18">
                  <c:v>22894.427049006965</c:v>
                </c:pt>
                <c:pt idx="19">
                  <c:v>19902.764919241949</c:v>
                </c:pt>
                <c:pt idx="20">
                  <c:v>16742.349529740459</c:v>
                </c:pt>
                <c:pt idx="21">
                  <c:v>13403.661870187672</c:v>
                </c:pt>
                <c:pt idx="22">
                  <c:v>9876.6459832639175</c:v>
                </c:pt>
                <c:pt idx="23">
                  <c:v>6150.6786766130062</c:v>
                </c:pt>
                <c:pt idx="24">
                  <c:v>2214.5375263274609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 Result'!$G$5:$G$34</c:f>
              <c:numCache>
                <c:formatCode>0.00%</c:formatCode>
                <c:ptCount val="30"/>
                <c:pt idx="0">
                  <c:v>6.5589638801835506E-2</c:v>
                </c:pt>
                <c:pt idx="1">
                  <c:v>6.9289409990107145E-2</c:v>
                </c:pt>
                <c:pt idx="2">
                  <c:v>7.3197877355025268E-2</c:v>
                </c:pt>
                <c:pt idx="3">
                  <c:v>7.7326813001385095E-2</c:v>
                </c:pt>
                <c:pt idx="4">
                  <c:v>8.1688653073225592E-2</c:v>
                </c:pt>
                <c:pt idx="5">
                  <c:v>8.6296535210862543E-2</c:v>
                </c:pt>
                <c:pt idx="6">
                  <c:v>9.1164338120792263E-2</c:v>
                </c:pt>
                <c:pt idx="7">
                  <c:v>9.6306723377649658E-2</c:v>
                </c:pt>
                <c:pt idx="8">
                  <c:v>0.10173917958412447</c:v>
                </c:pt>
                <c:pt idx="9">
                  <c:v>0.10747806902184463</c:v>
                </c:pt>
                <c:pt idx="10">
                  <c:v>0.11354067693373575</c:v>
                </c:pt>
                <c:pt idx="11">
                  <c:v>0.11994526358629311</c:v>
                </c:pt>
                <c:pt idx="12">
                  <c:v>0.12671111926857495</c:v>
                </c:pt>
                <c:pt idx="13">
                  <c:v>0.13385862239357166</c:v>
                </c:pt>
                <c:pt idx="14">
                  <c:v>0.14140930087694839</c:v>
                </c:pt>
                <c:pt idx="15">
                  <c:v>0.14938589697803148</c:v>
                </c:pt>
                <c:pt idx="16">
                  <c:v>0.15781243579833626</c:v>
                </c:pt>
                <c:pt idx="17">
                  <c:v>0.1667142976439501</c:v>
                </c:pt>
                <c:pt idx="18">
                  <c:v>0.17611829446972257</c:v>
                </c:pt>
                <c:pt idx="19">
                  <c:v>0.18605275063550933</c:v>
                </c:pt>
                <c:pt idx="20">
                  <c:v>0.19654758821770196</c:v>
                </c:pt>
                <c:pt idx="21">
                  <c:v>0.20763441713299977</c:v>
                </c:pt>
                <c:pt idx="22">
                  <c:v>0.21934663034587007</c:v>
                </c:pt>
                <c:pt idx="23">
                  <c:v>0.2317195044464575</c:v>
                </c:pt>
                <c:pt idx="24">
                  <c:v>0.24479030590187803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233120"/>
        <c:axId val="425488544"/>
      </c:line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46320"/>
        <c:crosses val="autoZero"/>
        <c:crossBetween val="between"/>
      </c:valAx>
      <c:valAx>
        <c:axId val="4254885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33120"/>
        <c:crosses val="max"/>
        <c:crossBetween val="between"/>
      </c:valAx>
      <c:catAx>
        <c:axId val="90523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4254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-36578.779495030998</c:v>
                </c:pt>
                <c:pt idx="1">
                  <c:v>-36240.330931133351</c:v>
                </c:pt>
                <c:pt idx="2">
                  <c:v>-35912.384097525646</c:v>
                </c:pt>
                <c:pt idx="3">
                  <c:v>-35595.813950824057</c:v>
                </c:pt>
                <c:pt idx="4">
                  <c:v>-35291.538546274431</c:v>
                </c:pt>
                <c:pt idx="5">
                  <c:v>-35000.520885305654</c:v>
                </c:pt>
                <c:pt idx="6">
                  <c:v>-34723.770837978693</c:v>
                </c:pt>
                <c:pt idx="7">
                  <c:v>-34462.347143290579</c:v>
                </c:pt>
                <c:pt idx="8">
                  <c:v>-34217.359490407056</c:v>
                </c:pt>
                <c:pt idx="9">
                  <c:v>-33989.970684018655</c:v>
                </c:pt>
                <c:pt idx="10">
                  <c:v>-33781.398897138046</c:v>
                </c:pt>
                <c:pt idx="11">
                  <c:v>-33592.920014787356</c:v>
                </c:pt>
                <c:pt idx="12">
                  <c:v>-33425.870072157464</c:v>
                </c:pt>
                <c:pt idx="13">
                  <c:v>-33281.647790961491</c:v>
                </c:pt>
                <c:pt idx="14">
                  <c:v>-33161.717217849095</c:v>
                </c:pt>
                <c:pt idx="15">
                  <c:v>-33067.610468899737</c:v>
                </c:pt>
                <c:pt idx="16">
                  <c:v>-33000.930584368201</c:v>
                </c:pt>
                <c:pt idx="17">
                  <c:v>-32963.354498019638</c:v>
                </c:pt>
                <c:pt idx="18">
                  <c:v>-32956.636125558878</c:v>
                </c:pt>
                <c:pt idx="19">
                  <c:v>-32982.60957683481</c:v>
                </c:pt>
                <c:pt idx="20">
                  <c:v>-33043.192496682801</c:v>
                </c:pt>
                <c:pt idx="21">
                  <c:v>-33140.389539456883</c:v>
                </c:pt>
                <c:pt idx="22">
                  <c:v>-33276.295982499912</c:v>
                </c:pt>
                <c:pt idx="23">
                  <c:v>-33453.101484004736</c:v>
                </c:pt>
                <c:pt idx="24">
                  <c:v>-33673.093990930181</c:v>
                </c:pt>
                <c:pt idx="25">
                  <c:v>-33938.663802857205</c:v>
                </c:pt>
                <c:pt idx="26">
                  <c:v>-34252.307797898058</c:v>
                </c:pt>
                <c:pt idx="27">
                  <c:v>-34616.633827009762</c:v>
                </c:pt>
                <c:pt idx="28">
                  <c:v>-35034.365283309191</c:v>
                </c:pt>
                <c:pt idx="29">
                  <c:v>-35508.345853244507</c:v>
                </c:pt>
                <c:pt idx="30">
                  <c:v>39889.145788877227</c:v>
                </c:pt>
                <c:pt idx="31">
                  <c:v>39293.629861892972</c:v>
                </c:pt>
                <c:pt idx="32">
                  <c:v>38632.561610922727</c:v>
                </c:pt>
                <c:pt idx="33">
                  <c:v>37902.564772277081</c:v>
                </c:pt>
                <c:pt idx="34">
                  <c:v>37100.116046130206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-0.121467687769911</c:v>
                </c:pt>
                <c:pt idx="1">
                  <c:v>-0.12034379667640749</c:v>
                </c:pt>
                <c:pt idx="2">
                  <c:v>-0.11925477883218984</c:v>
                </c:pt>
                <c:pt idx="3">
                  <c:v>-0.11820353971848328</c:v>
                </c:pt>
                <c:pt idx="4">
                  <c:v>-0.11719312793476266</c:v>
                </c:pt>
                <c:pt idx="5">
                  <c:v>-0.11622674133394983</c:v>
                </c:pt>
                <c:pt idx="6">
                  <c:v>-0.11530773340631829</c:v>
                </c:pt>
                <c:pt idx="7">
                  <c:v>-0.11443961992193193</c:v>
                </c:pt>
                <c:pt idx="8">
                  <c:v>-0.11362608584182458</c:v>
                </c:pt>
                <c:pt idx="9">
                  <c:v>-0.11287099250852978</c:v>
                </c:pt>
                <c:pt idx="10">
                  <c:v>-0.11217838512697764</c:v>
                </c:pt>
                <c:pt idx="11">
                  <c:v>-0.11155250054721179</c:v>
                </c:pt>
                <c:pt idx="12">
                  <c:v>-0.11099777536082044</c:v>
                </c:pt>
                <c:pt idx="13">
                  <c:v>-0.11051885432344255</c:v>
                </c:pt>
                <c:pt idx="14">
                  <c:v>-0.11012059911618879</c:v>
                </c:pt>
                <c:pt idx="15">
                  <c:v>-0.10980809745932037</c:v>
                </c:pt>
                <c:pt idx="16">
                  <c:v>-0.10958667259204424</c:v>
                </c:pt>
                <c:pt idx="17">
                  <c:v>-0.10946189313282738</c:v>
                </c:pt>
                <c:pt idx="18">
                  <c:v>-0.1094395833351892</c:v>
                </c:pt>
                <c:pt idx="19">
                  <c:v>-0.10952583375451554</c:v>
                </c:pt>
                <c:pt idx="20">
                  <c:v>-0.10972701234204291</c:v>
                </c:pt>
                <c:pt idx="21">
                  <c:v>-0.11004977598278835</c:v>
                </c:pt>
                <c:pt idx="22">
                  <c:v>-0.1105010824948526</c:v>
                </c:pt>
                <c:pt idx="23">
                  <c:v>-0.11108820310820461</c:v>
                </c:pt>
                <c:pt idx="24">
                  <c:v>-0.11181873544175527</c:v>
                </c:pt>
                <c:pt idx="25">
                  <c:v>-0.11270061699826395</c:v>
                </c:pt>
                <c:pt idx="26">
                  <c:v>-0.11374213919737683</c:v>
                </c:pt>
                <c:pt idx="27">
                  <c:v>-0.1149519619678879</c:v>
                </c:pt>
                <c:pt idx="28">
                  <c:v>-0.11633912892113034</c:v>
                </c:pt>
                <c:pt idx="29">
                  <c:v>-0.11791308312826097</c:v>
                </c:pt>
                <c:pt idx="30">
                  <c:v>0.13246046951211141</c:v>
                </c:pt>
                <c:pt idx="31">
                  <c:v>0.13048293106825057</c:v>
                </c:pt>
                <c:pt idx="32">
                  <c:v>0.12828771206389961</c:v>
                </c:pt>
                <c:pt idx="33">
                  <c:v>0.12586360089087162</c:v>
                </c:pt>
                <c:pt idx="34">
                  <c:v>0.12319889767593215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70848"/>
        <c:axId val="1148776800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314448"/>
        <c:axId val="1148784288"/>
      </c:lineChart>
      <c:catAx>
        <c:axId val="10152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76800"/>
        <c:crosses val="autoZero"/>
        <c:auto val="1"/>
        <c:lblAlgn val="ctr"/>
        <c:lblOffset val="100"/>
        <c:noMultiLvlLbl val="0"/>
      </c:catAx>
      <c:valAx>
        <c:axId val="1148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70848"/>
        <c:crosses val="autoZero"/>
        <c:crossBetween val="between"/>
      </c:valAx>
      <c:valAx>
        <c:axId val="11487842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4448"/>
        <c:crosses val="max"/>
        <c:crossBetween val="between"/>
      </c:valAx>
      <c:catAx>
        <c:axId val="1015314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878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CF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 CF $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-36578.779495030998</c:v>
                </c:pt>
                <c:pt idx="1">
                  <c:v>-36240.330931133351</c:v>
                </c:pt>
                <c:pt idx="2">
                  <c:v>-35912.384097525646</c:v>
                </c:pt>
                <c:pt idx="3">
                  <c:v>-35595.813950824057</c:v>
                </c:pt>
                <c:pt idx="4">
                  <c:v>-35291.538546274431</c:v>
                </c:pt>
                <c:pt idx="5">
                  <c:v>-35000.520885305654</c:v>
                </c:pt>
                <c:pt idx="6">
                  <c:v>-34723.770837978693</c:v>
                </c:pt>
                <c:pt idx="7">
                  <c:v>-34462.347143290579</c:v>
                </c:pt>
                <c:pt idx="8">
                  <c:v>-34217.359490407056</c:v>
                </c:pt>
                <c:pt idx="9">
                  <c:v>-33989.970684018655</c:v>
                </c:pt>
                <c:pt idx="10">
                  <c:v>-33781.398897138046</c:v>
                </c:pt>
                <c:pt idx="11">
                  <c:v>-33592.920014787356</c:v>
                </c:pt>
                <c:pt idx="12">
                  <c:v>-33425.870072157464</c:v>
                </c:pt>
                <c:pt idx="13">
                  <c:v>-33281.647790961491</c:v>
                </c:pt>
                <c:pt idx="14">
                  <c:v>-33161.717217849095</c:v>
                </c:pt>
                <c:pt idx="15">
                  <c:v>-33067.610468899737</c:v>
                </c:pt>
                <c:pt idx="16">
                  <c:v>-33000.930584368201</c:v>
                </c:pt>
                <c:pt idx="17">
                  <c:v>-32963.354498019638</c:v>
                </c:pt>
                <c:pt idx="18">
                  <c:v>-32956.636125558878</c:v>
                </c:pt>
                <c:pt idx="19">
                  <c:v>-32982.60957683481</c:v>
                </c:pt>
                <c:pt idx="20">
                  <c:v>-33043.192496682801</c:v>
                </c:pt>
                <c:pt idx="21">
                  <c:v>-33140.389539456883</c:v>
                </c:pt>
                <c:pt idx="22">
                  <c:v>-33276.295982499912</c:v>
                </c:pt>
                <c:pt idx="23">
                  <c:v>-33453.101484004736</c:v>
                </c:pt>
                <c:pt idx="24">
                  <c:v>-33673.093990930181</c:v>
                </c:pt>
                <c:pt idx="25">
                  <c:v>-33938.663802857205</c:v>
                </c:pt>
                <c:pt idx="26">
                  <c:v>-34252.307797898058</c:v>
                </c:pt>
                <c:pt idx="27">
                  <c:v>-34616.633827009762</c:v>
                </c:pt>
                <c:pt idx="28">
                  <c:v>-35034.365283309191</c:v>
                </c:pt>
                <c:pt idx="29">
                  <c:v>-35508.345853244507</c:v>
                </c:pt>
                <c:pt idx="30">
                  <c:v>39889.145788877227</c:v>
                </c:pt>
                <c:pt idx="31">
                  <c:v>39293.629861892972</c:v>
                </c:pt>
                <c:pt idx="32">
                  <c:v>38632.561610922727</c:v>
                </c:pt>
                <c:pt idx="33">
                  <c:v>37902.564772277081</c:v>
                </c:pt>
                <c:pt idx="34">
                  <c:v>37100.116046130206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5-485E-A891-1D802AA54A7C}"/>
            </c:ext>
          </c:extLst>
        </c:ser>
        <c:ser>
          <c:idx val="2"/>
          <c:order val="2"/>
          <c:tx>
            <c:v>ARV CF $</c:v>
          </c:tx>
          <c:spPr>
            <a:gradFill rotWithShape="1">
              <a:gsLst>
                <a:gs pos="0">
                  <a:schemeClr val="accent3">
                    <a:tint val="97000"/>
                    <a:satMod val="100000"/>
                    <a:lumMod val="102000"/>
                  </a:schemeClr>
                </a:gs>
                <a:gs pos="50000">
                  <a:schemeClr val="accent3">
                    <a:shade val="100000"/>
                    <a:satMod val="100000"/>
                    <a:lumMod val="100000"/>
                  </a:schemeClr>
                </a:gs>
                <a:gs pos="100000">
                  <a:schemeClr val="accent3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32000"/>
        <c:axId val="795412400"/>
      </c:barChart>
      <c:lineChart>
        <c:grouping val="standard"/>
        <c:varyColors val="0"/>
        <c:ser>
          <c:idx val="1"/>
          <c:order val="1"/>
          <c:tx>
            <c:v>Original CF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-0.121467687769911</c:v>
                </c:pt>
                <c:pt idx="1">
                  <c:v>-0.12034379667640749</c:v>
                </c:pt>
                <c:pt idx="2">
                  <c:v>-0.11925477883218984</c:v>
                </c:pt>
                <c:pt idx="3">
                  <c:v>-0.11820353971848328</c:v>
                </c:pt>
                <c:pt idx="4">
                  <c:v>-0.11719312793476266</c:v>
                </c:pt>
                <c:pt idx="5">
                  <c:v>-0.11622674133394983</c:v>
                </c:pt>
                <c:pt idx="6">
                  <c:v>-0.11530773340631829</c:v>
                </c:pt>
                <c:pt idx="7">
                  <c:v>-0.11443961992193193</c:v>
                </c:pt>
                <c:pt idx="8">
                  <c:v>-0.11362608584182458</c:v>
                </c:pt>
                <c:pt idx="9">
                  <c:v>-0.11287099250852978</c:v>
                </c:pt>
                <c:pt idx="10">
                  <c:v>-0.11217838512697764</c:v>
                </c:pt>
                <c:pt idx="11">
                  <c:v>-0.11155250054721179</c:v>
                </c:pt>
                <c:pt idx="12">
                  <c:v>-0.11099777536082044</c:v>
                </c:pt>
                <c:pt idx="13">
                  <c:v>-0.11051885432344255</c:v>
                </c:pt>
                <c:pt idx="14">
                  <c:v>-0.11012059911618879</c:v>
                </c:pt>
                <c:pt idx="15">
                  <c:v>-0.10980809745932037</c:v>
                </c:pt>
                <c:pt idx="16">
                  <c:v>-0.10958667259204424</c:v>
                </c:pt>
                <c:pt idx="17">
                  <c:v>-0.10946189313282738</c:v>
                </c:pt>
                <c:pt idx="18">
                  <c:v>-0.1094395833351892</c:v>
                </c:pt>
                <c:pt idx="19">
                  <c:v>-0.10952583375451554</c:v>
                </c:pt>
                <c:pt idx="20">
                  <c:v>-0.10972701234204291</c:v>
                </c:pt>
                <c:pt idx="21">
                  <c:v>-0.11004977598278835</c:v>
                </c:pt>
                <c:pt idx="22">
                  <c:v>-0.1105010824948526</c:v>
                </c:pt>
                <c:pt idx="23">
                  <c:v>-0.11108820310820461</c:v>
                </c:pt>
                <c:pt idx="24">
                  <c:v>-0.11181873544175527</c:v>
                </c:pt>
                <c:pt idx="25">
                  <c:v>-0.11270061699826395</c:v>
                </c:pt>
                <c:pt idx="26">
                  <c:v>-0.11374213919737683</c:v>
                </c:pt>
                <c:pt idx="27">
                  <c:v>-0.1149519619678879</c:v>
                </c:pt>
                <c:pt idx="28">
                  <c:v>-0.11633912892113034</c:v>
                </c:pt>
                <c:pt idx="29">
                  <c:v>-0.11791308312826097</c:v>
                </c:pt>
                <c:pt idx="30">
                  <c:v>0.13246046951211141</c:v>
                </c:pt>
                <c:pt idx="31">
                  <c:v>0.13048293106825057</c:v>
                </c:pt>
                <c:pt idx="32">
                  <c:v>0.12828771206389961</c:v>
                </c:pt>
                <c:pt idx="33">
                  <c:v>0.12586360089087162</c:v>
                </c:pt>
                <c:pt idx="34">
                  <c:v>0.12319889767593215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5-485E-A891-1D802AA54A7C}"/>
            </c:ext>
          </c:extLst>
        </c:ser>
        <c:ser>
          <c:idx val="3"/>
          <c:order val="3"/>
          <c:tx>
            <c:v>ARV CF %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026304"/>
        <c:axId val="1149958080"/>
      </c:lineChart>
      <c:catAx>
        <c:axId val="11434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2400"/>
        <c:crosses val="autoZero"/>
        <c:auto val="1"/>
        <c:lblAlgn val="ctr"/>
        <c:lblOffset val="100"/>
        <c:noMultiLvlLbl val="0"/>
      </c:catAx>
      <c:valAx>
        <c:axId val="795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2000"/>
        <c:crosses val="autoZero"/>
        <c:crossBetween val="between"/>
      </c:valAx>
      <c:valAx>
        <c:axId val="11499580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26304"/>
        <c:crosses val="max"/>
        <c:crossBetween val="between"/>
      </c:valAx>
      <c:catAx>
        <c:axId val="1141026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995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31" fmlaLink="$C$41" max="15" page="10" val="4"/>
</file>

<file path=xl/ctrlProps/ctrlProp2.xml><?xml version="1.0" encoding="utf-8"?>
<formControlPr xmlns="http://schemas.microsoft.com/office/spreadsheetml/2009/9/main" objectType="Spin" dx="31" fmlaLink="$C$42" max="15" page="10" val="3"/>
</file>

<file path=xl/ctrlProps/ctrlProp3.xml><?xml version="1.0" encoding="utf-8"?>
<formControlPr xmlns="http://schemas.microsoft.com/office/spreadsheetml/2009/9/main" objectType="Spin" dx="31" fmlaLink="$C$88" max="35" page="10" val="5"/>
</file>

<file path=xl/ctrlProps/ctrlProp4.xml><?xml version="1.0" encoding="utf-8"?>
<formControlPr xmlns="http://schemas.microsoft.com/office/spreadsheetml/2009/9/main" objectType="Spin" dx="31" fmlaLink="$C$50" max="15" page="10"/>
</file>

<file path=xl/ctrlProps/ctrlProp5.xml><?xml version="1.0" encoding="utf-8"?>
<formControlPr xmlns="http://schemas.microsoft.com/office/spreadsheetml/2009/9/main" objectType="Spin" dx="31" fmlaLink="$C$11" max="24" page="10" val="0"/>
</file>

<file path=xl/ctrlProps/ctrlProp6.xml><?xml version="1.0" encoding="utf-8"?>
<formControlPr xmlns="http://schemas.microsoft.com/office/spreadsheetml/2009/9/main" objectType="Spin" dx="31" fmlaLink="$C$50" max="15" page="10"/>
</file>

<file path=xl/ctrlProps/ctrlProp7.xml><?xml version="1.0" encoding="utf-8"?>
<formControlPr xmlns="http://schemas.microsoft.com/office/spreadsheetml/2009/9/main" objectType="Spin" dx="31" fmlaLink="$B$26" max="35" min="1" page="10"/>
</file>

<file path=xl/ctrlProps/ctrlProp8.xml><?xml version="1.0" encoding="utf-8"?>
<formControlPr xmlns="http://schemas.microsoft.com/office/spreadsheetml/2009/9/main" objectType="Spin" dx="31" fmlaLink="$B$29" max="30" min="1" page="10"/>
</file>

<file path=xl/ctrlProps/ctrlProp9.xml><?xml version="1.0" encoding="utf-8"?>
<formControlPr xmlns="http://schemas.microsoft.com/office/spreadsheetml/2009/9/main" objectType="Spin" dx="31" fmlaLink="$C$32" max="10" min="1" page="10"/>
</file>

<file path=xl/ctrlProps/ctrlProp10.xml><?xml version="1.0" encoding="utf-8"?>
<formControlPr xmlns="http://schemas.microsoft.com/office/spreadsheetml/2009/9/main" objectType="Spin" dx="31" fmlaLink="$C$41" max="15" page="10" val="0"/>
</file>

<file path=xl/ctrlProps/ctrlProp11.xml><?xml version="1.0" encoding="utf-8"?>
<formControlPr xmlns="http://schemas.microsoft.com/office/spreadsheetml/2009/9/main" objectType="Spin" dx="31" fmlaLink="$C$42" max="15" page="10" val="3"/>
</file>

<file path=xl/ctrlProps/ctrlProp12.xml><?xml version="1.0" encoding="utf-8"?>
<formControlPr xmlns="http://schemas.microsoft.com/office/spreadsheetml/2009/9/main" objectType="Spin" dx="31" fmlaLink="$C$88" max="35" page="10" val="5"/>
</file>

<file path=xl/ctrlProps/ctrlProp13.xml><?xml version="1.0" encoding="utf-8"?>
<formControlPr xmlns="http://schemas.microsoft.com/office/spreadsheetml/2009/9/main" objectType="Spin" dx="31" fmlaLink="$C$50" max="15" page="10" val="0"/>
</file>

<file path=xl/ctrlProps/ctrlProp14.xml><?xml version="1.0" encoding="utf-8"?>
<formControlPr xmlns="http://schemas.microsoft.com/office/spreadsheetml/2009/9/main" objectType="Spin" dx="31" fmlaLink="$C$11" max="24" page="10" val="0"/>
</file>

<file path=xl/ctrlProps/ctrlProp15.xml><?xml version="1.0" encoding="utf-8"?>
<formControlPr xmlns="http://schemas.microsoft.com/office/spreadsheetml/2009/9/main" objectType="Spin" dx="31" fmlaLink="$C$50" max="15" page="10" val="0"/>
</file>

<file path=xl/ctrlProps/ctrlProp16.xml><?xml version="1.0" encoding="utf-8"?>
<formControlPr xmlns="http://schemas.microsoft.com/office/spreadsheetml/2009/9/main" objectType="Spin" dx="31" fmlaLink="$E$14" max="24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s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Outputs!AF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2.png"/><Relationship Id="rId4" Type="http://schemas.openxmlformats.org/officeDocument/2006/relationships/hyperlink" Target="#Outputs!AY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Graph!A72"/><Relationship Id="rId2" Type="http://schemas.openxmlformats.org/officeDocument/2006/relationships/hyperlink" Target="#Graph!A55"/><Relationship Id="rId1" Type="http://schemas.openxmlformats.org/officeDocument/2006/relationships/hyperlink" Target="#Graph!A38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Graph!M22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Graph!A8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PR ARV result'!A1"/><Relationship Id="rId13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hyperlink" Target="#'PR Result'!A1"/><Relationship Id="rId12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hyperlink" Target="#'Total Result'!A71"/><Relationship Id="rId5" Type="http://schemas.openxmlformats.org/officeDocument/2006/relationships/chart" Target="../charts/chart8.xml"/><Relationship Id="rId10" Type="http://schemas.openxmlformats.org/officeDocument/2006/relationships/hyperlink" Target="#'Long term Result'!A53"/><Relationship Id="rId4" Type="http://schemas.openxmlformats.org/officeDocument/2006/relationships/chart" Target="../charts/chart7.xml"/><Relationship Id="rId9" Type="http://schemas.openxmlformats.org/officeDocument/2006/relationships/hyperlink" Target="#'Long term Result'!A46"/><Relationship Id="rId14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 ARV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Graph!A109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7</xdr:col>
      <xdr:colOff>209550</xdr:colOff>
      <xdr:row>42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474200" y="8572500"/>
          <a:ext cx="2101850" cy="7810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127000</xdr:colOff>
      <xdr:row>0</xdr:row>
      <xdr:rowOff>101600</xdr:rowOff>
    </xdr:from>
    <xdr:to>
      <xdr:col>4</xdr:col>
      <xdr:colOff>57150</xdr:colOff>
      <xdr:row>1</xdr:row>
      <xdr:rowOff>215900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334000" y="1016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13" name="Rectangle: Single Corner Snipped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1310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1752600</xdr:colOff>
          <xdr:row>40</xdr:row>
          <xdr:rowOff>68580</xdr:rowOff>
        </xdr:from>
        <xdr:to>
          <xdr:col>6</xdr:col>
          <xdr:colOff>1996440</xdr:colOff>
          <xdr:row>42</xdr:row>
          <xdr:rowOff>45720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273050</xdr:colOff>
      <xdr:row>84</xdr:row>
      <xdr:rowOff>146050</xdr:rowOff>
    </xdr:from>
    <xdr:to>
      <xdr:col>0</xdr:col>
      <xdr:colOff>812800</xdr:colOff>
      <xdr:row>85</xdr:row>
      <xdr:rowOff>57150</xdr:rowOff>
    </xdr:to>
    <xdr:sp macro="" textlink="">
      <xdr:nvSpPr>
        <xdr:cNvPr id="2" name="Arrow: Curved Down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73050" y="19862800"/>
          <a:ext cx="539750" cy="1841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587375</xdr:colOff>
      <xdr:row>5</xdr:row>
      <xdr:rowOff>174625</xdr:rowOff>
    </xdr:from>
    <xdr:to>
      <xdr:col>2</xdr:col>
      <xdr:colOff>1552575</xdr:colOff>
      <xdr:row>14</xdr:row>
      <xdr:rowOff>22225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99060</xdr:colOff>
          <xdr:row>24</xdr:row>
          <xdr:rowOff>38100</xdr:rowOff>
        </xdr:from>
        <xdr:to>
          <xdr:col>5</xdr:col>
          <xdr:colOff>259080</xdr:colOff>
          <xdr:row>25</xdr:row>
          <xdr:rowOff>175260</xdr:rowOff>
        </xdr:to>
        <xdr:sp macro="" textlink="">
          <xdr:nvSpPr>
            <xdr:cNvPr id="18435" name="Spinner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3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27</xdr:row>
          <xdr:rowOff>144780</xdr:rowOff>
        </xdr:from>
        <xdr:to>
          <xdr:col>7</xdr:col>
          <xdr:colOff>358140</xdr:colOff>
          <xdr:row>28</xdr:row>
          <xdr:rowOff>114300</xdr:rowOff>
        </xdr:to>
        <xdr:sp macro="" textlink="">
          <xdr:nvSpPr>
            <xdr:cNvPr id="18436" name="Spinner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3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251460</xdr:colOff>
          <xdr:row>30</xdr:row>
          <xdr:rowOff>60960</xdr:rowOff>
        </xdr:from>
        <xdr:to>
          <xdr:col>6</xdr:col>
          <xdr:colOff>449580</xdr:colOff>
          <xdr:row>31</xdr:row>
          <xdr:rowOff>198120</xdr:rowOff>
        </xdr:to>
        <xdr:sp macro="" textlink="">
          <xdr:nvSpPr>
            <xdr:cNvPr id="18439" name="Spinner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3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152400</xdr:colOff>
      <xdr:row>38</xdr:row>
      <xdr:rowOff>25400</xdr:rowOff>
    </xdr:from>
    <xdr:to>
      <xdr:col>5</xdr:col>
      <xdr:colOff>400050</xdr:colOff>
      <xdr:row>56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1</xdr:row>
      <xdr:rowOff>120650</xdr:rowOff>
    </xdr:from>
    <xdr:to>
      <xdr:col>31</xdr:col>
      <xdr:colOff>596900</xdr:colOff>
      <xdr:row>30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501650</xdr:colOff>
      <xdr:row>27</xdr:row>
      <xdr:rowOff>133350</xdr:rowOff>
    </xdr:from>
    <xdr:to>
      <xdr:col>9</xdr:col>
      <xdr:colOff>44450</xdr:colOff>
      <xdr:row>28</xdr:row>
      <xdr:rowOff>95250</xdr:rowOff>
    </xdr:to>
    <xdr:sp macro="" textlink="">
      <xdr:nvSpPr>
        <xdr:cNvPr id="11" name="Rectangle: Rounded Corners 10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8642350" y="3060700"/>
          <a:ext cx="762000" cy="336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 editAs="oneCell">
    <xdr:from>
      <xdr:col>5</xdr:col>
      <xdr:colOff>495300</xdr:colOff>
      <xdr:row>24</xdr:row>
      <xdr:rowOff>25400</xdr:rowOff>
    </xdr:from>
    <xdr:to>
      <xdr:col>6</xdr:col>
      <xdr:colOff>269779</xdr:colOff>
      <xdr:row>25</xdr:row>
      <xdr:rowOff>174582</xdr:rowOff>
    </xdr:to>
    <xdr:pic>
      <xdr:nvPicPr>
        <xdr:cNvPr id="2" name="Pictur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29450" y="2368550"/>
          <a:ext cx="771429" cy="342857"/>
        </a:xfrm>
        <a:prstGeom prst="rect">
          <a:avLst/>
        </a:prstGeom>
      </xdr:spPr>
    </xdr:pic>
    <xdr:clientData/>
  </xdr:twoCellAnchor>
  <xdr:twoCellAnchor>
    <xdr:from>
      <xdr:col>39</xdr:col>
      <xdr:colOff>171450</xdr:colOff>
      <xdr:row>1</xdr:row>
      <xdr:rowOff>88900</xdr:rowOff>
    </xdr:from>
    <xdr:to>
      <xdr:col>50</xdr:col>
      <xdr:colOff>577850</xdr:colOff>
      <xdr:row>30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53</xdr:row>
      <xdr:rowOff>190500</xdr:rowOff>
    </xdr:from>
    <xdr:to>
      <xdr:col>0</xdr:col>
      <xdr:colOff>2514600</xdr:colOff>
      <xdr:row>55</xdr:row>
      <xdr:rowOff>146050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752600" y="93154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1733550</xdr:colOff>
      <xdr:row>59</xdr:row>
      <xdr:rowOff>190500</xdr:rowOff>
    </xdr:from>
    <xdr:to>
      <xdr:col>0</xdr:col>
      <xdr:colOff>2495550</xdr:colOff>
      <xdr:row>61</xdr:row>
      <xdr:rowOff>146050</xdr:rowOff>
    </xdr:to>
    <xdr:sp macro="" textlink="">
      <xdr:nvSpPr>
        <xdr:cNvPr id="4" name="Rectangle: Rounded Corners 3" descr="Grap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733550" y="105092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1708150</xdr:colOff>
      <xdr:row>67</xdr:row>
      <xdr:rowOff>50800</xdr:rowOff>
    </xdr:from>
    <xdr:to>
      <xdr:col>0</xdr:col>
      <xdr:colOff>2470150</xdr:colOff>
      <xdr:row>69</xdr:row>
      <xdr:rowOff>6350</xdr:rowOff>
    </xdr:to>
    <xdr:sp macro="" textlink="">
      <xdr:nvSpPr>
        <xdr:cNvPr id="5" name="Rectangle: Rounded Corners 4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708150" y="119570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</xdr:row>
      <xdr:rowOff>0</xdr:rowOff>
    </xdr:from>
    <xdr:to>
      <xdr:col>5</xdr:col>
      <xdr:colOff>996950</xdr:colOff>
      <xdr:row>1</xdr:row>
      <xdr:rowOff>374650</xdr:rowOff>
    </xdr:to>
    <xdr:sp macro="" textlink="">
      <xdr:nvSpPr>
        <xdr:cNvPr id="4" name="Rectangle: Rounded Corners 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4876800" y="190500"/>
          <a:ext cx="80010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3</xdr:col>
      <xdr:colOff>857250</xdr:colOff>
      <xdr:row>3</xdr:row>
      <xdr:rowOff>12700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3943350" y="3810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</xdr:row>
      <xdr:rowOff>63500</xdr:rowOff>
    </xdr:from>
    <xdr:to>
      <xdr:col>12</xdr:col>
      <xdr:colOff>95250</xdr:colOff>
      <xdr:row>17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17</xdr:row>
      <xdr:rowOff>165100</xdr:rowOff>
    </xdr:from>
    <xdr:to>
      <xdr:col>12</xdr:col>
      <xdr:colOff>82550</xdr:colOff>
      <xdr:row>34</xdr:row>
      <xdr:rowOff>41276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34</xdr:row>
      <xdr:rowOff>101600</xdr:rowOff>
    </xdr:from>
    <xdr:to>
      <xdr:col>12</xdr:col>
      <xdr:colOff>76200</xdr:colOff>
      <xdr:row>51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501650</xdr:colOff>
      <xdr:row>51</xdr:row>
      <xdr:rowOff>76200</xdr:rowOff>
    </xdr:from>
    <xdr:to>
      <xdr:col>12</xdr:col>
      <xdr:colOff>57150</xdr:colOff>
      <xdr:row>67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88</xdr:row>
      <xdr:rowOff>152400</xdr:rowOff>
    </xdr:from>
    <xdr:to>
      <xdr:col>12</xdr:col>
      <xdr:colOff>241300</xdr:colOff>
      <xdr:row>111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44450</xdr:colOff>
      <xdr:row>68</xdr:row>
      <xdr:rowOff>114300</xdr:rowOff>
    </xdr:from>
    <xdr:to>
      <xdr:col>12</xdr:col>
      <xdr:colOff>95250</xdr:colOff>
      <xdr:row>88</xdr:row>
      <xdr:rowOff>82550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44450</xdr:colOff>
      <xdr:row>69</xdr:row>
      <xdr:rowOff>6350</xdr:rowOff>
    </xdr:from>
    <xdr:to>
      <xdr:col>1</xdr:col>
      <xdr:colOff>139700</xdr:colOff>
      <xdr:row>70</xdr:row>
      <xdr:rowOff>31750</xdr:rowOff>
    </xdr:to>
    <xdr:sp macro="" textlink="">
      <xdr:nvSpPr>
        <xdr:cNvPr id="2" name="Arrow: Curved Down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44450" y="16230600"/>
          <a:ext cx="488950" cy="2095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82550</xdr:colOff>
      <xdr:row>89</xdr:row>
      <xdr:rowOff>25400</xdr:rowOff>
    </xdr:from>
    <xdr:to>
      <xdr:col>1</xdr:col>
      <xdr:colOff>57150</xdr:colOff>
      <xdr:row>90</xdr:row>
      <xdr:rowOff>19050</xdr:rowOff>
    </xdr:to>
    <xdr:sp macro="" textlink="">
      <xdr:nvSpPr>
        <xdr:cNvPr id="11" name="Arrow: Curved Down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82550" y="19932650"/>
          <a:ext cx="36830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63500</xdr:rowOff>
    </xdr:from>
    <xdr:to>
      <xdr:col>1</xdr:col>
      <xdr:colOff>50800</xdr:colOff>
      <xdr:row>19</xdr:row>
      <xdr:rowOff>139700</xdr:rowOff>
    </xdr:to>
    <xdr:sp macro="" textlink="">
      <xdr:nvSpPr>
        <xdr:cNvPr id="12" name="Arrow: Curved Down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57150" y="6896100"/>
          <a:ext cx="387350" cy="2603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34</xdr:row>
      <xdr:rowOff>139700</xdr:rowOff>
    </xdr:from>
    <xdr:to>
      <xdr:col>1</xdr:col>
      <xdr:colOff>101600</xdr:colOff>
      <xdr:row>36</xdr:row>
      <xdr:rowOff>19050</xdr:rowOff>
    </xdr:to>
    <xdr:sp macro="" textlink="">
      <xdr:nvSpPr>
        <xdr:cNvPr id="13" name="Arrow: Curved Dow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88900" y="9918700"/>
          <a:ext cx="406400" cy="247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51</xdr:row>
      <xdr:rowOff>146050</xdr:rowOff>
    </xdr:from>
    <xdr:to>
      <xdr:col>1</xdr:col>
      <xdr:colOff>165100</xdr:colOff>
      <xdr:row>53</xdr:row>
      <xdr:rowOff>44450</xdr:rowOff>
    </xdr:to>
    <xdr:sp macro="" textlink="">
      <xdr:nvSpPr>
        <xdr:cNvPr id="14" name="Arrow: Curved Dow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63500" y="13055600"/>
          <a:ext cx="495300" cy="2667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139700</xdr:colOff>
      <xdr:row>17</xdr:row>
      <xdr:rowOff>171450</xdr:rowOff>
    </xdr:from>
    <xdr:to>
      <xdr:col>20</xdr:col>
      <xdr:colOff>184150</xdr:colOff>
      <xdr:row>34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165100</xdr:colOff>
      <xdr:row>34</xdr:row>
      <xdr:rowOff>88900</xdr:rowOff>
    </xdr:from>
    <xdr:to>
      <xdr:col>20</xdr:col>
      <xdr:colOff>254000</xdr:colOff>
      <xdr:row>51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152400</xdr:colOff>
      <xdr:row>1</xdr:row>
      <xdr:rowOff>57150</xdr:rowOff>
    </xdr:from>
    <xdr:to>
      <xdr:col>20</xdr:col>
      <xdr:colOff>196850</xdr:colOff>
      <xdr:row>17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0.02174</cdr:x>
      <cdr:y>0.02119</cdr:y>
    </cdr:from>
    <cdr:to>
      <cdr:x>0.08903</cdr:x>
      <cdr:y>0.09322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8539807-9A4A-48C4-B5CA-DAD3D7C72B42}"/>
            </a:ext>
          </a:extLst>
        </cdr:cNvPr>
        <cdr:cNvSpPr/>
      </cdr:nvSpPr>
      <cdr:spPr>
        <a:xfrm xmlns:a="http://schemas.openxmlformats.org/drawingml/2006/main">
          <a:off x="133350" y="63500"/>
          <a:ext cx="412750" cy="215900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0.00834</cdr:x>
      <cdr:y>0.01688</cdr:y>
    </cdr:from>
    <cdr:to>
      <cdr:x>0.07612</cdr:x>
      <cdr:y>0.08544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99DBFF11-5019-4BBD-AA4E-3B3BE95AD661}"/>
            </a:ext>
          </a:extLst>
        </cdr:cNvPr>
        <cdr:cNvSpPr/>
      </cdr:nvSpPr>
      <cdr:spPr>
        <a:xfrm xmlns:a="http://schemas.openxmlformats.org/drawingml/2006/main">
          <a:off x="50800" y="50800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8</xdr:col>
      <xdr:colOff>184150</xdr:colOff>
      <xdr:row>42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9321800" y="8407400"/>
          <a:ext cx="1930400" cy="7493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95250</xdr:colOff>
      <xdr:row>0</xdr:row>
      <xdr:rowOff>76200</xdr:rowOff>
    </xdr:from>
    <xdr:to>
      <xdr:col>4</xdr:col>
      <xdr:colOff>25400</xdr:colOff>
      <xdr:row>1</xdr:row>
      <xdr:rowOff>190500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5302250" y="762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4" name="Rectangle: Single Corner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73088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1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40</xdr:row>
          <xdr:rowOff>30480</xdr:rowOff>
        </xdr:from>
        <xdr:to>
          <xdr:col>7</xdr:col>
          <xdr:colOff>441960</xdr:colOff>
          <xdr:row>42</xdr:row>
          <xdr:rowOff>7620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10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10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244" name="Spinner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10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245" name="Spinner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10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246" name="Spinner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10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304800</xdr:colOff>
      <xdr:row>85</xdr:row>
      <xdr:rowOff>44450</xdr:rowOff>
    </xdr:from>
    <xdr:to>
      <xdr:col>0</xdr:col>
      <xdr:colOff>895350</xdr:colOff>
      <xdr:row>85</xdr:row>
      <xdr:rowOff>222250</xdr:rowOff>
    </xdr:to>
    <xdr:sp macro="" textlink="">
      <xdr:nvSpPr>
        <xdr:cNvPr id="5" name="Arrow: Curved Dow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304800" y="20034250"/>
          <a:ext cx="59055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</xdr:colOff>
          <xdr:row>12</xdr:row>
          <xdr:rowOff>342900</xdr:rowOff>
        </xdr:from>
        <xdr:to>
          <xdr:col>5</xdr:col>
          <xdr:colOff>304800</xdr:colOff>
          <xdr:row>14</xdr:row>
          <xdr:rowOff>76200</xdr:rowOff>
        </xdr:to>
        <xdr:sp macro="" textlink="">
          <xdr:nvSpPr>
            <xdr:cNvPr id="11265" name="Spinner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12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762000</xdr:colOff>
      <xdr:row>1</xdr:row>
      <xdr:rowOff>165100</xdr:rowOff>
    </xdr:to>
    <xdr:sp macro="" textlink="">
      <xdr:nvSpPr>
        <xdr:cNvPr id="7" name="Rectangle: Rounded Corners 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/>
      </xdr:nvSpPr>
      <xdr:spPr>
        <a:xfrm>
          <a:off x="3848100" y="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Custom 3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00000000-0008-0000-0200-00000200000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1-02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E6A4-9DBB-4D52-9BD8-DB1FC454F87E}">
  <sheetPr>
    <tabColor theme="9"/>
  </sheetPr>
  <dimension ref="A1:XFD35"/>
  <sheetViews>
    <sheetView workbookViewId="0">
      <selection activeCell="D5" sqref="D5"/>
    </sheetView>
  </sheetViews>
  <sheetFormatPr defaultColWidth="0" defaultRowHeight="14.4" zeroHeight="1" x14ac:dyDescent="0.3"/>
  <cols>
    <col min="1" max="1" width="8.77734375" style="732" customWidth="1"/>
    <col min="2" max="2" width="8.21875" style="715" customWidth="1"/>
    <col min="3" max="3" width="2.21875" style="715" customWidth="1"/>
    <col min="4" max="4" width="26.44140625" style="715" customWidth="1"/>
    <col min="5" max="5" width="65.5546875" style="715" bestFit="1" customWidth="1"/>
    <col min="6" max="6" width="8.109375" style="715" customWidth="1"/>
    <col min="7" max="16382" width="8.77734375" style="3" hidden="1"/>
    <col min="16383" max="16383" width="3.77734375" style="3" customWidth="1"/>
    <col min="16384" max="16384" width="4" style="3" customWidth="1"/>
  </cols>
  <sheetData>
    <row r="1" spans="1:6 16383:16384" s="714" customFormat="1" ht="15" thickBot="1" x14ac:dyDescent="0.35">
      <c r="A1" s="732"/>
      <c r="B1" s="732"/>
      <c r="C1" s="732"/>
      <c r="D1" s="732"/>
      <c r="E1" s="732"/>
      <c r="F1" s="732"/>
    </row>
    <row r="2" spans="1:6 16383:16384" s="707" customFormat="1" ht="19.8" thickBot="1" x14ac:dyDescent="0.4">
      <c r="A2" s="732"/>
      <c r="B2" s="716"/>
      <c r="C2" s="717"/>
      <c r="D2" s="718" t="s">
        <v>450</v>
      </c>
      <c r="E2" s="717"/>
      <c r="F2" s="719"/>
      <c r="XFC2" s="714"/>
      <c r="XFD2" s="714"/>
    </row>
    <row r="3" spans="1:6 16383:16384" s="707" customFormat="1" ht="18.600000000000001" thickTop="1" thickBot="1" x14ac:dyDescent="0.4">
      <c r="A3" s="732"/>
      <c r="B3" s="720"/>
      <c r="C3" s="890"/>
      <c r="D3" s="890" t="s">
        <v>451</v>
      </c>
      <c r="E3" s="890" t="s">
        <v>452</v>
      </c>
      <c r="F3" s="721"/>
      <c r="XFC3" s="714"/>
      <c r="XFD3" s="714"/>
    </row>
    <row r="4" spans="1:6 16383:16384" s="707" customFormat="1" ht="18" thickTop="1" x14ac:dyDescent="0.35">
      <c r="A4" s="732"/>
      <c r="B4" s="720"/>
      <c r="C4" s="722" t="s">
        <v>458</v>
      </c>
      <c r="E4" s="723"/>
      <c r="F4" s="721"/>
      <c r="XFC4" s="714"/>
      <c r="XFD4" s="714"/>
    </row>
    <row r="5" spans="1:6 16383:16384" s="707" customFormat="1" x14ac:dyDescent="0.3">
      <c r="A5" s="732"/>
      <c r="B5" s="720"/>
      <c r="D5" s="724" t="s">
        <v>459</v>
      </c>
      <c r="E5" s="725" t="s">
        <v>460</v>
      </c>
      <c r="F5" s="721"/>
      <c r="XFC5" s="714"/>
      <c r="XFD5" s="714"/>
    </row>
    <row r="6" spans="1:6 16383:16384" s="707" customFormat="1" x14ac:dyDescent="0.3">
      <c r="A6" s="732"/>
      <c r="B6" s="720"/>
      <c r="D6" s="724" t="s">
        <v>93</v>
      </c>
      <c r="E6" s="725" t="s">
        <v>460</v>
      </c>
      <c r="F6" s="721"/>
      <c r="XFC6" s="714"/>
      <c r="XFD6" s="714"/>
    </row>
    <row r="7" spans="1:6 16383:16384" s="707" customFormat="1" ht="15.6" x14ac:dyDescent="0.3">
      <c r="A7" s="732"/>
      <c r="B7" s="720"/>
      <c r="C7" s="726" t="s">
        <v>462</v>
      </c>
      <c r="F7" s="721"/>
      <c r="XFC7" s="714"/>
      <c r="XFD7" s="714"/>
    </row>
    <row r="8" spans="1:6 16383:16384" s="707" customFormat="1" x14ac:dyDescent="0.3">
      <c r="A8" s="732"/>
      <c r="B8" s="720"/>
      <c r="D8" s="728" t="s">
        <v>462</v>
      </c>
      <c r="E8" s="707" t="s">
        <v>453</v>
      </c>
      <c r="F8" s="721"/>
      <c r="XFC8" s="714"/>
      <c r="XFD8" s="714"/>
    </row>
    <row r="9" spans="1:6 16383:16384" s="707" customFormat="1" x14ac:dyDescent="0.3">
      <c r="A9" s="732"/>
      <c r="B9" s="720"/>
      <c r="D9" s="727" t="s">
        <v>455</v>
      </c>
      <c r="F9" s="721"/>
      <c r="XFC9" s="714"/>
      <c r="XFD9" s="714"/>
    </row>
    <row r="10" spans="1:6 16383:16384" s="707" customFormat="1" x14ac:dyDescent="0.3">
      <c r="A10" s="732"/>
      <c r="B10" s="720"/>
      <c r="D10" s="727" t="s">
        <v>464</v>
      </c>
      <c r="E10" s="707" t="s">
        <v>465</v>
      </c>
      <c r="F10" s="721"/>
      <c r="XFC10" s="714"/>
      <c r="XFD10" s="714"/>
    </row>
    <row r="11" spans="1:6 16383:16384" s="707" customFormat="1" ht="15.6" x14ac:dyDescent="0.3">
      <c r="A11" s="732"/>
      <c r="B11" s="720"/>
      <c r="C11" s="891" t="s">
        <v>461</v>
      </c>
      <c r="F11" s="721"/>
      <c r="XFC11" s="714"/>
      <c r="XFD11" s="714"/>
    </row>
    <row r="12" spans="1:6 16383:16384" s="707" customFormat="1" ht="15.6" x14ac:dyDescent="0.3">
      <c r="A12" s="732"/>
      <c r="B12" s="720"/>
      <c r="C12" s="891"/>
      <c r="D12" s="727" t="s">
        <v>518</v>
      </c>
      <c r="E12" s="707" t="s">
        <v>467</v>
      </c>
      <c r="F12" s="721"/>
      <c r="XFC12" s="714"/>
      <c r="XFD12" s="714"/>
    </row>
    <row r="13" spans="1:6 16383:16384" s="707" customFormat="1" x14ac:dyDescent="0.3">
      <c r="A13" s="732"/>
      <c r="B13" s="720"/>
      <c r="D13" s="727" t="s">
        <v>152</v>
      </c>
      <c r="E13" s="707" t="s">
        <v>463</v>
      </c>
      <c r="F13" s="721"/>
      <c r="XFC13" s="714"/>
      <c r="XFD13" s="714"/>
    </row>
    <row r="14" spans="1:6 16383:16384" s="707" customFormat="1" x14ac:dyDescent="0.3">
      <c r="A14" s="732"/>
      <c r="B14" s="720"/>
      <c r="D14" s="727" t="s">
        <v>322</v>
      </c>
      <c r="E14" s="707" t="s">
        <v>470</v>
      </c>
      <c r="F14" s="721"/>
      <c r="XFC14" s="714"/>
      <c r="XFD14" s="714"/>
    </row>
    <row r="15" spans="1:6 16383:16384" s="707" customFormat="1" x14ac:dyDescent="0.3">
      <c r="A15" s="732"/>
      <c r="B15" s="720"/>
      <c r="D15" s="727" t="s">
        <v>468</v>
      </c>
      <c r="E15" s="707" t="s">
        <v>469</v>
      </c>
      <c r="F15" s="721"/>
      <c r="XFC15" s="714"/>
      <c r="XFD15" s="714"/>
    </row>
    <row r="16" spans="1:6 16383:16384" s="707" customFormat="1" ht="15.6" x14ac:dyDescent="0.3">
      <c r="A16" s="732"/>
      <c r="B16" s="720"/>
      <c r="C16" s="892" t="s">
        <v>477</v>
      </c>
      <c r="D16" s="727"/>
      <c r="F16" s="721"/>
      <c r="XFC16" s="714"/>
      <c r="XFD16" s="714"/>
    </row>
    <row r="17" spans="1:6 16383:16384" s="707" customFormat="1" ht="15.6" x14ac:dyDescent="0.3">
      <c r="A17" s="732"/>
      <c r="B17" s="720"/>
      <c r="C17" s="892"/>
      <c r="D17" s="727" t="s">
        <v>478</v>
      </c>
      <c r="E17" s="707" t="s">
        <v>480</v>
      </c>
      <c r="F17" s="721"/>
      <c r="XFC17" s="714"/>
      <c r="XFD17" s="714"/>
    </row>
    <row r="18" spans="1:6 16383:16384" s="707" customFormat="1" ht="15.6" x14ac:dyDescent="0.3">
      <c r="A18" s="732"/>
      <c r="B18" s="720"/>
      <c r="C18" s="892"/>
      <c r="D18" s="727" t="s">
        <v>479</v>
      </c>
      <c r="E18" s="707" t="s">
        <v>481</v>
      </c>
      <c r="F18" s="721"/>
      <c r="XFC18" s="714"/>
      <c r="XFD18" s="714"/>
    </row>
    <row r="19" spans="1:6 16383:16384" s="707" customFormat="1" ht="15.6" x14ac:dyDescent="0.3">
      <c r="A19" s="732"/>
      <c r="B19" s="720"/>
      <c r="C19" s="893" t="s">
        <v>482</v>
      </c>
      <c r="D19" s="727"/>
      <c r="F19" s="721"/>
      <c r="XFC19" s="714"/>
      <c r="XFD19" s="714"/>
    </row>
    <row r="20" spans="1:6 16383:16384" s="707" customFormat="1" ht="15.6" x14ac:dyDescent="0.3">
      <c r="A20" s="732"/>
      <c r="B20" s="720"/>
      <c r="C20" s="893"/>
      <c r="D20" s="727" t="s">
        <v>519</v>
      </c>
      <c r="F20" s="721"/>
      <c r="XFC20" s="714"/>
      <c r="XFD20" s="714"/>
    </row>
    <row r="21" spans="1:6 16383:16384" s="707" customFormat="1" x14ac:dyDescent="0.3">
      <c r="A21" s="732"/>
      <c r="B21" s="720"/>
      <c r="D21" s="724" t="s">
        <v>456</v>
      </c>
      <c r="E21" s="707" t="s">
        <v>457</v>
      </c>
      <c r="F21" s="721"/>
      <c r="XFC21" s="714"/>
      <c r="XFD21" s="714"/>
    </row>
    <row r="22" spans="1:6 16383:16384" s="707" customFormat="1" x14ac:dyDescent="0.3">
      <c r="A22" s="732"/>
      <c r="B22" s="720"/>
      <c r="D22" s="724"/>
      <c r="F22" s="721"/>
      <c r="XFC22" s="714"/>
      <c r="XFD22" s="714"/>
    </row>
    <row r="23" spans="1:6 16383:16384" s="707" customFormat="1" ht="15.6" x14ac:dyDescent="0.3">
      <c r="A23" s="732"/>
      <c r="B23" s="720"/>
      <c r="C23" s="894" t="s">
        <v>471</v>
      </c>
      <c r="D23" s="727"/>
      <c r="F23" s="721"/>
      <c r="XFC23" s="714"/>
      <c r="XFD23" s="714"/>
    </row>
    <row r="24" spans="1:6 16383:16384" s="707" customFormat="1" x14ac:dyDescent="0.3">
      <c r="A24" s="732"/>
      <c r="B24" s="720"/>
      <c r="D24" s="727" t="s">
        <v>472</v>
      </c>
      <c r="E24" s="707" t="s">
        <v>473</v>
      </c>
      <c r="F24" s="721"/>
      <c r="XFC24" s="714"/>
      <c r="XFD24" s="714"/>
    </row>
    <row r="25" spans="1:6 16383:16384" s="707" customFormat="1" x14ac:dyDescent="0.3">
      <c r="A25" s="732"/>
      <c r="B25" s="720"/>
      <c r="D25" s="727" t="s">
        <v>474</v>
      </c>
      <c r="E25" s="707" t="s">
        <v>475</v>
      </c>
      <c r="F25" s="721"/>
      <c r="XFC25" s="714"/>
      <c r="XFD25" s="714"/>
    </row>
    <row r="26" spans="1:6 16383:16384" s="707" customFormat="1" ht="15.6" x14ac:dyDescent="0.3">
      <c r="A26" s="732"/>
      <c r="B26" s="720"/>
      <c r="C26" s="893" t="s">
        <v>476</v>
      </c>
      <c r="F26" s="721"/>
      <c r="XFC26" s="714"/>
      <c r="XFD26" s="714"/>
    </row>
    <row r="27" spans="1:6 16383:16384" s="707" customFormat="1" ht="15.6" x14ac:dyDescent="0.3">
      <c r="A27" s="732"/>
      <c r="B27" s="720"/>
      <c r="C27" s="893"/>
      <c r="D27" s="727" t="s">
        <v>321</v>
      </c>
      <c r="F27" s="721"/>
      <c r="XFC27" s="714"/>
      <c r="XFD27" s="714"/>
    </row>
    <row r="28" spans="1:6 16383:16384" s="707" customFormat="1" ht="15.6" x14ac:dyDescent="0.3">
      <c r="A28" s="732"/>
      <c r="B28" s="720"/>
      <c r="C28" s="893"/>
      <c r="D28" s="727" t="s">
        <v>466</v>
      </c>
      <c r="F28" s="721"/>
      <c r="XFC28" s="714"/>
      <c r="XFD28" s="714"/>
    </row>
    <row r="29" spans="1:6 16383:16384" s="707" customFormat="1" ht="15.6" x14ac:dyDescent="0.3">
      <c r="A29" s="732"/>
      <c r="B29" s="720"/>
      <c r="C29" s="893"/>
      <c r="D29" s="727" t="s">
        <v>152</v>
      </c>
      <c r="F29" s="721"/>
      <c r="XFC29" s="714"/>
      <c r="XFD29" s="714"/>
    </row>
    <row r="30" spans="1:6 16383:16384" s="707" customFormat="1" ht="15.6" x14ac:dyDescent="0.3">
      <c r="A30" s="732"/>
      <c r="B30" s="720"/>
      <c r="C30" s="893"/>
      <c r="D30" s="727" t="s">
        <v>322</v>
      </c>
      <c r="F30" s="721"/>
      <c r="XFC30" s="714"/>
      <c r="XFD30" s="714"/>
    </row>
    <row r="31" spans="1:6 16383:16384" s="707" customFormat="1" ht="15.6" x14ac:dyDescent="0.3">
      <c r="A31" s="732"/>
      <c r="B31" s="720"/>
      <c r="C31" s="893"/>
      <c r="D31" s="727" t="s">
        <v>468</v>
      </c>
      <c r="F31" s="721"/>
      <c r="XFC31" s="714"/>
      <c r="XFD31" s="714"/>
    </row>
    <row r="32" spans="1:6 16383:16384" s="707" customFormat="1" ht="15" thickBot="1" x14ac:dyDescent="0.35">
      <c r="A32" s="732"/>
      <c r="B32" s="729"/>
      <c r="C32" s="730"/>
      <c r="D32" s="730"/>
      <c r="E32" s="730"/>
      <c r="F32" s="731"/>
      <c r="XFC32" s="714"/>
      <c r="XFD32" s="714"/>
    </row>
    <row r="33" spans="2:6 16383:16384" x14ac:dyDescent="0.3">
      <c r="B33" s="714"/>
      <c r="C33" s="714"/>
      <c r="D33" s="714"/>
      <c r="E33" s="714"/>
      <c r="F33" s="714"/>
      <c r="XFC33" s="714"/>
      <c r="XFD33" s="714"/>
    </row>
    <row r="34" spans="2:6 16383:16384" x14ac:dyDescent="0.3">
      <c r="B34" s="714"/>
      <c r="C34" s="714"/>
      <c r="D34" s="714"/>
      <c r="E34" s="714"/>
      <c r="F34" s="714"/>
      <c r="XFC34" s="714"/>
      <c r="XFD34" s="714"/>
    </row>
    <row r="35" spans="2:6 16383:16384" x14ac:dyDescent="0.3">
      <c r="B35" s="714"/>
      <c r="C35" s="714"/>
      <c r="D35" s="714"/>
      <c r="E35" s="714"/>
      <c r="F35" s="714"/>
      <c r="XFC35" s="714"/>
      <c r="XFD35" s="714"/>
    </row>
  </sheetData>
  <hyperlinks>
    <hyperlink ref="D8" location="Outputs!A1" display="Modify outputs" xr:uid="{F64697F5-038B-4044-BE85-99C09AB91C12}"/>
    <hyperlink ref="D21" location="'Deal structure'!A1" display="Deal Stracture" xr:uid="{5F5A7703-2848-4C2E-8239-611E3B735148}"/>
    <hyperlink ref="D5" location="'Calculating offering price'!A1" display="Number inputs (Calculating offering prce)" xr:uid="{B81DB143-FDCC-4B4C-83E2-4BB7529E40F8}"/>
    <hyperlink ref="D6" location="'ROI Number insert'!A1" display="Number inputs (ROI Calculation)" xr:uid="{1933D022-2D7C-476D-BFE0-30BB434FCF09}"/>
    <hyperlink ref="D9" location="'Total Result'!A1" display="Total Result" xr:uid="{40D00808-204B-4824-96F2-FAF46FB96424}"/>
    <hyperlink ref="D13" location="'Total CF'!A1" display="Total CF" xr:uid="{ECF84EEF-8C28-416E-9723-1DB2E05073BD}"/>
    <hyperlink ref="D10" location="'Financial Statement'!A1" display="First year financial statement" xr:uid="{4517DCFE-B5B9-4A1D-B38F-E71004B2FA9C}"/>
    <hyperlink ref="D12" location="'ROI details'!A1" display="4 ways to win" xr:uid="{B3C701A1-96BE-403F-9618-95DE9F271CE6}"/>
    <hyperlink ref="D14" location="'PR Result'!A1" display="Principal Recapture" xr:uid="{801959FA-21FB-4B22-95DD-BA7B104B41F6}"/>
    <hyperlink ref="D15" location="'Principal Recapture'!A1" display="Mortgage payment schedule" xr:uid="{1B1DCC8C-FFF7-4F86-9631-A5CF2711F284}"/>
    <hyperlink ref="D24" location="'Calculating offering price ARV'!A1" display="Reno cost, rental revenue" xr:uid="{241C22BA-AE3B-4E7F-A47C-930DFB973EB1}"/>
    <hyperlink ref="D25" location="'ROI Number insert ARV'!A1" display="New mortgage after refinance" xr:uid="{EE7E726F-9DAF-4A95-BCA8-950A1E757694}"/>
    <hyperlink ref="D28" location="'ROI Detail ARV'!A1" display="4 ways to win" xr:uid="{C9AAC31F-3479-4EDA-83D8-B3ECB5FC6B12}"/>
    <hyperlink ref="D29" location="'Total CF'!A1" display="Total CF" xr:uid="{0A8B9140-F447-46E2-B44C-50D1A3DC99C3}"/>
    <hyperlink ref="D30" location="'PR ARV result'!A1" display="Principal Recapture" xr:uid="{C90BD960-24C5-47F1-B412-5F7199ED77EE}"/>
    <hyperlink ref="D31" location="'Principle Recapture ARV'!A1" display="Mortgage payment schedule" xr:uid="{49512BE8-4F94-4293-8278-B7B214EC6701}"/>
    <hyperlink ref="D17" location="'Mortgage Caculator'!A1" display="Mortgage payment calculator" xr:uid="{1EB982F1-4F78-4B9E-9D3D-5132A7F5C276}"/>
    <hyperlink ref="D18" location="'Debt payment Calculator'!A1" display="Debt payment calculator" xr:uid="{CEB17A5B-6F24-4FB5-883E-F7580236564D}"/>
    <hyperlink ref="D27" location="'Financial Statement ARV'!A1" display="Financial Statement" xr:uid="{F11A6EAC-EAD3-40E4-A38D-AE02990C345E}"/>
    <hyperlink ref="D20" location="'Capital Budgeting'!A1" display="Capital Budgeting" xr:uid="{01311676-415D-435F-9A3E-61E099C0F8B3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4F36-9FB2-4C28-8A80-889C3C4C20B7}">
  <sheetPr codeName="Sheet9">
    <tabColor theme="2" tint="-0.249977111117893"/>
  </sheetPr>
  <dimension ref="A1:J118"/>
  <sheetViews>
    <sheetView topLeftCell="A20" workbookViewId="0">
      <selection activeCell="C31" sqref="C31"/>
    </sheetView>
  </sheetViews>
  <sheetFormatPr defaultColWidth="8.77734375" defaultRowHeight="14.4" x14ac:dyDescent="0.3"/>
  <cols>
    <col min="1" max="1" width="15.55468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9.77734375" style="3" hidden="1" customWidth="1"/>
    <col min="7" max="7" width="31" style="3" customWidth="1"/>
    <col min="8" max="8" width="15.33203125" style="3" customWidth="1"/>
    <col min="9" max="9" width="14.21875" style="3" customWidth="1"/>
    <col min="10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28" t="s">
        <v>1</v>
      </c>
      <c r="C2" s="929"/>
      <c r="F2" s="5"/>
    </row>
    <row r="3" spans="1:8" ht="31.05" customHeight="1" thickTop="1" thickBot="1" x14ac:dyDescent="0.35">
      <c r="B3" s="676" t="s">
        <v>2</v>
      </c>
      <c r="C3" s="647" t="s">
        <v>14</v>
      </c>
      <c r="F3" s="6" t="s">
        <v>4</v>
      </c>
    </row>
    <row r="4" spans="1:8" ht="16.2" thickTop="1" x14ac:dyDescent="0.3">
      <c r="B4" s="677" t="s">
        <v>5</v>
      </c>
      <c r="C4" s="803">
        <v>1588000</v>
      </c>
      <c r="F4" s="7" t="s">
        <v>6</v>
      </c>
      <c r="H4" s="4"/>
    </row>
    <row r="5" spans="1:8" ht="15.6" x14ac:dyDescent="0.3">
      <c r="B5" s="804" t="s">
        <v>7</v>
      </c>
      <c r="C5" s="806">
        <f>C59</f>
        <v>516823.52941176464</v>
      </c>
      <c r="D5" s="807" t="s">
        <v>511</v>
      </c>
      <c r="F5" s="3" t="s">
        <v>8</v>
      </c>
      <c r="H5" s="4"/>
    </row>
    <row r="6" spans="1:8" ht="13.5" customHeight="1" thickBot="1" x14ac:dyDescent="0.35">
      <c r="B6" s="678" t="s">
        <v>9</v>
      </c>
      <c r="C6" s="805">
        <v>1861</v>
      </c>
      <c r="F6" s="3" t="s">
        <v>10</v>
      </c>
      <c r="H6" s="4"/>
    </row>
    <row r="7" spans="1:8" ht="16.2" thickTop="1" x14ac:dyDescent="0.3">
      <c r="B7" s="678" t="s">
        <v>11</v>
      </c>
      <c r="C7" s="681">
        <f>C5*0.8</f>
        <v>413458.82352941175</v>
      </c>
      <c r="F7" s="3" t="s">
        <v>12</v>
      </c>
      <c r="H7" s="4"/>
    </row>
    <row r="8" spans="1:8" ht="15" customHeight="1" thickBot="1" x14ac:dyDescent="0.35">
      <c r="B8" s="678" t="s">
        <v>13</v>
      </c>
      <c r="C8" s="681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679" t="s">
        <v>15</v>
      </c>
      <c r="C9" s="648">
        <v>0</v>
      </c>
      <c r="D9" s="4"/>
      <c r="F9" s="3" t="s">
        <v>16</v>
      </c>
      <c r="H9" s="4"/>
    </row>
    <row r="10" spans="1:8" ht="16.8" thickTop="1" thickBot="1" x14ac:dyDescent="0.35">
      <c r="B10" s="678" t="s">
        <v>17</v>
      </c>
      <c r="C10" s="681">
        <f>C37</f>
        <v>7818.2316245859174</v>
      </c>
      <c r="D10" s="4"/>
      <c r="F10" s="3" t="s">
        <v>3</v>
      </c>
      <c r="H10" s="4"/>
    </row>
    <row r="11" spans="1:8" ht="16.8" thickTop="1" thickBot="1" x14ac:dyDescent="0.35">
      <c r="B11" s="678" t="s">
        <v>18</v>
      </c>
      <c r="C11" s="649">
        <v>0</v>
      </c>
      <c r="D11" s="4"/>
      <c r="F11" s="3" t="s">
        <v>323</v>
      </c>
      <c r="H11" s="4"/>
    </row>
    <row r="12" spans="1:8" ht="16.8" thickTop="1" thickBot="1" x14ac:dyDescent="0.35">
      <c r="B12" s="678" t="s">
        <v>19</v>
      </c>
      <c r="C12" s="681">
        <f>C10*C11</f>
        <v>0</v>
      </c>
      <c r="D12" s="4"/>
      <c r="F12" s="3" t="s">
        <v>500</v>
      </c>
      <c r="H12" s="10"/>
    </row>
    <row r="13" spans="1:8" ht="16.8" thickTop="1" thickBot="1" x14ac:dyDescent="0.35">
      <c r="B13" s="678" t="s">
        <v>20</v>
      </c>
      <c r="C13" s="650">
        <v>0.2</v>
      </c>
      <c r="D13" s="4"/>
      <c r="H13" s="4"/>
    </row>
    <row r="14" spans="1:8" ht="16.8" thickTop="1" thickBot="1" x14ac:dyDescent="0.35">
      <c r="A14" s="196"/>
      <c r="B14" s="680" t="s">
        <v>214</v>
      </c>
      <c r="C14" s="682">
        <f>C7-C9-C12-C8</f>
        <v>382449.41176470584</v>
      </c>
      <c r="D14" s="4"/>
      <c r="H14" s="4"/>
    </row>
    <row r="15" spans="1:8" ht="16.2" thickBot="1" x14ac:dyDescent="0.35">
      <c r="B15" s="930" t="s">
        <v>21</v>
      </c>
      <c r="C15" s="931"/>
      <c r="D15" s="4"/>
      <c r="H15" s="4"/>
    </row>
    <row r="16" spans="1:8" ht="15.6" x14ac:dyDescent="0.3">
      <c r="B16" s="683" t="s">
        <v>22</v>
      </c>
      <c r="C16" s="684">
        <f>C14*C13</f>
        <v>76489.882352941175</v>
      </c>
      <c r="D16" s="4"/>
      <c r="H16" s="4"/>
    </row>
    <row r="17" spans="2:9" ht="15.6" x14ac:dyDescent="0.3">
      <c r="B17" s="685" t="s">
        <v>234</v>
      </c>
      <c r="C17" s="686">
        <f>C14*4.5%</f>
        <v>17210.223529411764</v>
      </c>
      <c r="D17" s="8" t="s">
        <v>23</v>
      </c>
      <c r="H17" s="4"/>
    </row>
    <row r="18" spans="2:9" ht="16.2" thickBot="1" x14ac:dyDescent="0.35">
      <c r="B18" s="685" t="s">
        <v>24</v>
      </c>
      <c r="C18" s="686">
        <f>C9+C16+C17</f>
        <v>93700.105882352946</v>
      </c>
      <c r="D18" s="4"/>
      <c r="H18" s="4"/>
    </row>
    <row r="19" spans="2:9" ht="16.05" customHeight="1" thickTop="1" thickBot="1" x14ac:dyDescent="0.35">
      <c r="B19" s="687" t="s">
        <v>232</v>
      </c>
      <c r="C19" s="648">
        <v>208051</v>
      </c>
      <c r="D19" s="936" t="s">
        <v>235</v>
      </c>
      <c r="E19" s="937"/>
      <c r="F19" s="937"/>
      <c r="G19" s="937"/>
      <c r="H19" s="937"/>
    </row>
    <row r="20" spans="2:9" ht="21.75" customHeight="1" thickBot="1" x14ac:dyDescent="0.35">
      <c r="B20" s="932" t="s">
        <v>7</v>
      </c>
      <c r="C20" s="933"/>
      <c r="D20" s="8"/>
      <c r="E20" s="8"/>
      <c r="F20" s="8"/>
      <c r="G20" s="4"/>
      <c r="H20" s="4"/>
    </row>
    <row r="21" spans="2:9" ht="27.45" customHeight="1" x14ac:dyDescent="0.3">
      <c r="B21" s="688" t="s">
        <v>242</v>
      </c>
      <c r="C21" s="689" t="e">
        <f>C46*C6</f>
        <v>#DIV/0!</v>
      </c>
      <c r="D21" s="938" t="s">
        <v>25</v>
      </c>
      <c r="E21" s="939"/>
      <c r="F21" s="939"/>
      <c r="G21" s="939"/>
      <c r="H21" s="939"/>
      <c r="I21" s="244"/>
    </row>
    <row r="22" spans="2:9" ht="18.75" customHeight="1" x14ac:dyDescent="0.3">
      <c r="B22" s="690" t="str">
        <f>B66</f>
        <v>Conservative CF Multiplier Evaluation</v>
      </c>
      <c r="C22" s="691">
        <f>C78</f>
        <v>549125</v>
      </c>
      <c r="F22" s="4"/>
      <c r="G22" s="4"/>
      <c r="H22" s="4"/>
    </row>
    <row r="23" spans="2:9" ht="16.2" thickBot="1" x14ac:dyDescent="0.35">
      <c r="B23" s="690" t="str">
        <f>B47</f>
        <v>CF Multiplier Evaluation</v>
      </c>
      <c r="C23" s="691">
        <f>C59</f>
        <v>516823.52941176464</v>
      </c>
      <c r="H23" s="4"/>
    </row>
    <row r="24" spans="2:9" ht="16.2" thickBot="1" x14ac:dyDescent="0.35">
      <c r="B24" s="934" t="s">
        <v>26</v>
      </c>
      <c r="C24" s="935"/>
      <c r="H24" s="4"/>
    </row>
    <row r="25" spans="2:9" ht="15.6" x14ac:dyDescent="0.3">
      <c r="B25" s="324" t="s">
        <v>27</v>
      </c>
      <c r="C25" s="243">
        <f>C14*(100%-C13)</f>
        <v>305959.5294117647</v>
      </c>
      <c r="D25" s="8" t="s">
        <v>28</v>
      </c>
      <c r="H25" s="4"/>
    </row>
    <row r="26" spans="2:9" ht="15.6" x14ac:dyDescent="0.3">
      <c r="B26" s="708" t="s">
        <v>29</v>
      </c>
      <c r="C26" s="311">
        <f>'Mortgage Caculator'!C11</f>
        <v>6327.5575204682691</v>
      </c>
      <c r="D26" s="2" t="s">
        <v>30</v>
      </c>
    </row>
    <row r="27" spans="2:9" ht="16.2" thickBot="1" x14ac:dyDescent="0.35">
      <c r="B27" s="326" t="s">
        <v>31</v>
      </c>
      <c r="C27" s="18">
        <f>C26*12</f>
        <v>75930.690245619233</v>
      </c>
      <c r="G27" s="3" t="s">
        <v>530</v>
      </c>
      <c r="H27" s="4"/>
    </row>
    <row r="28" spans="2:9" ht="16.8" thickTop="1" thickBot="1" x14ac:dyDescent="0.35">
      <c r="B28" s="799" t="s">
        <v>32</v>
      </c>
      <c r="C28" s="802">
        <f>'ROI Number insert'!C5*'Calculating offering price'!I29</f>
        <v>3932.9457199999997</v>
      </c>
      <c r="D28" s="801" t="s">
        <v>211</v>
      </c>
      <c r="G28" s="795" t="str">
        <f>HYPERLINK("https://wowa.ca/taxes/" &amp; I28 &amp; "-property-tax", "Property tax rate web")</f>
        <v>Property tax rate web</v>
      </c>
      <c r="H28" s="796" t="s">
        <v>508</v>
      </c>
      <c r="I28" s="694" t="s">
        <v>509</v>
      </c>
    </row>
    <row r="29" spans="2:9" ht="16.8" thickTop="1" thickBot="1" x14ac:dyDescent="0.35">
      <c r="B29" s="328" t="s">
        <v>33</v>
      </c>
      <c r="C29" s="800">
        <f>C28/12</f>
        <v>327.74547666666666</v>
      </c>
      <c r="E29" s="15"/>
      <c r="F29" s="15"/>
      <c r="H29" s="797" t="s">
        <v>507</v>
      </c>
      <c r="I29" s="798">
        <v>2.8032399999999998E-3</v>
      </c>
    </row>
    <row r="30" spans="2:9" ht="27" customHeight="1" thickBot="1" x14ac:dyDescent="0.35">
      <c r="B30" s="329" t="s">
        <v>34</v>
      </c>
      <c r="C30" s="245">
        <f>'Debt payment Calculator'!C6</f>
        <v>0</v>
      </c>
      <c r="D30" s="940" t="s">
        <v>35</v>
      </c>
      <c r="E30" s="939"/>
      <c r="F30" s="939"/>
      <c r="G30" s="939"/>
      <c r="H30" s="939"/>
    </row>
    <row r="31" spans="2:9" ht="16.5" customHeight="1" thickTop="1" thickBot="1" x14ac:dyDescent="0.35">
      <c r="B31" s="330" t="s">
        <v>246</v>
      </c>
      <c r="C31" s="648">
        <v>0</v>
      </c>
      <c r="D31" s="1007" t="s">
        <v>30</v>
      </c>
      <c r="E31" s="271"/>
      <c r="F31" s="271"/>
      <c r="G31" s="271"/>
      <c r="H31" s="271"/>
    </row>
    <row r="32" spans="2:9" ht="16.8" thickTop="1" thickBot="1" x14ac:dyDescent="0.35">
      <c r="B32" s="331" t="s">
        <v>36</v>
      </c>
      <c r="C32" s="651">
        <f>125*12</f>
        <v>1500</v>
      </c>
      <c r="F32" s="4"/>
      <c r="G32" s="4"/>
      <c r="H32" s="4"/>
    </row>
    <row r="33" spans="2:9" ht="13.5" customHeight="1" thickTop="1" thickBot="1" x14ac:dyDescent="0.35">
      <c r="B33" s="331" t="s">
        <v>37</v>
      </c>
      <c r="C33" s="16">
        <f>C7*0.38%</f>
        <v>1571.1435294117646</v>
      </c>
      <c r="D33" s="2" t="s">
        <v>38</v>
      </c>
      <c r="F33" s="4"/>
      <c r="G33" s="4"/>
      <c r="H33" s="4"/>
    </row>
    <row r="34" spans="2:9" ht="16.8" thickTop="1" thickBot="1" x14ac:dyDescent="0.35">
      <c r="B34" s="332" t="s">
        <v>39</v>
      </c>
      <c r="C34" s="651">
        <v>907</v>
      </c>
      <c r="F34" s="4"/>
      <c r="G34" s="4"/>
      <c r="H34" s="4"/>
    </row>
    <row r="35" spans="2:9" ht="16.2" thickTop="1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>
        <f>C27+C28+(C30*12)+C32+C33+C35</f>
        <v>93818.779495031005</v>
      </c>
      <c r="F36" s="4"/>
      <c r="G36" s="4"/>
      <c r="H36" s="4"/>
    </row>
    <row r="37" spans="2:9" ht="16.2" thickBot="1" x14ac:dyDescent="0.35">
      <c r="B37" s="335" t="s">
        <v>42</v>
      </c>
      <c r="C37" s="19">
        <f>C36/12</f>
        <v>7818.2316245859174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6.2" thickBot="1" x14ac:dyDescent="0.35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/>
    </row>
    <row r="41" spans="2:9" ht="16.8" thickTop="1" thickBot="1" x14ac:dyDescent="0.35">
      <c r="B41" s="338" t="s">
        <v>51</v>
      </c>
      <c r="C41" s="652">
        <v>4</v>
      </c>
      <c r="D41" s="20">
        <f>C41</f>
        <v>4</v>
      </c>
      <c r="E41" s="248">
        <f>C41</f>
        <v>4</v>
      </c>
      <c r="F41" s="4"/>
      <c r="G41" s="4"/>
      <c r="H41" s="4"/>
    </row>
    <row r="42" spans="2:9" ht="16.8" thickTop="1" thickBot="1" x14ac:dyDescent="0.35">
      <c r="B42" s="338" t="s">
        <v>52</v>
      </c>
      <c r="C42" s="652"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6.8" thickTop="1" thickBot="1" x14ac:dyDescent="0.35">
      <c r="B43" s="338" t="s">
        <v>9</v>
      </c>
      <c r="C43" s="652">
        <v>0</v>
      </c>
      <c r="D43" s="652">
        <v>0</v>
      </c>
      <c r="E43" s="652">
        <v>0</v>
      </c>
      <c r="F43" s="4"/>
      <c r="G43" s="4"/>
      <c r="H43" s="4"/>
    </row>
    <row r="44" spans="2:9" ht="28.95" customHeight="1" thickTop="1" thickBot="1" x14ac:dyDescent="0.35">
      <c r="B44" s="339" t="s">
        <v>53</v>
      </c>
      <c r="C44" s="648">
        <v>0</v>
      </c>
      <c r="D44" s="648">
        <v>0</v>
      </c>
      <c r="E44" s="648">
        <v>0</v>
      </c>
      <c r="F44" s="4"/>
      <c r="G44" s="937" t="s">
        <v>212</v>
      </c>
      <c r="H44" s="937"/>
      <c r="I44" s="937"/>
    </row>
    <row r="45" spans="2:9" ht="16.8" thickTop="1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53"/>
      <c r="C48" s="654" t="s">
        <v>56</v>
      </c>
      <c r="D48" s="670" t="s">
        <v>57</v>
      </c>
      <c r="E48" s="671" t="s">
        <v>58</v>
      </c>
      <c r="G48" s="4"/>
      <c r="H48" s="4"/>
    </row>
    <row r="49" spans="2:10" ht="16.8" thickTop="1" thickBot="1" x14ac:dyDescent="0.35">
      <c r="B49" s="655" t="s">
        <v>59</v>
      </c>
      <c r="C49" s="651">
        <v>5300</v>
      </c>
      <c r="D49" s="672">
        <v>0</v>
      </c>
      <c r="E49" s="672">
        <v>0</v>
      </c>
      <c r="F49" s="8" t="s">
        <v>60</v>
      </c>
      <c r="G49" s="4"/>
      <c r="H49" s="4"/>
    </row>
    <row r="50" spans="2:10" ht="15" customHeight="1" thickTop="1" thickBot="1" x14ac:dyDescent="0.35">
      <c r="B50" s="656" t="s">
        <v>61</v>
      </c>
      <c r="C50" s="652">
        <v>1</v>
      </c>
      <c r="D50" s="23" t="s">
        <v>502</v>
      </c>
      <c r="E50" s="24"/>
      <c r="F50" s="24"/>
      <c r="G50" s="24"/>
      <c r="H50" s="24"/>
      <c r="I50" s="25"/>
      <c r="J50" s="25"/>
    </row>
    <row r="51" spans="2:10" ht="16.2" thickTop="1" x14ac:dyDescent="0.3">
      <c r="B51" s="656" t="s">
        <v>62</v>
      </c>
      <c r="C51" s="657">
        <f>C49*C50</f>
        <v>5300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56" t="s">
        <v>63</v>
      </c>
      <c r="C52" s="657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56" t="s">
        <v>64</v>
      </c>
      <c r="C53" s="651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56" t="s">
        <v>65</v>
      </c>
      <c r="C54" s="651">
        <v>0</v>
      </c>
      <c r="D54" s="26"/>
      <c r="E54" s="692"/>
      <c r="F54" s="24"/>
      <c r="G54" s="24"/>
      <c r="H54" s="24"/>
      <c r="I54" s="25"/>
      <c r="J54" s="25"/>
    </row>
    <row r="55" spans="2:10" ht="16.8" thickTop="1" thickBot="1" x14ac:dyDescent="0.35">
      <c r="B55" s="656" t="s">
        <v>66</v>
      </c>
      <c r="C55" s="651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56" t="s">
        <v>67</v>
      </c>
      <c r="C56" s="651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56" t="s">
        <v>68</v>
      </c>
      <c r="C57" s="657">
        <f>SUM(D49,E49,C51,C53:C56)</f>
        <v>5300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58" t="s">
        <v>69</v>
      </c>
      <c r="C58" s="659">
        <f>C57-C52</f>
        <v>4393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60" t="s">
        <v>7</v>
      </c>
      <c r="C59" s="661">
        <f>C58/0.85%</f>
        <v>516823.52941176464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60" t="s">
        <v>5</v>
      </c>
      <c r="C60" s="661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62" t="s">
        <v>72</v>
      </c>
      <c r="C61" s="663">
        <f>C14*0.6%</f>
        <v>2294.6964705882351</v>
      </c>
      <c r="D61" s="927" t="s">
        <v>213</v>
      </c>
      <c r="E61" s="927"/>
      <c r="F61" s="927"/>
      <c r="G61" s="927"/>
      <c r="H61" s="927"/>
      <c r="I61" s="23"/>
      <c r="J61" s="23"/>
    </row>
    <row r="62" spans="2:10" s="32" customFormat="1" ht="15.6" x14ac:dyDescent="0.3">
      <c r="B62" s="664" t="s">
        <v>74</v>
      </c>
      <c r="C62" s="665">
        <f>(C60-C14)/C60</f>
        <v>0.75916283893910219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66" t="s">
        <v>76</v>
      </c>
      <c r="C63" s="667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68" t="s">
        <v>78</v>
      </c>
      <c r="C64" s="669">
        <f>(C60-C59)/C60</f>
        <v>0.67454437694473268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5300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5300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5300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4393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549125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>
        <f>C14*0.8%</f>
        <v>3059.595294117647</v>
      </c>
      <c r="D80" s="941" t="s">
        <v>73</v>
      </c>
      <c r="E80" s="941"/>
      <c r="F80" s="941"/>
      <c r="G80" s="941"/>
      <c r="H80" s="941"/>
      <c r="I80" s="941"/>
    </row>
    <row r="81" spans="2:9" ht="15.6" x14ac:dyDescent="0.3">
      <c r="B81" s="351" t="s">
        <v>74</v>
      </c>
      <c r="C81" s="260">
        <f>(C79-C14)/C79</f>
        <v>0.75916283893910219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0.65420340050377834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42" t="s">
        <v>81</v>
      </c>
      <c r="C86" s="943"/>
      <c r="D86" s="2" t="s">
        <v>224</v>
      </c>
    </row>
    <row r="87" spans="2:9" ht="16.2" thickBot="1" x14ac:dyDescent="0.35">
      <c r="B87" s="356" t="s">
        <v>82</v>
      </c>
      <c r="C87" s="382">
        <f>'ROI Number insert'!F6</f>
        <v>0.02</v>
      </c>
      <c r="D87" s="2" t="s">
        <v>223</v>
      </c>
    </row>
    <row r="88" spans="2:9" ht="16.8" thickTop="1" thickBot="1" x14ac:dyDescent="0.35">
      <c r="B88" s="356" t="s">
        <v>83</v>
      </c>
      <c r="C88" s="673">
        <v>5</v>
      </c>
      <c r="D88" s="2" t="s">
        <v>84</v>
      </c>
    </row>
    <row r="89" spans="2:9" ht="16.2" thickTop="1" x14ac:dyDescent="0.3">
      <c r="B89" s="356" t="s">
        <v>250</v>
      </c>
      <c r="C89" s="287">
        <f ca="1">TODAY()</f>
        <v>44982</v>
      </c>
      <c r="D89" s="2"/>
    </row>
    <row r="90" spans="2:9" ht="15.6" x14ac:dyDescent="0.3">
      <c r="B90" s="356" t="s">
        <v>251</v>
      </c>
      <c r="C90" s="287">
        <f ca="1">C89+C88*366</f>
        <v>46812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insert'!F3</f>
        <v>465280.31548160012</v>
      </c>
    </row>
    <row r="94" spans="2:9" ht="15.6" x14ac:dyDescent="0.3">
      <c r="B94" s="359" t="s">
        <v>95</v>
      </c>
      <c r="C94" s="44">
        <f>'ROI Number insert'!F3</f>
        <v>1288000</v>
      </c>
    </row>
    <row r="95" spans="2:9" ht="15.6" x14ac:dyDescent="0.3">
      <c r="B95" s="360" t="s">
        <v>89</v>
      </c>
      <c r="C95" s="45">
        <f>FV(C87,C88,,-'ROI Number insert'!F3)</f>
        <v>1422056.0745216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134056.07452160004</v>
      </c>
      <c r="D96" s="3" t="s">
        <v>92</v>
      </c>
    </row>
    <row r="97" spans="2:4" ht="15" thickBot="1" x14ac:dyDescent="0.35"/>
    <row r="98" spans="2:4" ht="18.600000000000001" thickBot="1" x14ac:dyDescent="0.4">
      <c r="B98" s="944" t="s">
        <v>219</v>
      </c>
      <c r="C98" s="945"/>
    </row>
    <row r="99" spans="2:4" ht="16.8" thickTop="1" thickBot="1" x14ac:dyDescent="0.35">
      <c r="B99" s="363" t="s">
        <v>82</v>
      </c>
      <c r="C99" s="674">
        <v>1.4999999999999999E-2</v>
      </c>
      <c r="D99" s="3" t="s">
        <v>221</v>
      </c>
    </row>
    <row r="100" spans="2:4" ht="16.2" thickTop="1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48642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insert'!F3</f>
        <v>554938.83013993595</v>
      </c>
    </row>
    <row r="105" spans="2:4" ht="15.6" x14ac:dyDescent="0.3">
      <c r="B105" s="365" t="s">
        <v>95</v>
      </c>
      <c r="C105" s="49">
        <f>C94</f>
        <v>1288000</v>
      </c>
    </row>
    <row r="106" spans="2:4" ht="15.6" x14ac:dyDescent="0.3">
      <c r="B106" s="363" t="s">
        <v>89</v>
      </c>
      <c r="C106" s="47">
        <f>FV(C99,C100,,-'ROI Number insert'!F3)</f>
        <v>1494776.5826323912</v>
      </c>
    </row>
    <row r="107" spans="2:4" ht="16.2" thickBot="1" x14ac:dyDescent="0.35">
      <c r="B107" s="364" t="s">
        <v>91</v>
      </c>
      <c r="C107" s="48">
        <f>C106-C105</f>
        <v>206776.58263239125</v>
      </c>
    </row>
    <row r="108" spans="2:4" ht="15" thickBot="1" x14ac:dyDescent="0.35"/>
    <row r="109" spans="2:4" ht="18.600000000000001" thickBot="1" x14ac:dyDescent="0.4">
      <c r="B109" s="925" t="s">
        <v>220</v>
      </c>
      <c r="C109" s="926"/>
    </row>
    <row r="110" spans="2:4" ht="16.8" thickTop="1" thickBot="1" x14ac:dyDescent="0.35">
      <c r="B110" s="366" t="s">
        <v>82</v>
      </c>
      <c r="C110" s="674">
        <v>0.02</v>
      </c>
      <c r="D110" s="3" t="s">
        <v>222</v>
      </c>
    </row>
    <row r="111" spans="2:4" ht="16.2" thickTop="1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50472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insert'!F3</f>
        <v>849238.92125871731</v>
      </c>
    </row>
    <row r="116" spans="2:3" ht="15.6" x14ac:dyDescent="0.3">
      <c r="B116" s="368" t="s">
        <v>95</v>
      </c>
      <c r="C116" s="195">
        <f>C94</f>
        <v>1288000</v>
      </c>
    </row>
    <row r="117" spans="2:3" ht="15.6" x14ac:dyDescent="0.3">
      <c r="B117" s="366" t="s">
        <v>89</v>
      </c>
      <c r="C117" s="193">
        <f>FV(C110,C111,,-'ROI Number insert'!F3)</f>
        <v>1733478.4197614784</v>
      </c>
    </row>
    <row r="118" spans="2:3" ht="16.2" thickBot="1" x14ac:dyDescent="0.35">
      <c r="B118" s="367" t="s">
        <v>91</v>
      </c>
      <c r="C118" s="194">
        <f>C117-C116</f>
        <v>445478.41976147844</v>
      </c>
    </row>
  </sheetData>
  <mergeCells count="13">
    <mergeCell ref="B109:C109"/>
    <mergeCell ref="D61:H61"/>
    <mergeCell ref="B2:C2"/>
    <mergeCell ref="B15:C15"/>
    <mergeCell ref="B20:C20"/>
    <mergeCell ref="B24:C24"/>
    <mergeCell ref="D19:H19"/>
    <mergeCell ref="D21:H21"/>
    <mergeCell ref="D30:H30"/>
    <mergeCell ref="D80:I80"/>
    <mergeCell ref="B86:C86"/>
    <mergeCell ref="B98:C98"/>
    <mergeCell ref="G44:I44"/>
  </mergeCells>
  <dataValidations count="1">
    <dataValidation type="list" allowBlank="1" showInputMessage="1" showErrorMessage="1" sqref="C3" xr:uid="{C7AEF464-C42D-4A13-9F70-BBFF3175FEAD}">
      <formula1>$F$4:$F$12</formula1>
    </dataValidation>
  </dataValidations>
  <hyperlinks>
    <hyperlink ref="B30" location="'Debt payment Calculator'!A1" display="Debt Service/Month" xr:uid="{5A28EE5F-C74A-4516-8296-5090E94D8CB1}"/>
    <hyperlink ref="A1" location="'Table of contents'!A1" display="Table of contents" xr:uid="{7D4F49EC-8ACC-4B8A-9D84-9CCCB32DAC7C}"/>
    <hyperlink ref="B26" location="'Mortgage Caculator'!A1" display="Mortgage payment/month" xr:uid="{43CA3B91-9227-46B6-84D5-8ECC703D596E}"/>
    <hyperlink ref="D31" location="'Mortgage Caculator'!A1" display="Go to the mortgage calculator page " xr:uid="{9AC3930E-E767-418E-BE4F-8688C26C3519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Spinner 7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Spinner 8">
              <controlPr defaultSize="0" autoPict="0">
                <anchor moveWithCells="1" sizeWithCells="1">
                  <from>
                    <xdr:col>6</xdr:col>
                    <xdr:colOff>1752600</xdr:colOff>
                    <xdr:row>40</xdr:row>
                    <xdr:rowOff>68580</xdr:rowOff>
                  </from>
                  <to>
                    <xdr:col>6</xdr:col>
                    <xdr:colOff>1996440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Spinner 9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Spinner 10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Spinner 11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Spinner 12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FA08-45DD-4599-98E4-D1D4208B323C}">
  <sheetPr codeName="Sheet11">
    <tabColor theme="2" tint="-0.249977111117893"/>
  </sheetPr>
  <dimension ref="A1:P249"/>
  <sheetViews>
    <sheetView workbookViewId="0">
      <selection activeCell="H42" sqref="H42"/>
    </sheetView>
  </sheetViews>
  <sheetFormatPr defaultColWidth="0" defaultRowHeight="15.6" zeroHeight="1" x14ac:dyDescent="0.3"/>
  <cols>
    <col min="1" max="1" width="2.109375" style="1" customWidth="1"/>
    <col min="2" max="2" width="18.88671875" style="1" customWidth="1"/>
    <col min="3" max="3" width="25.21875" customWidth="1"/>
    <col min="4" max="4" width="1.88671875" style="1" customWidth="1"/>
    <col min="5" max="5" width="40.109375" customWidth="1"/>
    <col min="6" max="6" width="15.21875" style="161" customWidth="1"/>
    <col min="7" max="7" width="20.33203125" customWidth="1"/>
    <col min="8" max="8" width="26.109375" style="162" customWidth="1"/>
    <col min="9" max="9" width="20.21875" customWidth="1"/>
    <col min="10" max="10" width="1.6640625" hidden="1" customWidth="1"/>
    <col min="11" max="11" width="18.77734375" customWidth="1"/>
    <col min="12" max="12" width="19.33203125" customWidth="1"/>
    <col min="13" max="13" width="18.44140625" customWidth="1"/>
    <col min="14" max="14" width="19.33203125" customWidth="1"/>
    <col min="15" max="15" width="14.109375" hidden="1" customWidth="1"/>
    <col min="16" max="16" width="13.21875" hidden="1" customWidth="1"/>
    <col min="17" max="16384" width="8.88671875" hidden="1"/>
  </cols>
  <sheetData>
    <row r="1" spans="1:14" ht="42" customHeight="1" thickBot="1" x14ac:dyDescent="0.35">
      <c r="A1" s="646" t="s">
        <v>454</v>
      </c>
      <c r="C1" s="1"/>
      <c r="E1" s="948" t="s">
        <v>93</v>
      </c>
      <c r="F1" s="948"/>
      <c r="G1" s="948"/>
      <c r="H1" s="948"/>
      <c r="I1" s="948"/>
      <c r="J1" s="1"/>
      <c r="K1" s="1"/>
      <c r="L1" s="1"/>
      <c r="M1" s="1"/>
    </row>
    <row r="2" spans="1:14" ht="17.25" customHeight="1" thickTop="1" thickBot="1" x14ac:dyDescent="0.35">
      <c r="B2" s="307" t="s">
        <v>270</v>
      </c>
      <c r="C2" s="693">
        <v>44973</v>
      </c>
      <c r="E2" s="705" t="s">
        <v>5</v>
      </c>
      <c r="F2" s="706">
        <f>'Calculating offering price'!C4</f>
        <v>1588000</v>
      </c>
      <c r="G2" s="52"/>
      <c r="H2" s="949" t="s">
        <v>94</v>
      </c>
      <c r="I2" s="950"/>
      <c r="J2" s="1"/>
      <c r="K2" s="1"/>
      <c r="L2" s="1"/>
      <c r="M2" s="1"/>
      <c r="N2" s="1"/>
    </row>
    <row r="3" spans="1:14" ht="16.8" thickTop="1" thickBot="1" x14ac:dyDescent="0.35">
      <c r="B3" s="308" t="s">
        <v>271</v>
      </c>
      <c r="C3" s="694">
        <v>10267800</v>
      </c>
      <c r="D3" s="310"/>
      <c r="E3" s="704" t="s">
        <v>95</v>
      </c>
      <c r="F3" s="651">
        <v>1288000</v>
      </c>
      <c r="G3" s="285" t="s">
        <v>248</v>
      </c>
      <c r="H3" s="790" t="s">
        <v>96</v>
      </c>
      <c r="I3" s="791" cm="1">
        <f t="array" ref="I3">_xlfn.IFS(F3&lt;200000, 1%, OR(F3&gt;200001, F3&lt;2000000), 2%, F3&gt;2000001, 3%)</f>
        <v>0.02</v>
      </c>
      <c r="J3" s="1"/>
      <c r="K3" s="792"/>
      <c r="L3" s="1"/>
      <c r="M3" s="1"/>
      <c r="N3" s="1"/>
    </row>
    <row r="4" spans="1:14" ht="30" thickTop="1" thickBot="1" x14ac:dyDescent="0.35">
      <c r="B4" s="308" t="s">
        <v>272</v>
      </c>
      <c r="C4" s="787" t="s">
        <v>510</v>
      </c>
      <c r="D4" s="304"/>
      <c r="E4" s="302" t="s">
        <v>97</v>
      </c>
      <c r="F4" s="649">
        <v>25</v>
      </c>
      <c r="G4" s="285" t="s">
        <v>249</v>
      </c>
      <c r="H4" s="53" t="s">
        <v>98</v>
      </c>
      <c r="I4" s="789">
        <f>F3*I3</f>
        <v>25760</v>
      </c>
      <c r="J4" s="1"/>
      <c r="K4" s="1"/>
      <c r="L4" s="1"/>
      <c r="M4" s="1"/>
      <c r="N4" s="1"/>
    </row>
    <row r="5" spans="1:14" ht="16.8" thickTop="1" thickBot="1" x14ac:dyDescent="0.35">
      <c r="B5" s="309" t="s">
        <v>274</v>
      </c>
      <c r="C5" s="695">
        <v>1403000</v>
      </c>
      <c r="D5" s="304"/>
      <c r="E5" s="303" t="s">
        <v>99</v>
      </c>
      <c r="F5" s="696">
        <v>5.5E-2</v>
      </c>
      <c r="G5" s="1"/>
      <c r="H5" s="53" t="s">
        <v>100</v>
      </c>
      <c r="I5" s="672">
        <v>1200</v>
      </c>
      <c r="J5" s="1"/>
      <c r="K5" s="1"/>
      <c r="L5" s="1"/>
      <c r="M5" s="1"/>
      <c r="N5" s="1"/>
    </row>
    <row r="6" spans="1:14" ht="16.8" thickTop="1" thickBot="1" x14ac:dyDescent="0.35">
      <c r="D6" s="306"/>
      <c r="E6" s="303" t="s">
        <v>101</v>
      </c>
      <c r="F6" s="696">
        <v>0.02</v>
      </c>
      <c r="G6" s="1"/>
      <c r="H6" s="53" t="s">
        <v>102</v>
      </c>
      <c r="I6" s="672">
        <v>1200</v>
      </c>
      <c r="J6" s="1"/>
      <c r="K6" s="1"/>
      <c r="L6" s="1"/>
      <c r="M6" s="1"/>
      <c r="N6" s="1"/>
    </row>
    <row r="7" spans="1:14" ht="16.8" thickTop="1" thickBot="1" x14ac:dyDescent="0.35">
      <c r="C7" s="1"/>
      <c r="E7" s="56" t="s">
        <v>238</v>
      </c>
      <c r="F7" s="696">
        <v>3.85E-2</v>
      </c>
      <c r="G7" s="1"/>
      <c r="H7" s="57" t="s">
        <v>103</v>
      </c>
      <c r="I7" s="742">
        <v>2500</v>
      </c>
      <c r="J7" s="1"/>
      <c r="K7" s="1"/>
      <c r="L7" s="1"/>
      <c r="M7" s="1"/>
      <c r="N7" s="1"/>
    </row>
    <row r="8" spans="1:14" ht="16.8" thickTop="1" thickBot="1" x14ac:dyDescent="0.35">
      <c r="C8" s="1"/>
      <c r="E8" s="55" t="s">
        <v>104</v>
      </c>
      <c r="F8" s="696">
        <v>0.02</v>
      </c>
      <c r="G8" s="1"/>
      <c r="H8" s="57" t="s">
        <v>105</v>
      </c>
      <c r="I8" s="743">
        <v>0</v>
      </c>
      <c r="J8" s="1"/>
      <c r="K8" s="1"/>
      <c r="L8" s="1"/>
      <c r="M8" s="1"/>
      <c r="N8" s="1"/>
    </row>
    <row r="9" spans="1:14" ht="16.8" thickTop="1" thickBot="1" x14ac:dyDescent="0.35">
      <c r="C9" s="1"/>
      <c r="E9" s="56" t="s">
        <v>20</v>
      </c>
      <c r="F9" s="58">
        <f>'Calculating offering price'!C13</f>
        <v>0.2</v>
      </c>
      <c r="G9" s="1"/>
      <c r="H9" s="59" t="s">
        <v>106</v>
      </c>
      <c r="I9" s="60">
        <f>F3*1%</f>
        <v>12880</v>
      </c>
      <c r="J9" s="1"/>
      <c r="K9" s="1"/>
      <c r="L9" s="1"/>
      <c r="M9" s="1"/>
      <c r="N9" s="1"/>
    </row>
    <row r="10" spans="1:14" ht="16.2" thickBot="1" x14ac:dyDescent="0.35">
      <c r="C10" s="1"/>
      <c r="E10" s="55" t="s">
        <v>107</v>
      </c>
      <c r="F10" s="61">
        <f>SUM(I4:I9)</f>
        <v>43540</v>
      </c>
      <c r="G10" s="1"/>
      <c r="H10" s="951" t="s">
        <v>26</v>
      </c>
      <c r="I10" s="952"/>
      <c r="J10" s="1"/>
      <c r="K10" s="1"/>
      <c r="L10" s="1"/>
      <c r="M10" s="1"/>
      <c r="N10" s="1"/>
    </row>
    <row r="11" spans="1:14" x14ac:dyDescent="0.3">
      <c r="C11" s="1"/>
      <c r="E11" s="55" t="s">
        <v>108</v>
      </c>
      <c r="F11" s="62">
        <f>F3*F9</f>
        <v>257600</v>
      </c>
      <c r="G11" s="1"/>
      <c r="H11" s="279" t="s">
        <v>27</v>
      </c>
      <c r="I11" s="280">
        <f>F12</f>
        <v>1030400</v>
      </c>
      <c r="J11" s="1"/>
      <c r="K11" s="1"/>
      <c r="L11" s="1"/>
      <c r="M11" s="1"/>
      <c r="N11" s="1"/>
    </row>
    <row r="12" spans="1:14" ht="16.2" thickBot="1" x14ac:dyDescent="0.35">
      <c r="C12" s="1"/>
      <c r="E12" s="63" t="s">
        <v>109</v>
      </c>
      <c r="F12" s="64">
        <f>F3-F11</f>
        <v>1030400</v>
      </c>
      <c r="G12" s="1"/>
      <c r="H12" s="198" t="s">
        <v>110</v>
      </c>
      <c r="I12" s="65">
        <f>'Calculating offering price'!C26</f>
        <v>6327.5575204682691</v>
      </c>
      <c r="J12" s="1"/>
      <c r="K12" s="1"/>
      <c r="L12" s="1"/>
      <c r="M12" s="1"/>
      <c r="N12" s="1"/>
    </row>
    <row r="13" spans="1:14" ht="31.2" x14ac:dyDescent="0.3">
      <c r="C13" s="1"/>
      <c r="E13" s="700" t="s">
        <v>15</v>
      </c>
      <c r="F13" s="735">
        <f>'Calculating offering price'!C9</f>
        <v>0</v>
      </c>
      <c r="G13" s="1"/>
      <c r="H13" s="67" t="s">
        <v>31</v>
      </c>
      <c r="I13" s="68">
        <f>I12*12</f>
        <v>75930.690245619233</v>
      </c>
      <c r="J13" s="1"/>
      <c r="K13" s="1"/>
      <c r="L13" s="1"/>
      <c r="M13" s="1"/>
      <c r="N13" s="1"/>
    </row>
    <row r="14" spans="1:14" x14ac:dyDescent="0.3">
      <c r="C14" s="1"/>
      <c r="E14" s="734" t="s">
        <v>215</v>
      </c>
      <c r="F14" s="737">
        <f>'Calculating offering price'!C11</f>
        <v>0</v>
      </c>
      <c r="G14" s="1"/>
      <c r="H14" s="70" t="s">
        <v>111</v>
      </c>
      <c r="I14" s="71">
        <f>'Calculating offering price'!C28</f>
        <v>3932.9457199999997</v>
      </c>
      <c r="J14" s="1"/>
      <c r="K14" s="1"/>
      <c r="L14" s="1"/>
      <c r="M14" s="1"/>
      <c r="N14" s="1"/>
    </row>
    <row r="15" spans="1:14" x14ac:dyDescent="0.3">
      <c r="C15" s="1"/>
      <c r="E15" s="701" t="s">
        <v>26</v>
      </c>
      <c r="F15" s="736">
        <f>F16*F14</f>
        <v>0</v>
      </c>
      <c r="G15" s="1"/>
      <c r="H15" s="70" t="s">
        <v>33</v>
      </c>
      <c r="I15" s="73">
        <f>I14/12</f>
        <v>327.74547666666666</v>
      </c>
      <c r="J15" s="1"/>
      <c r="K15" s="74"/>
      <c r="L15" s="74"/>
      <c r="M15" s="74"/>
      <c r="N15" s="74"/>
    </row>
    <row r="16" spans="1:14" ht="16.05" customHeight="1" thickBot="1" x14ac:dyDescent="0.35">
      <c r="C16" s="1"/>
      <c r="E16" s="702" t="s">
        <v>216</v>
      </c>
      <c r="F16" s="703">
        <f>I23</f>
        <v>7818.2316245859174</v>
      </c>
      <c r="G16" s="1"/>
      <c r="H16" s="275" t="s">
        <v>112</v>
      </c>
      <c r="I16" s="276">
        <f>'Calculating offering price'!C30</f>
        <v>0</v>
      </c>
      <c r="J16" s="1"/>
      <c r="K16" s="1"/>
      <c r="L16" s="1"/>
      <c r="M16" s="1"/>
      <c r="N16" s="74"/>
    </row>
    <row r="17" spans="1:14" s="79" customFormat="1" ht="16.8" thickTop="1" thickBot="1" x14ac:dyDescent="0.35">
      <c r="A17" s="76"/>
      <c r="B17" s="1"/>
      <c r="C17" s="76"/>
      <c r="D17" s="76"/>
      <c r="E17" s="698" t="s">
        <v>209</v>
      </c>
      <c r="F17" s="651">
        <v>2000000</v>
      </c>
      <c r="G17" s="76"/>
      <c r="H17" s="281" t="s">
        <v>246</v>
      </c>
      <c r="I17" s="283">
        <f>'Calculating offering price'!C31</f>
        <v>0</v>
      </c>
      <c r="J17" s="76"/>
      <c r="K17" s="76"/>
      <c r="L17" s="76"/>
      <c r="M17" s="76"/>
      <c r="N17" s="78"/>
    </row>
    <row r="18" spans="1:14" s="79" customFormat="1" ht="16.8" thickTop="1" thickBot="1" x14ac:dyDescent="0.35">
      <c r="A18" s="76"/>
      <c r="B18" s="1"/>
      <c r="C18" s="76"/>
      <c r="D18" s="76"/>
      <c r="E18" s="699" t="s">
        <v>313</v>
      </c>
      <c r="F18" s="651">
        <v>0</v>
      </c>
      <c r="G18" s="76"/>
      <c r="H18" s="277" t="s">
        <v>36</v>
      </c>
      <c r="I18" s="278">
        <f>'Calculating offering price'!C32</f>
        <v>1500</v>
      </c>
      <c r="J18" s="76"/>
      <c r="K18" s="76"/>
      <c r="L18" s="76"/>
      <c r="M18" s="76"/>
      <c r="N18" s="78"/>
    </row>
    <row r="19" spans="1:14" s="79" customFormat="1" x14ac:dyDescent="0.3">
      <c r="A19" s="76"/>
      <c r="B19" s="1"/>
      <c r="C19" s="76"/>
      <c r="D19" s="76"/>
      <c r="E19" s="371" t="s">
        <v>114</v>
      </c>
      <c r="F19" s="372">
        <f>F11+F13+F15+F10</f>
        <v>301140</v>
      </c>
      <c r="G19" s="76"/>
      <c r="H19" s="77" t="s">
        <v>37</v>
      </c>
      <c r="I19" s="75">
        <f>'Calculating offering price'!C33</f>
        <v>1571.1435294117646</v>
      </c>
      <c r="J19" s="76"/>
      <c r="K19" s="76"/>
      <c r="L19" s="76"/>
      <c r="M19" s="76"/>
      <c r="N19" s="78"/>
    </row>
    <row r="20" spans="1:14" s="79" customFormat="1" ht="16.2" thickBot="1" x14ac:dyDescent="0.35">
      <c r="A20" s="76"/>
      <c r="B20" s="1"/>
      <c r="C20" s="76"/>
      <c r="D20" s="76"/>
      <c r="E20" s="91" t="s">
        <v>115</v>
      </c>
      <c r="F20" s="92">
        <f>F11+F10</f>
        <v>301140</v>
      </c>
      <c r="G20" s="76"/>
      <c r="H20" s="80" t="s">
        <v>39</v>
      </c>
      <c r="I20" s="81">
        <f>'Calculating offering price'!C34</f>
        <v>907</v>
      </c>
      <c r="J20" s="76"/>
      <c r="K20" s="76"/>
      <c r="L20" s="76"/>
      <c r="M20" s="76"/>
      <c r="N20" s="78"/>
    </row>
    <row r="21" spans="1:14" s="79" customFormat="1" ht="21.6" thickBot="1" x14ac:dyDescent="0.35">
      <c r="A21" s="76"/>
      <c r="B21" s="1"/>
      <c r="C21" s="76"/>
      <c r="D21" s="76"/>
      <c r="E21" s="197" t="s">
        <v>116</v>
      </c>
      <c r="F21" s="197"/>
      <c r="G21" s="76"/>
      <c r="H21" s="82" t="s">
        <v>40</v>
      </c>
      <c r="I21" s="83">
        <f>I20*12</f>
        <v>10884</v>
      </c>
      <c r="J21" s="76"/>
      <c r="K21" s="1"/>
      <c r="L21" s="1"/>
      <c r="M21" s="76"/>
      <c r="N21" s="78"/>
    </row>
    <row r="22" spans="1:14" s="79" customFormat="1" ht="15.45" customHeight="1" thickBot="1" x14ac:dyDescent="0.35">
      <c r="A22" s="76"/>
      <c r="B22" s="76"/>
      <c r="C22" s="76"/>
      <c r="D22" s="76"/>
      <c r="E22" s="955" t="s">
        <v>117</v>
      </c>
      <c r="F22" s="956"/>
      <c r="G22" s="76"/>
      <c r="H22" s="84" t="s">
        <v>41</v>
      </c>
      <c r="I22" s="85">
        <f>I13+I14+I16+I18+I19+I21+I17</f>
        <v>93818.779495031005</v>
      </c>
      <c r="J22" s="76"/>
      <c r="K22" s="76"/>
      <c r="L22" s="76"/>
      <c r="M22" s="76"/>
      <c r="N22" s="86"/>
    </row>
    <row r="23" spans="1:14" ht="16.2" thickBot="1" x14ac:dyDescent="0.35">
      <c r="C23" s="1"/>
      <c r="E23" s="93" t="s">
        <v>118</v>
      </c>
      <c r="F23" s="94">
        <f>'Calculating offering price'!C57</f>
        <v>5300</v>
      </c>
      <c r="G23" s="1"/>
      <c r="H23" s="87" t="s">
        <v>42</v>
      </c>
      <c r="I23" s="88">
        <f>I22/12</f>
        <v>7818.2316245859174</v>
      </c>
      <c r="J23" s="1"/>
      <c r="K23" s="89"/>
      <c r="L23" s="1"/>
      <c r="M23" s="1"/>
      <c r="N23" s="89"/>
    </row>
    <row r="24" spans="1:14" ht="16.8" thickTop="1" thickBot="1" x14ac:dyDescent="0.35">
      <c r="C24" s="1"/>
      <c r="E24" s="95" t="s">
        <v>119</v>
      </c>
      <c r="F24" s="96">
        <f>F23*12</f>
        <v>63600</v>
      </c>
      <c r="G24" s="90"/>
      <c r="H24" s="268" t="s">
        <v>225</v>
      </c>
      <c r="I24" s="788" t="s">
        <v>231</v>
      </c>
      <c r="J24" s="1"/>
      <c r="K24" s="89"/>
      <c r="L24" s="1"/>
      <c r="M24" s="1"/>
      <c r="N24" s="89"/>
    </row>
    <row r="25" spans="1:14" ht="16.8" thickTop="1" thickBot="1" x14ac:dyDescent="0.35">
      <c r="C25" s="1"/>
      <c r="E25" s="97" t="s">
        <v>120</v>
      </c>
      <c r="F25" s="697">
        <v>0</v>
      </c>
      <c r="G25" s="90"/>
      <c r="J25" s="1" t="s">
        <v>226</v>
      </c>
      <c r="K25" s="89"/>
      <c r="L25" s="1"/>
      <c r="M25" s="1"/>
      <c r="N25" s="89"/>
    </row>
    <row r="26" spans="1:14" ht="16.2" thickTop="1" x14ac:dyDescent="0.3">
      <c r="C26" s="1"/>
      <c r="E26" s="98" t="s">
        <v>121</v>
      </c>
      <c r="F26" s="99">
        <f>F24*F25</f>
        <v>0</v>
      </c>
      <c r="G26" s="1"/>
      <c r="H26" s="52"/>
      <c r="I26" s="1"/>
      <c r="J26" s="1" t="s">
        <v>227</v>
      </c>
      <c r="K26" s="89"/>
      <c r="L26" s="1"/>
      <c r="M26" s="1"/>
      <c r="N26" s="89"/>
    </row>
    <row r="27" spans="1:14" ht="16.2" thickBot="1" x14ac:dyDescent="0.35">
      <c r="C27" s="1"/>
      <c r="E27" s="272" t="s">
        <v>240</v>
      </c>
      <c r="F27" s="100">
        <f>F24-F26</f>
        <v>63600</v>
      </c>
      <c r="G27" s="89"/>
      <c r="H27" s="52"/>
      <c r="I27" s="1"/>
      <c r="J27" s="1" t="s">
        <v>229</v>
      </c>
      <c r="K27" s="1"/>
      <c r="L27" s="1"/>
      <c r="M27" s="1"/>
      <c r="N27" s="1"/>
    </row>
    <row r="28" spans="1:14" ht="21.6" thickBot="1" x14ac:dyDescent="0.35">
      <c r="C28" s="1"/>
      <c r="E28" s="953" t="s">
        <v>187</v>
      </c>
      <c r="F28" s="954"/>
      <c r="G28" s="89"/>
      <c r="H28" s="1"/>
      <c r="I28" s="1"/>
      <c r="J28" s="1" t="s">
        <v>228</v>
      </c>
      <c r="K28" s="1"/>
      <c r="L28" s="1"/>
      <c r="M28" s="1"/>
      <c r="N28" s="1"/>
    </row>
    <row r="29" spans="1:14" x14ac:dyDescent="0.3">
      <c r="C29" s="1"/>
      <c r="E29" s="101" t="s">
        <v>122</v>
      </c>
      <c r="F29" s="102">
        <f>I12</f>
        <v>6327.5575204682691</v>
      </c>
      <c r="G29" s="1"/>
      <c r="H29" s="1"/>
      <c r="I29" s="1"/>
      <c r="J29" s="1" t="s">
        <v>230</v>
      </c>
      <c r="K29" s="1"/>
      <c r="L29" s="1"/>
      <c r="M29" s="1"/>
      <c r="N29" s="1"/>
    </row>
    <row r="30" spans="1:14" ht="16.2" thickBot="1" x14ac:dyDescent="0.35">
      <c r="C30" s="1"/>
      <c r="E30" s="103" t="s">
        <v>123</v>
      </c>
      <c r="F30" s="104">
        <f>F29*12</f>
        <v>75930.690245619233</v>
      </c>
      <c r="G30" s="1"/>
      <c r="H30" s="1"/>
      <c r="I30" s="1"/>
      <c r="J30" s="1" t="s">
        <v>231</v>
      </c>
      <c r="K30" s="1"/>
      <c r="L30" s="1"/>
      <c r="M30" s="1"/>
      <c r="N30" s="1"/>
    </row>
    <row r="31" spans="1:14" ht="24" thickBot="1" x14ac:dyDescent="0.35">
      <c r="C31" s="1"/>
      <c r="E31" s="946" t="s">
        <v>239</v>
      </c>
      <c r="F31" s="947"/>
      <c r="G31" s="1"/>
      <c r="H31" s="1"/>
      <c r="I31" s="1"/>
      <c r="J31" s="1"/>
      <c r="K31" s="1"/>
      <c r="L31" s="1"/>
      <c r="M31" s="1"/>
      <c r="N31" s="1"/>
    </row>
    <row r="32" spans="1:14" x14ac:dyDescent="0.3">
      <c r="C32" s="1"/>
      <c r="E32" s="105" t="s">
        <v>124</v>
      </c>
      <c r="F32" s="739">
        <f>I14</f>
        <v>3932.9457199999997</v>
      </c>
      <c r="G32" s="1"/>
      <c r="H32" s="1"/>
      <c r="I32" s="1"/>
      <c r="J32" s="1"/>
      <c r="K32" s="1"/>
      <c r="L32" s="1"/>
      <c r="M32" s="1"/>
      <c r="N32" s="1"/>
    </row>
    <row r="33" spans="3:14" x14ac:dyDescent="0.3">
      <c r="C33" s="1"/>
      <c r="E33" s="738" t="s">
        <v>125</v>
      </c>
      <c r="F33" s="741">
        <f>F23*8%</f>
        <v>424</v>
      </c>
      <c r="G33" s="1"/>
      <c r="H33" s="1"/>
      <c r="I33" s="1"/>
      <c r="J33" s="1"/>
      <c r="K33" s="1"/>
      <c r="L33" s="1"/>
      <c r="M33" s="1"/>
      <c r="N33" s="1"/>
    </row>
    <row r="34" spans="3:14" x14ac:dyDescent="0.3">
      <c r="C34" s="1"/>
      <c r="E34" s="107" t="s">
        <v>126</v>
      </c>
      <c r="F34" s="740">
        <f>F33*12</f>
        <v>5088</v>
      </c>
      <c r="G34" s="1"/>
      <c r="H34" s="1"/>
      <c r="I34" s="1"/>
      <c r="J34" s="1"/>
      <c r="K34" s="1"/>
      <c r="L34" s="1"/>
      <c r="M34" s="1"/>
      <c r="N34" s="1"/>
    </row>
    <row r="35" spans="3:14" x14ac:dyDescent="0.3">
      <c r="C35" s="1"/>
      <c r="E35" s="107" t="s">
        <v>37</v>
      </c>
      <c r="F35" s="108">
        <f>I19</f>
        <v>1571.1435294117646</v>
      </c>
      <c r="G35" s="1"/>
      <c r="H35" s="1"/>
      <c r="I35" s="1"/>
      <c r="J35" s="1"/>
      <c r="K35" s="1"/>
      <c r="L35" s="1"/>
      <c r="M35" s="1"/>
      <c r="N35" s="1"/>
    </row>
    <row r="36" spans="3:14" x14ac:dyDescent="0.3">
      <c r="C36" s="1"/>
      <c r="E36" s="109" t="s">
        <v>127</v>
      </c>
      <c r="F36" s="110">
        <f>I20</f>
        <v>907</v>
      </c>
      <c r="G36" s="1"/>
      <c r="H36" s="1"/>
      <c r="I36" s="1"/>
      <c r="J36" s="1"/>
      <c r="K36" s="1"/>
      <c r="L36" s="1"/>
      <c r="M36" s="1"/>
      <c r="N36" s="1"/>
    </row>
    <row r="37" spans="3:14" x14ac:dyDescent="0.3">
      <c r="C37" s="1"/>
      <c r="E37" s="107" t="s">
        <v>128</v>
      </c>
      <c r="F37" s="108">
        <f>F36*12</f>
        <v>10884</v>
      </c>
      <c r="G37" s="1"/>
      <c r="H37" s="52"/>
      <c r="I37" s="1"/>
      <c r="J37" s="1"/>
      <c r="K37" s="1"/>
      <c r="L37" s="1"/>
      <c r="M37" s="1"/>
      <c r="N37" s="1"/>
    </row>
    <row r="38" spans="3:14" ht="16.2" thickBot="1" x14ac:dyDescent="0.35">
      <c r="C38" s="1"/>
      <c r="E38" s="107" t="s">
        <v>129</v>
      </c>
      <c r="F38" s="108">
        <f>I18</f>
        <v>1500</v>
      </c>
      <c r="G38" s="1"/>
      <c r="H38" s="52"/>
      <c r="I38" s="1"/>
      <c r="J38" s="1"/>
      <c r="K38" s="1"/>
      <c r="L38" s="1"/>
      <c r="M38" s="1"/>
      <c r="N38" s="1"/>
    </row>
    <row r="39" spans="3:14" ht="16.8" thickTop="1" thickBot="1" x14ac:dyDescent="0.35">
      <c r="C39" s="1"/>
      <c r="E39" s="107" t="s">
        <v>130</v>
      </c>
      <c r="F39" s="651">
        <v>0</v>
      </c>
      <c r="G39" s="1"/>
      <c r="H39" s="52"/>
      <c r="I39" s="1"/>
      <c r="J39" s="1"/>
      <c r="K39" s="1"/>
      <c r="L39" s="1"/>
      <c r="M39" s="1"/>
      <c r="N39" s="1"/>
    </row>
    <row r="40" spans="3:14" ht="16.8" thickTop="1" thickBot="1" x14ac:dyDescent="0.35">
      <c r="C40" s="1"/>
      <c r="E40" s="107" t="s">
        <v>131</v>
      </c>
      <c r="F40" s="651">
        <v>0</v>
      </c>
      <c r="G40" s="1"/>
      <c r="H40" s="52"/>
      <c r="I40" s="1"/>
      <c r="J40" s="1"/>
      <c r="K40" s="1"/>
      <c r="L40" s="1"/>
      <c r="M40" s="1"/>
      <c r="N40" s="1"/>
    </row>
    <row r="41" spans="3:14" ht="48" thickTop="1" thickBot="1" x14ac:dyDescent="0.35">
      <c r="C41" s="1"/>
      <c r="E41" s="107" t="s">
        <v>132</v>
      </c>
      <c r="F41" s="1008">
        <f>F27*H41</f>
        <v>1272</v>
      </c>
      <c r="G41" s="1010" t="s">
        <v>532</v>
      </c>
      <c r="H41" s="1009">
        <v>0.02</v>
      </c>
      <c r="I41" s="1"/>
      <c r="J41" s="1"/>
      <c r="K41" s="1"/>
      <c r="L41" s="1"/>
      <c r="M41" s="1"/>
      <c r="N41" s="1"/>
    </row>
    <row r="42" spans="3:14" ht="16.8" thickTop="1" thickBot="1" x14ac:dyDescent="0.35">
      <c r="C42" s="1"/>
      <c r="E42" s="107" t="s">
        <v>133</v>
      </c>
      <c r="F42" s="1011">
        <v>0</v>
      </c>
      <c r="G42" s="1"/>
      <c r="H42" s="52"/>
      <c r="I42" s="1"/>
      <c r="J42" s="1"/>
      <c r="K42" s="1"/>
      <c r="L42" s="1"/>
      <c r="M42" s="1"/>
      <c r="N42" s="1"/>
    </row>
    <row r="43" spans="3:14" ht="16.8" thickTop="1" thickBot="1" x14ac:dyDescent="0.35">
      <c r="C43" s="1"/>
      <c r="E43" s="113" t="s">
        <v>134</v>
      </c>
      <c r="F43" s="651">
        <v>0</v>
      </c>
      <c r="G43" s="1"/>
      <c r="H43" s="111"/>
      <c r="I43" s="1"/>
      <c r="J43" s="1"/>
      <c r="K43" s="1"/>
      <c r="L43" s="1"/>
      <c r="M43" s="1"/>
      <c r="N43" s="1"/>
    </row>
    <row r="44" spans="3:14" ht="16.2" thickBot="1" x14ac:dyDescent="0.35">
      <c r="C44" s="1"/>
      <c r="E44" s="273" t="s">
        <v>241</v>
      </c>
      <c r="F44" s="274">
        <f>F32+F34+F35+F37+F38+F39+F40+F41+F42+F43</f>
        <v>24248.089249411765</v>
      </c>
      <c r="G44" s="1"/>
      <c r="H44" s="111"/>
      <c r="I44" s="1"/>
      <c r="J44" s="1"/>
      <c r="K44" s="1"/>
      <c r="L44" s="1"/>
      <c r="M44" s="1"/>
      <c r="N44" s="1"/>
    </row>
    <row r="45" spans="3:14" x14ac:dyDescent="0.3">
      <c r="C45" s="1"/>
      <c r="E45" s="229" t="s">
        <v>135</v>
      </c>
      <c r="F45" s="230">
        <f>F27-F44</f>
        <v>39351.910750588235</v>
      </c>
      <c r="G45" s="1"/>
      <c r="H45" s="111"/>
      <c r="I45" s="1"/>
      <c r="J45" s="1"/>
      <c r="K45" s="1"/>
      <c r="L45" s="1"/>
      <c r="M45" s="1"/>
      <c r="N45" s="1"/>
    </row>
    <row r="46" spans="3:14" ht="16.2" thickBot="1" x14ac:dyDescent="0.35">
      <c r="C46" s="1"/>
      <c r="E46" s="231" t="s">
        <v>138</v>
      </c>
      <c r="F46" s="232">
        <f>F30</f>
        <v>75930.690245619233</v>
      </c>
      <c r="G46" s="1"/>
      <c r="H46" s="111"/>
      <c r="I46" s="1"/>
      <c r="J46" s="1"/>
      <c r="K46" s="1"/>
      <c r="L46" s="1"/>
      <c r="M46" s="1"/>
      <c r="N46" s="1"/>
    </row>
    <row r="47" spans="3:14" ht="16.2" thickBot="1" x14ac:dyDescent="0.35">
      <c r="C47" s="1"/>
      <c r="E47" s="114" t="s">
        <v>136</v>
      </c>
      <c r="F47" s="233">
        <f>F45-F46</f>
        <v>-36578.779495030998</v>
      </c>
      <c r="G47" s="1"/>
      <c r="H47" s="111"/>
      <c r="I47" s="1"/>
      <c r="J47" s="1"/>
      <c r="K47" s="1"/>
      <c r="L47" s="1"/>
      <c r="M47" s="1"/>
      <c r="N47" s="1"/>
    </row>
    <row r="48" spans="3:14" ht="16.2" thickBot="1" x14ac:dyDescent="0.35">
      <c r="C48" s="1"/>
      <c r="E48" s="115" t="s">
        <v>137</v>
      </c>
      <c r="F48" s="116">
        <f>F47/12</f>
        <v>-3048.2316245859165</v>
      </c>
      <c r="G48" s="1"/>
      <c r="H48" s="111"/>
      <c r="I48" s="1"/>
      <c r="J48" s="1"/>
      <c r="K48" s="1"/>
      <c r="L48" s="1"/>
      <c r="M48" s="1"/>
      <c r="N48" s="1"/>
    </row>
    <row r="49" spans="3:15" ht="16.2" thickBot="1" x14ac:dyDescent="0.35">
      <c r="C49" s="1"/>
      <c r="E49" s="1"/>
      <c r="F49" s="117"/>
      <c r="G49" s="1"/>
      <c r="H49" s="111"/>
      <c r="I49" s="89"/>
      <c r="J49" s="89"/>
      <c r="K49" s="89"/>
      <c r="L49" s="89"/>
      <c r="M49" s="1"/>
      <c r="N49" s="1"/>
    </row>
    <row r="50" spans="3:15" ht="16.2" thickBot="1" x14ac:dyDescent="0.35">
      <c r="C50" s="1"/>
      <c r="E50" s="118" t="s">
        <v>139</v>
      </c>
      <c r="F50" s="119">
        <f>3000+(F17-100000)*7%</f>
        <v>136000</v>
      </c>
      <c r="G50" s="1"/>
      <c r="H50" s="111"/>
      <c r="I50" s="1"/>
      <c r="J50" s="1"/>
      <c r="K50" s="1"/>
      <c r="L50" s="1"/>
      <c r="M50" s="1"/>
      <c r="N50" s="1"/>
    </row>
    <row r="51" spans="3:15" x14ac:dyDescent="0.3">
      <c r="C51" s="1"/>
      <c r="E51" s="1"/>
      <c r="F51" s="117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E52" s="1"/>
      <c r="F52" s="117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E53" s="1"/>
      <c r="F53" s="117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E54" s="1"/>
      <c r="F54" s="117"/>
      <c r="G54" s="1"/>
      <c r="H54" s="1"/>
      <c r="I54" s="1"/>
      <c r="J54" s="1"/>
      <c r="K54" s="1"/>
      <c r="L54" s="1"/>
      <c r="M54" s="1"/>
      <c r="N54" s="1"/>
      <c r="O54" s="1"/>
    </row>
    <row r="55" spans="3:15" ht="21" customHeight="1" x14ac:dyDescent="0.3"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4.4" x14ac:dyDescent="0.3"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ht="14.4" x14ac:dyDescent="0.3"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ht="14.4" x14ac:dyDescent="0.3"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customHeight="1" x14ac:dyDescent="0.3"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ht="14.4" x14ac:dyDescent="0.3"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3">
      <c r="C61" s="1"/>
      <c r="E61" s="1"/>
      <c r="F61" s="117"/>
      <c r="G61" s="1"/>
      <c r="H61" s="52"/>
      <c r="I61" s="1"/>
      <c r="J61" s="1"/>
      <c r="K61" s="1"/>
      <c r="L61" s="1"/>
      <c r="M61" s="1"/>
      <c r="N61" s="1"/>
      <c r="O61" s="1"/>
    </row>
    <row r="62" spans="3:15" x14ac:dyDescent="0.3">
      <c r="C62" s="1"/>
      <c r="G62" s="1"/>
      <c r="H62" s="52"/>
      <c r="I62" s="1"/>
      <c r="J62" s="1"/>
      <c r="K62" s="1"/>
      <c r="L62" s="1"/>
      <c r="M62" s="1"/>
      <c r="N62" s="1"/>
      <c r="O62" s="1"/>
    </row>
    <row r="63" spans="3:15" ht="14.4" x14ac:dyDescent="0.3"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4.4" x14ac:dyDescent="0.3"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ht="14.4" x14ac:dyDescent="0.3"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ht="14.4" x14ac:dyDescent="0.3"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ht="14.4" x14ac:dyDescent="0.3"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ht="14.4" x14ac:dyDescent="0.3"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ht="14.4" x14ac:dyDescent="0.3"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4.4" x14ac:dyDescent="0.3"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t="14.4" x14ac:dyDescent="0.3"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ht="14.4" x14ac:dyDescent="0.3"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ht="14.4" x14ac:dyDescent="0.3"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ht="14.4" x14ac:dyDescent="0.3"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4.4" x14ac:dyDescent="0.3"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ht="14.4" x14ac:dyDescent="0.3"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ht="14.4" x14ac:dyDescent="0.3"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4.4" x14ac:dyDescent="0.3"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ht="14.4" x14ac:dyDescent="0.3"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ht="14.4" x14ac:dyDescent="0.3"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ht="14.4" x14ac:dyDescent="0.3"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ht="14.4" x14ac:dyDescent="0.3"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ht="14.4" x14ac:dyDescent="0.3"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4.4" x14ac:dyDescent="0.3"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">
      <c r="C85" s="1"/>
      <c r="E85" s="1"/>
      <c r="F85" s="117"/>
      <c r="G85" s="1"/>
      <c r="H85" s="52"/>
      <c r="I85" s="1"/>
      <c r="J85" s="1"/>
      <c r="K85" s="1"/>
      <c r="L85" s="1"/>
      <c r="M85" s="1"/>
      <c r="N85" s="1"/>
      <c r="O85" s="1"/>
    </row>
    <row r="86" spans="3:15" ht="14.4" x14ac:dyDescent="0.3"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ht="14.4" x14ac:dyDescent="0.3"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ht="14.4" x14ac:dyDescent="0.3"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4.4" x14ac:dyDescent="0.3"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ht="14.4" x14ac:dyDescent="0.3"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ht="14.4" x14ac:dyDescent="0.3"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4.4" x14ac:dyDescent="0.3"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ht="14.4" x14ac:dyDescent="0.3">
      <c r="C93" s="1"/>
      <c r="E93" s="1"/>
      <c r="F93" s="1"/>
      <c r="G93" s="1"/>
      <c r="H93" s="52"/>
      <c r="I93" s="1"/>
      <c r="J93" s="1"/>
      <c r="K93" s="1"/>
      <c r="L93" s="1"/>
      <c r="M93" s="1"/>
      <c r="N93" s="1"/>
      <c r="O93" s="1"/>
    </row>
    <row r="94" spans="3:15" ht="14.4" x14ac:dyDescent="0.3">
      <c r="C94" s="1"/>
      <c r="E94" s="1"/>
      <c r="F94" s="1"/>
      <c r="G94" s="1"/>
      <c r="H94" s="52"/>
      <c r="I94" s="1"/>
      <c r="J94" s="1"/>
      <c r="K94" s="1"/>
      <c r="L94" s="1"/>
      <c r="M94" s="1"/>
      <c r="N94" s="1"/>
      <c r="O94" s="1"/>
    </row>
    <row r="95" spans="3:15" ht="14.4" x14ac:dyDescent="0.3">
      <c r="C95" s="1"/>
      <c r="E95" s="1"/>
      <c r="F95" s="1"/>
      <c r="G95" s="1"/>
      <c r="H95" s="52"/>
      <c r="I95" s="1"/>
      <c r="J95" s="1"/>
      <c r="K95" s="1"/>
      <c r="L95" s="1"/>
      <c r="M95" s="1"/>
      <c r="N95" s="1"/>
      <c r="O95" s="1"/>
    </row>
    <row r="96" spans="3:15" ht="14.4" x14ac:dyDescent="0.3">
      <c r="C96" s="1"/>
      <c r="E96" s="1"/>
      <c r="F96" s="1"/>
      <c r="G96" s="127"/>
      <c r="H96" s="128"/>
      <c r="I96" s="1"/>
      <c r="J96" s="1"/>
      <c r="K96" s="1"/>
      <c r="L96" s="1"/>
      <c r="M96" s="1"/>
      <c r="N96" s="1"/>
      <c r="O96" s="1"/>
    </row>
    <row r="97" spans="3:15" ht="14.4" x14ac:dyDescent="0.3">
      <c r="C97" s="1"/>
      <c r="E97" s="1"/>
      <c r="F97" s="1"/>
      <c r="G97" s="127"/>
      <c r="H97" s="128"/>
      <c r="I97" s="1"/>
      <c r="J97" s="1"/>
      <c r="K97" s="1"/>
      <c r="L97" s="1"/>
      <c r="M97" s="1"/>
      <c r="N97" s="1"/>
      <c r="O97" s="1"/>
    </row>
    <row r="98" spans="3:15" ht="14.4" x14ac:dyDescent="0.3">
      <c r="C98" s="1"/>
      <c r="E98" s="1"/>
      <c r="F98" s="1"/>
      <c r="G98" s="1"/>
      <c r="H98" s="52"/>
      <c r="I98" s="1"/>
      <c r="J98" s="1"/>
      <c r="K98" s="1"/>
      <c r="L98" s="1"/>
      <c r="M98" s="1"/>
      <c r="N98" s="1"/>
      <c r="O98" s="1"/>
    </row>
    <row r="99" spans="3:15" ht="14.4" x14ac:dyDescent="0.3">
      <c r="C99" s="1"/>
      <c r="E99" s="1"/>
      <c r="F99" s="1"/>
      <c r="G99" s="1"/>
      <c r="H99" s="52"/>
      <c r="I99" s="1"/>
      <c r="J99" s="1"/>
      <c r="K99" s="1"/>
      <c r="L99" s="1"/>
      <c r="M99" s="1"/>
      <c r="N99" s="1"/>
      <c r="O99" s="1"/>
    </row>
    <row r="100" spans="3:15" ht="14.4" x14ac:dyDescent="0.3">
      <c r="C100" s="1"/>
      <c r="E100" s="1"/>
      <c r="F100" s="1"/>
      <c r="G100" s="1"/>
      <c r="H100" s="52"/>
      <c r="I100" s="1"/>
      <c r="J100" s="1"/>
      <c r="K100" s="1"/>
      <c r="L100" s="1"/>
      <c r="M100" s="1"/>
      <c r="N100" s="1"/>
      <c r="O100" s="1"/>
    </row>
    <row r="101" spans="3:15" ht="14.4" x14ac:dyDescent="0.3">
      <c r="C101" s="1"/>
      <c r="E101" s="1"/>
      <c r="F101" s="1"/>
      <c r="G101" s="1"/>
      <c r="H101" s="52"/>
      <c r="I101" s="1"/>
      <c r="J101" s="1"/>
      <c r="K101" s="1"/>
      <c r="L101" s="1"/>
      <c r="M101" s="1"/>
      <c r="N101" s="1"/>
      <c r="O101" s="1"/>
    </row>
    <row r="102" spans="3:15" ht="14.4" x14ac:dyDescent="0.3">
      <c r="C102" s="1"/>
      <c r="E102" s="1"/>
      <c r="F102" s="1"/>
      <c r="G102" s="1"/>
      <c r="H102" s="52"/>
      <c r="I102" s="1"/>
      <c r="J102" s="1"/>
      <c r="K102" s="1"/>
      <c r="L102" s="1"/>
      <c r="M102" s="1"/>
      <c r="N102" s="1"/>
      <c r="O102" s="1"/>
    </row>
    <row r="103" spans="3:15" ht="14.4" x14ac:dyDescent="0.3">
      <c r="C103" s="1"/>
      <c r="E103" s="1"/>
      <c r="F103" s="1"/>
      <c r="G103" s="1"/>
      <c r="H103" s="52"/>
      <c r="I103" s="1"/>
      <c r="J103" s="1"/>
      <c r="K103" s="1"/>
      <c r="L103" s="1"/>
      <c r="M103" s="1"/>
      <c r="N103" s="1"/>
      <c r="O103" s="1"/>
    </row>
    <row r="104" spans="3:15" ht="14.4" x14ac:dyDescent="0.3">
      <c r="C104" s="1"/>
      <c r="E104" s="1"/>
      <c r="F104" s="1"/>
      <c r="G104" s="1"/>
      <c r="H104" s="52"/>
      <c r="I104" s="1"/>
      <c r="J104" s="1"/>
      <c r="K104" s="1"/>
      <c r="L104" s="1"/>
      <c r="M104" s="1"/>
      <c r="N104" s="1"/>
      <c r="O104" s="1"/>
    </row>
    <row r="105" spans="3:15" ht="14.4" x14ac:dyDescent="0.3">
      <c r="C105" s="1"/>
      <c r="E105" s="1"/>
      <c r="F105" s="1"/>
      <c r="G105" s="1"/>
      <c r="H105" s="52"/>
      <c r="I105" s="1"/>
      <c r="J105" s="1"/>
      <c r="K105" s="1"/>
      <c r="L105" s="1"/>
      <c r="M105" s="1"/>
      <c r="N105" s="1"/>
      <c r="O105" s="1"/>
    </row>
    <row r="106" spans="3:15" ht="14.4" x14ac:dyDescent="0.3">
      <c r="C106" s="1"/>
      <c r="E106" s="1"/>
      <c r="F106" s="1"/>
      <c r="G106" s="1"/>
      <c r="H106" s="52"/>
      <c r="I106" s="1"/>
      <c r="J106" s="1"/>
      <c r="K106" s="1"/>
      <c r="L106" s="1"/>
      <c r="M106" s="1"/>
      <c r="N106" s="1"/>
      <c r="O106" s="1"/>
    </row>
    <row r="107" spans="3:15" ht="14.4" x14ac:dyDescent="0.3">
      <c r="C107" s="1"/>
      <c r="E107" s="1"/>
      <c r="F107" s="1"/>
      <c r="G107" s="1"/>
      <c r="H107" s="52"/>
      <c r="I107" s="1"/>
      <c r="J107" s="1"/>
      <c r="K107" s="1"/>
      <c r="L107" s="1"/>
      <c r="M107" s="1"/>
      <c r="N107" s="1"/>
      <c r="O107" s="1"/>
    </row>
    <row r="108" spans="3:15" ht="14.4" x14ac:dyDescent="0.3">
      <c r="C108" s="1"/>
      <c r="E108" s="1"/>
      <c r="F108" s="1"/>
      <c r="G108" s="1"/>
      <c r="H108" s="52"/>
      <c r="I108" s="1"/>
      <c r="J108" s="1"/>
      <c r="K108" s="1"/>
      <c r="L108" s="1"/>
      <c r="M108" s="1"/>
      <c r="N108" s="1"/>
      <c r="O108" s="1"/>
    </row>
    <row r="109" spans="3:15" ht="14.4" x14ac:dyDescent="0.3">
      <c r="C109" s="1"/>
      <c r="E109" s="1"/>
      <c r="F109" s="1"/>
      <c r="G109" s="1"/>
      <c r="H109" s="52"/>
      <c r="I109" s="1"/>
      <c r="J109" s="1"/>
      <c r="K109" s="1"/>
      <c r="L109" s="1"/>
      <c r="M109" s="1"/>
      <c r="N109" s="1"/>
      <c r="O109" s="1"/>
    </row>
    <row r="110" spans="3:15" ht="14.4" x14ac:dyDescent="0.3">
      <c r="C110" s="1"/>
      <c r="E110" s="1"/>
      <c r="F110" s="1"/>
      <c r="G110" s="1"/>
      <c r="H110" s="52"/>
      <c r="I110" s="1"/>
      <c r="J110" s="1"/>
      <c r="K110" s="1"/>
      <c r="L110" s="1"/>
      <c r="M110" s="1"/>
      <c r="N110" s="1"/>
      <c r="O110" s="1"/>
    </row>
    <row r="111" spans="3:15" ht="14.4" x14ac:dyDescent="0.3">
      <c r="C111" s="1"/>
      <c r="E111" s="1"/>
      <c r="F111" s="1"/>
      <c r="G111" s="1"/>
      <c r="H111" s="52"/>
      <c r="I111" s="1"/>
      <c r="J111" s="1"/>
      <c r="K111" s="1"/>
      <c r="L111" s="1"/>
      <c r="M111" s="1"/>
      <c r="N111" s="1"/>
      <c r="O111" s="1"/>
    </row>
    <row r="112" spans="3:15" ht="14.4" x14ac:dyDescent="0.3">
      <c r="C112" s="1"/>
      <c r="E112" s="1"/>
      <c r="F112" s="1"/>
      <c r="G112" s="1"/>
      <c r="H112" s="52"/>
      <c r="I112" s="1"/>
      <c r="J112" s="1"/>
      <c r="K112" s="1"/>
      <c r="L112" s="1"/>
      <c r="M112" s="1"/>
      <c r="N112" s="1"/>
      <c r="O112" s="1"/>
    </row>
    <row r="113" spans="3:15" ht="14.4" x14ac:dyDescent="0.3">
      <c r="C113" s="1"/>
      <c r="E113" s="1"/>
      <c r="F113" s="1"/>
      <c r="G113" s="1"/>
      <c r="H113" s="52"/>
      <c r="I113" s="1"/>
      <c r="J113" s="1"/>
      <c r="K113" s="1"/>
      <c r="L113" s="1"/>
      <c r="M113" s="1"/>
      <c r="N113" s="1"/>
      <c r="O113" s="1"/>
    </row>
    <row r="114" spans="3:15" ht="14.4" x14ac:dyDescent="0.3">
      <c r="C114" s="1"/>
      <c r="E114" s="1"/>
      <c r="F114" s="1"/>
      <c r="G114" s="1"/>
      <c r="H114" s="52"/>
      <c r="I114" s="1"/>
      <c r="J114" s="1"/>
      <c r="K114" s="1"/>
      <c r="L114" s="1"/>
      <c r="M114" s="1"/>
      <c r="N114" s="1"/>
      <c r="O114" s="1"/>
    </row>
    <row r="115" spans="3:15" ht="14.4" x14ac:dyDescent="0.3">
      <c r="C115" s="1"/>
      <c r="E115" s="1"/>
      <c r="F115" s="1"/>
      <c r="G115" s="1"/>
      <c r="H115" s="52"/>
      <c r="I115" s="1"/>
      <c r="J115" s="1"/>
      <c r="K115" s="1"/>
      <c r="L115" s="1"/>
      <c r="M115" s="1"/>
      <c r="N115" s="1"/>
      <c r="O115" s="1"/>
    </row>
    <row r="116" spans="3:15" ht="14.4" x14ac:dyDescent="0.3">
      <c r="C116" s="1"/>
      <c r="E116" s="1"/>
      <c r="F116" s="1"/>
      <c r="G116" s="1"/>
      <c r="H116" s="52"/>
      <c r="I116" s="1"/>
      <c r="J116" s="1"/>
      <c r="K116" s="1"/>
      <c r="L116" s="1"/>
      <c r="M116" s="1"/>
      <c r="N116" s="1"/>
      <c r="O116" s="1"/>
    </row>
    <row r="117" spans="3:15" ht="14.4" x14ac:dyDescent="0.3">
      <c r="C117" s="1"/>
      <c r="E117" s="1"/>
      <c r="F117" s="1"/>
      <c r="G117" s="1"/>
      <c r="H117" s="52"/>
      <c r="I117" s="1"/>
      <c r="J117" s="1"/>
      <c r="K117" s="1"/>
      <c r="L117" s="1"/>
      <c r="M117" s="1"/>
      <c r="N117" s="1"/>
      <c r="O117" s="1"/>
    </row>
    <row r="118" spans="3:15" ht="14.4" x14ac:dyDescent="0.3">
      <c r="C118" s="1"/>
      <c r="E118" s="1"/>
      <c r="F118" s="1"/>
      <c r="G118" s="1"/>
      <c r="H118" s="52"/>
      <c r="I118" s="1"/>
      <c r="J118" s="1"/>
      <c r="K118" s="1"/>
      <c r="L118" s="1"/>
      <c r="M118" s="1"/>
      <c r="N118" s="1"/>
      <c r="O118" s="1"/>
    </row>
    <row r="119" spans="3:15" ht="14.4" x14ac:dyDescent="0.3">
      <c r="C119" s="1"/>
      <c r="E119" s="1"/>
      <c r="F119" s="1"/>
      <c r="G119" s="1"/>
      <c r="H119" s="52"/>
      <c r="I119" s="1"/>
      <c r="J119" s="1"/>
      <c r="K119" s="1"/>
      <c r="L119" s="1"/>
      <c r="M119" s="1"/>
      <c r="N119" s="1"/>
      <c r="O119" s="1"/>
    </row>
    <row r="120" spans="3:15" ht="14.4" x14ac:dyDescent="0.3">
      <c r="C120" s="1"/>
      <c r="E120" s="1"/>
      <c r="F120" s="1"/>
      <c r="G120" s="1"/>
      <c r="H120" s="52"/>
      <c r="I120" s="1"/>
      <c r="J120" s="1"/>
      <c r="K120" s="1"/>
      <c r="L120" s="1"/>
      <c r="M120" s="1"/>
      <c r="N120" s="1"/>
      <c r="O120" s="1"/>
    </row>
    <row r="121" spans="3:15" x14ac:dyDescent="0.3">
      <c r="C121" s="1"/>
      <c r="E121" s="1"/>
      <c r="F121" s="117"/>
      <c r="G121" s="1"/>
      <c r="H121" s="52"/>
      <c r="I121" s="1"/>
      <c r="J121" s="1"/>
      <c r="K121" s="1"/>
      <c r="L121" s="1"/>
      <c r="M121" s="1"/>
      <c r="N121" s="1"/>
      <c r="O121" s="1"/>
    </row>
    <row r="122" spans="3:15" ht="14.4" x14ac:dyDescent="0.3">
      <c r="C122" s="1"/>
      <c r="E122" s="1"/>
      <c r="F122" s="1"/>
      <c r="G122" s="1"/>
      <c r="H122" s="52"/>
      <c r="I122" s="1"/>
      <c r="J122" s="1"/>
      <c r="K122" s="1"/>
      <c r="L122" s="1"/>
      <c r="M122" s="1"/>
      <c r="N122" s="1"/>
      <c r="O122" s="1"/>
    </row>
    <row r="123" spans="3:15" ht="14.4" x14ac:dyDescent="0.3">
      <c r="C123" s="1"/>
      <c r="E123" s="1"/>
      <c r="F123" s="1"/>
      <c r="G123" s="1"/>
      <c r="H123" s="52"/>
      <c r="I123" s="1"/>
      <c r="J123" s="1"/>
      <c r="K123" s="1"/>
      <c r="L123" s="1"/>
      <c r="M123" s="1"/>
      <c r="N123" s="1"/>
      <c r="O123" s="1"/>
    </row>
    <row r="124" spans="3:15" ht="14.4" x14ac:dyDescent="0.3">
      <c r="C124" s="1"/>
      <c r="E124" s="1"/>
      <c r="F124" s="1"/>
      <c r="G124" s="1"/>
      <c r="H124" s="52"/>
      <c r="I124" s="1"/>
      <c r="J124" s="1"/>
      <c r="K124" s="1"/>
      <c r="L124" s="1"/>
      <c r="M124" s="1"/>
      <c r="N124" s="1"/>
      <c r="O124" s="1"/>
    </row>
    <row r="125" spans="3:15" ht="14.4" x14ac:dyDescent="0.3">
      <c r="C125" s="1"/>
      <c r="E125" s="1"/>
      <c r="F125" s="1"/>
      <c r="G125" s="1"/>
      <c r="H125" s="52"/>
      <c r="I125" s="1"/>
      <c r="J125" s="1"/>
      <c r="K125" s="1"/>
      <c r="L125" s="1"/>
      <c r="M125" s="1"/>
      <c r="N125" s="1"/>
      <c r="O125" s="1"/>
    </row>
    <row r="126" spans="3:15" ht="14.4" hidden="1" x14ac:dyDescent="0.3">
      <c r="C126" s="1"/>
      <c r="E126" s="1"/>
      <c r="F126" s="1"/>
      <c r="G126" s="1"/>
      <c r="H126" s="52"/>
      <c r="I126" s="1"/>
      <c r="J126" s="1"/>
      <c r="K126" s="1"/>
      <c r="L126" s="1"/>
      <c r="M126" s="1"/>
      <c r="N126" s="1"/>
      <c r="O126" s="1"/>
    </row>
    <row r="127" spans="3:15" ht="14.4" hidden="1" x14ac:dyDescent="0.3">
      <c r="C127" s="1"/>
      <c r="E127" s="1"/>
      <c r="F127" s="1"/>
      <c r="G127" s="1"/>
      <c r="H127" s="52"/>
      <c r="I127" s="1"/>
      <c r="J127" s="1"/>
      <c r="K127" s="1"/>
      <c r="L127" s="1"/>
      <c r="M127" s="1"/>
      <c r="N127" s="1"/>
      <c r="O127" s="1"/>
    </row>
    <row r="128" spans="3:15" ht="14.4" hidden="1" x14ac:dyDescent="0.3">
      <c r="C128" s="1"/>
      <c r="E128" s="1"/>
      <c r="F128" s="1"/>
      <c r="G128" s="1"/>
      <c r="H128" s="52"/>
      <c r="I128" s="1"/>
      <c r="J128" s="1"/>
      <c r="K128" s="1"/>
      <c r="L128" s="1"/>
      <c r="M128" s="1"/>
      <c r="N128" s="1"/>
      <c r="O128" s="1"/>
    </row>
    <row r="129" spans="3:12" ht="14.4" hidden="1" x14ac:dyDescent="0.3">
      <c r="C129" s="1"/>
      <c r="E129" s="1"/>
      <c r="F129" s="1"/>
      <c r="G129" s="1"/>
      <c r="H129" s="52"/>
      <c r="I129" s="1"/>
      <c r="J129" s="1"/>
      <c r="K129" s="1"/>
      <c r="L129" s="1"/>
    </row>
    <row r="130" spans="3:12" ht="14.4" hidden="1" x14ac:dyDescent="0.3">
      <c r="C130" s="1"/>
      <c r="E130" s="1"/>
      <c r="F130" s="1"/>
      <c r="G130" s="1"/>
      <c r="H130" s="52"/>
      <c r="I130" s="1"/>
    </row>
    <row r="131" spans="3:12" ht="14.4" hidden="1" x14ac:dyDescent="0.3">
      <c r="C131" s="1"/>
      <c r="E131" s="1"/>
      <c r="F131" s="1"/>
      <c r="G131" s="1"/>
      <c r="H131" s="52"/>
      <c r="I131" s="1"/>
      <c r="J131" s="1"/>
      <c r="K131" s="1"/>
    </row>
    <row r="132" spans="3:12" ht="14.4" hidden="1" x14ac:dyDescent="0.3">
      <c r="C132" s="1"/>
      <c r="E132" s="1"/>
      <c r="F132" s="1"/>
      <c r="G132" s="1"/>
      <c r="H132" s="52"/>
      <c r="I132" s="1"/>
      <c r="J132" s="1"/>
      <c r="K132" s="1"/>
    </row>
    <row r="133" spans="3:12" ht="14.4" hidden="1" x14ac:dyDescent="0.3">
      <c r="C133" s="1"/>
      <c r="E133" s="1"/>
      <c r="F133" s="1"/>
      <c r="G133" s="1"/>
      <c r="H133" s="52"/>
      <c r="I133" s="1"/>
      <c r="J133" s="1"/>
      <c r="K133" s="1"/>
    </row>
    <row r="134" spans="3:12" ht="14.4" hidden="1" x14ac:dyDescent="0.3">
      <c r="C134" s="1"/>
      <c r="E134" s="1"/>
      <c r="F134" s="1"/>
      <c r="G134" s="1"/>
      <c r="H134" s="52"/>
      <c r="I134" s="1"/>
      <c r="J134" s="1"/>
      <c r="K134" s="1"/>
    </row>
    <row r="135" spans="3:12" ht="14.4" hidden="1" x14ac:dyDescent="0.3">
      <c r="C135" s="1"/>
      <c r="E135" s="1"/>
      <c r="F135" s="1"/>
      <c r="G135" s="1"/>
      <c r="H135" s="52"/>
      <c r="I135" s="1"/>
      <c r="J135" s="1"/>
      <c r="K135" s="1"/>
    </row>
    <row r="136" spans="3:12" ht="14.4" hidden="1" x14ac:dyDescent="0.3">
      <c r="C136" s="1"/>
      <c r="E136" s="1"/>
      <c r="F136" s="1"/>
      <c r="G136" s="1"/>
      <c r="H136" s="52"/>
      <c r="I136" s="1"/>
      <c r="J136" s="1"/>
      <c r="K136" s="1"/>
    </row>
    <row r="137" spans="3:12" ht="14.4" hidden="1" x14ac:dyDescent="0.3">
      <c r="C137" s="1"/>
      <c r="E137" s="1"/>
      <c r="F137" s="1"/>
      <c r="G137" s="1"/>
      <c r="H137" s="52"/>
      <c r="I137" s="1"/>
      <c r="J137" s="1"/>
      <c r="K137" s="1"/>
    </row>
    <row r="138" spans="3:12" ht="14.4" hidden="1" x14ac:dyDescent="0.3">
      <c r="C138" s="1"/>
      <c r="E138" s="1"/>
      <c r="F138" s="1"/>
      <c r="G138" s="1"/>
      <c r="H138" s="52"/>
      <c r="I138" s="1"/>
      <c r="J138" s="1"/>
      <c r="K138" s="1"/>
    </row>
    <row r="139" spans="3:12" ht="14.4" hidden="1" x14ac:dyDescent="0.3">
      <c r="C139" s="1"/>
      <c r="E139" s="1"/>
      <c r="F139" s="1"/>
      <c r="G139" s="1"/>
      <c r="H139" s="52"/>
      <c r="I139" s="1"/>
      <c r="J139" s="1"/>
      <c r="K139" s="1"/>
    </row>
    <row r="140" spans="3:12" ht="14.4" hidden="1" x14ac:dyDescent="0.3">
      <c r="C140" s="1"/>
      <c r="E140" s="1"/>
      <c r="F140" s="1"/>
      <c r="G140" s="1"/>
      <c r="H140" s="52"/>
      <c r="I140" s="1"/>
      <c r="J140" s="1"/>
      <c r="K140" s="1"/>
    </row>
    <row r="141" spans="3:12" ht="14.4" hidden="1" x14ac:dyDescent="0.3">
      <c r="C141" s="1"/>
      <c r="E141" s="1"/>
      <c r="F141" s="1"/>
      <c r="G141" s="1"/>
      <c r="H141" s="52"/>
      <c r="I141" s="1"/>
      <c r="J141" s="1"/>
      <c r="K141" s="1"/>
    </row>
    <row r="142" spans="3:12" hidden="1" x14ac:dyDescent="0.3">
      <c r="C142" s="1"/>
      <c r="E142" s="1"/>
      <c r="F142" s="117"/>
      <c r="G142" s="1"/>
      <c r="H142" s="52"/>
      <c r="I142" s="1"/>
      <c r="J142" s="1"/>
      <c r="K142" s="1"/>
    </row>
    <row r="143" spans="3:12" hidden="1" x14ac:dyDescent="0.3">
      <c r="C143" s="1"/>
      <c r="E143" s="1"/>
      <c r="F143" s="117"/>
      <c r="G143" s="1"/>
      <c r="H143" s="52"/>
      <c r="I143" s="1"/>
      <c r="J143" s="1"/>
      <c r="K143" s="1"/>
    </row>
    <row r="144" spans="3:12" hidden="1" x14ac:dyDescent="0.3">
      <c r="C144" s="1"/>
      <c r="E144" s="1"/>
      <c r="F144" s="117"/>
      <c r="G144" s="1"/>
      <c r="H144" s="52"/>
      <c r="I144" s="1"/>
      <c r="J144" s="1"/>
      <c r="K144" s="1"/>
    </row>
    <row r="145" spans="3:11" hidden="1" x14ac:dyDescent="0.3">
      <c r="C145" s="1"/>
      <c r="E145" s="1"/>
      <c r="F145" s="117"/>
      <c r="G145" s="1"/>
      <c r="H145" s="52"/>
      <c r="I145" s="1"/>
      <c r="J145" s="1"/>
      <c r="K145" s="1"/>
    </row>
    <row r="146" spans="3:11" hidden="1" x14ac:dyDescent="0.3">
      <c r="C146" s="1"/>
      <c r="E146" s="1"/>
      <c r="F146" s="117"/>
      <c r="G146" s="1"/>
      <c r="H146" s="52"/>
      <c r="I146" s="1"/>
      <c r="J146" s="1"/>
      <c r="K146" s="1"/>
    </row>
    <row r="147" spans="3:11" hidden="1" x14ac:dyDescent="0.3">
      <c r="C147" s="1"/>
      <c r="E147" s="1"/>
      <c r="F147" s="117"/>
      <c r="G147" s="1"/>
      <c r="H147" s="52"/>
      <c r="I147" s="1"/>
      <c r="J147" s="1"/>
      <c r="K147" s="1"/>
    </row>
    <row r="148" spans="3:11" hidden="1" x14ac:dyDescent="0.3">
      <c r="C148" s="158"/>
      <c r="E148" s="158"/>
      <c r="F148" s="159"/>
      <c r="G148" s="158"/>
      <c r="H148" s="160"/>
      <c r="I148" s="158"/>
      <c r="J148" s="158"/>
      <c r="K148" s="158"/>
    </row>
    <row r="149" spans="3:11" hidden="1" x14ac:dyDescent="0.3">
      <c r="C149" s="158"/>
      <c r="E149" s="158"/>
      <c r="F149" s="159"/>
      <c r="G149" s="158"/>
      <c r="H149" s="160"/>
      <c r="I149" s="158"/>
      <c r="J149" s="158"/>
      <c r="K149" s="158"/>
    </row>
    <row r="150" spans="3:11" hidden="1" x14ac:dyDescent="0.3">
      <c r="C150" s="158"/>
      <c r="E150" s="158"/>
      <c r="F150" s="159"/>
      <c r="G150" s="158"/>
      <c r="H150" s="160"/>
      <c r="I150" s="158"/>
      <c r="J150" s="158"/>
      <c r="K150" s="158"/>
    </row>
    <row r="151" spans="3:11" hidden="1" x14ac:dyDescent="0.3">
      <c r="C151" s="158"/>
      <c r="E151" s="158"/>
      <c r="F151" s="159"/>
      <c r="G151" s="158"/>
      <c r="H151" s="160"/>
      <c r="I151" s="158"/>
      <c r="J151" s="158"/>
      <c r="K151" s="158"/>
    </row>
    <row r="152" spans="3:11" hidden="1" x14ac:dyDescent="0.3">
      <c r="C152" s="158"/>
      <c r="E152" s="158"/>
      <c r="F152" s="159"/>
      <c r="G152" s="158"/>
      <c r="H152" s="160"/>
      <c r="I152" s="158"/>
      <c r="J152" s="158"/>
      <c r="K152" s="158"/>
    </row>
    <row r="153" spans="3:11" hidden="1" x14ac:dyDescent="0.3">
      <c r="C153" s="158"/>
      <c r="E153" s="158"/>
      <c r="F153" s="159"/>
      <c r="G153" s="158"/>
      <c r="H153" s="160"/>
      <c r="I153" s="158"/>
      <c r="J153" s="158"/>
      <c r="K153" s="158"/>
    </row>
    <row r="154" spans="3:11" hidden="1" x14ac:dyDescent="0.3">
      <c r="C154" s="158"/>
      <c r="E154" s="158"/>
      <c r="F154" s="159"/>
      <c r="G154" s="158"/>
      <c r="H154" s="160"/>
      <c r="I154" s="158"/>
      <c r="J154" s="158"/>
      <c r="K154" s="158"/>
    </row>
    <row r="155" spans="3:11" hidden="1" x14ac:dyDescent="0.3">
      <c r="C155" s="158"/>
      <c r="E155" s="158"/>
      <c r="F155" s="159"/>
      <c r="G155" s="158"/>
      <c r="H155" s="160"/>
      <c r="I155" s="158"/>
      <c r="J155" s="158"/>
      <c r="K155" s="158"/>
    </row>
    <row r="156" spans="3:11" hidden="1" x14ac:dyDescent="0.3">
      <c r="C156" s="158"/>
      <c r="E156" s="158"/>
      <c r="F156" s="159"/>
      <c r="G156" s="158"/>
      <c r="H156" s="160"/>
      <c r="I156" s="158"/>
      <c r="J156" s="158"/>
      <c r="K156" s="158"/>
    </row>
    <row r="157" spans="3:11" hidden="1" x14ac:dyDescent="0.3">
      <c r="C157" s="158"/>
      <c r="E157" s="158"/>
      <c r="F157" s="159"/>
      <c r="G157" s="158"/>
      <c r="H157" s="160"/>
      <c r="I157" s="158"/>
      <c r="J157" s="158"/>
      <c r="K157" s="158"/>
    </row>
    <row r="158" spans="3:11" hidden="1" x14ac:dyDescent="0.3">
      <c r="C158" s="158"/>
      <c r="E158" s="158"/>
      <c r="F158" s="159"/>
      <c r="G158" s="158"/>
      <c r="H158" s="160"/>
      <c r="I158" s="158"/>
      <c r="J158" s="158"/>
      <c r="K158" s="158"/>
    </row>
    <row r="159" spans="3:11" hidden="1" x14ac:dyDescent="0.3">
      <c r="C159" s="158"/>
      <c r="E159" s="158"/>
      <c r="F159" s="159"/>
      <c r="G159" s="158"/>
      <c r="H159" s="160"/>
      <c r="I159" s="158"/>
      <c r="J159" s="158"/>
      <c r="K159" s="158"/>
    </row>
    <row r="160" spans="3:11" hidden="1" x14ac:dyDescent="0.3">
      <c r="C160" s="158"/>
      <c r="E160" s="158"/>
      <c r="F160" s="159"/>
      <c r="G160" s="158"/>
      <c r="H160" s="160"/>
      <c r="I160" s="158"/>
      <c r="J160" s="158"/>
      <c r="K160" s="158"/>
    </row>
    <row r="161" spans="3:11" hidden="1" x14ac:dyDescent="0.3">
      <c r="C161" s="158"/>
      <c r="E161" s="158"/>
      <c r="F161" s="159"/>
      <c r="G161" s="158"/>
      <c r="H161" s="160"/>
      <c r="I161" s="158"/>
      <c r="J161" s="158"/>
      <c r="K161" s="158"/>
    </row>
    <row r="162" spans="3:11" hidden="1" x14ac:dyDescent="0.3">
      <c r="C162" s="158"/>
      <c r="E162" s="158"/>
      <c r="F162" s="159"/>
      <c r="G162" s="158"/>
      <c r="H162" s="160"/>
      <c r="I162" s="158"/>
      <c r="J162" s="158"/>
      <c r="K162" s="158"/>
    </row>
    <row r="163" spans="3:11" hidden="1" x14ac:dyDescent="0.3">
      <c r="C163" s="158"/>
      <c r="E163" s="158"/>
      <c r="F163" s="159"/>
      <c r="G163" s="158"/>
      <c r="H163" s="160"/>
      <c r="I163" s="158"/>
      <c r="J163" s="158"/>
      <c r="K163" s="158"/>
    </row>
    <row r="164" spans="3:11" hidden="1" x14ac:dyDescent="0.3">
      <c r="C164" s="158"/>
      <c r="E164" s="158"/>
      <c r="F164" s="159"/>
      <c r="G164" s="158"/>
      <c r="H164" s="160"/>
      <c r="I164" s="158"/>
      <c r="J164" s="158"/>
      <c r="K164" s="158"/>
    </row>
    <row r="165" spans="3:11" hidden="1" x14ac:dyDescent="0.3">
      <c r="C165" s="158"/>
      <c r="E165" s="158"/>
      <c r="F165" s="159"/>
      <c r="G165" s="158"/>
      <c r="H165" s="160"/>
      <c r="I165" s="158"/>
      <c r="J165" s="158"/>
      <c r="K165" s="158"/>
    </row>
    <row r="166" spans="3:11" hidden="1" x14ac:dyDescent="0.3">
      <c r="C166" s="158"/>
      <c r="E166" s="158"/>
      <c r="F166" s="159"/>
      <c r="G166" s="158"/>
      <c r="H166" s="160"/>
      <c r="I166" s="158"/>
      <c r="J166" s="158"/>
      <c r="K166" s="158"/>
    </row>
    <row r="167" spans="3:11" hidden="1" x14ac:dyDescent="0.3">
      <c r="C167" s="158"/>
      <c r="E167" s="158"/>
      <c r="F167" s="159"/>
      <c r="G167" s="158"/>
      <c r="H167" s="160"/>
      <c r="I167" s="158"/>
      <c r="J167" s="158"/>
      <c r="K167" s="158"/>
    </row>
    <row r="168" spans="3:11" hidden="1" x14ac:dyDescent="0.3">
      <c r="C168" s="158"/>
      <c r="E168" s="158"/>
      <c r="F168" s="159"/>
      <c r="G168" s="158"/>
      <c r="H168" s="160"/>
      <c r="I168" s="158"/>
      <c r="J168" s="158"/>
      <c r="K168" s="158"/>
    </row>
    <row r="169" spans="3:11" hidden="1" x14ac:dyDescent="0.3">
      <c r="C169" s="158"/>
      <c r="E169" s="158"/>
      <c r="F169" s="159"/>
      <c r="G169" s="158"/>
      <c r="H169" s="160"/>
      <c r="I169" s="158"/>
      <c r="J169" s="158"/>
      <c r="K169" s="158"/>
    </row>
    <row r="170" spans="3:11" hidden="1" x14ac:dyDescent="0.3">
      <c r="C170" s="158"/>
      <c r="E170" s="158"/>
      <c r="F170" s="159"/>
      <c r="G170" s="158"/>
      <c r="H170" s="160"/>
      <c r="I170" s="158"/>
      <c r="J170" s="158"/>
      <c r="K170" s="158"/>
    </row>
    <row r="171" spans="3:11" hidden="1" x14ac:dyDescent="0.3">
      <c r="C171" s="158"/>
      <c r="E171" s="158"/>
      <c r="F171" s="159"/>
      <c r="G171" s="158"/>
      <c r="H171" s="160"/>
      <c r="I171" s="158"/>
      <c r="J171" s="158"/>
      <c r="K171" s="158"/>
    </row>
    <row r="172" spans="3:11" hidden="1" x14ac:dyDescent="0.3">
      <c r="C172" s="158"/>
      <c r="E172" s="158"/>
      <c r="F172" s="159"/>
      <c r="G172" s="158"/>
      <c r="H172" s="160"/>
      <c r="I172" s="158"/>
      <c r="J172" s="158"/>
      <c r="K172" s="158"/>
    </row>
    <row r="173" spans="3:11" hidden="1" x14ac:dyDescent="0.3">
      <c r="C173" s="158"/>
      <c r="E173" s="158"/>
      <c r="F173" s="159"/>
      <c r="G173" s="158"/>
      <c r="H173" s="160"/>
      <c r="I173" s="158"/>
      <c r="J173" s="158"/>
      <c r="K173" s="158"/>
    </row>
    <row r="174" spans="3:11" hidden="1" x14ac:dyDescent="0.3">
      <c r="C174" s="158"/>
      <c r="E174" s="158"/>
      <c r="F174" s="159"/>
      <c r="G174" s="158"/>
      <c r="H174" s="160"/>
      <c r="I174" s="158"/>
      <c r="J174" s="158"/>
      <c r="K174" s="158"/>
    </row>
    <row r="175" spans="3:11" hidden="1" x14ac:dyDescent="0.3">
      <c r="C175" s="158"/>
      <c r="E175" s="158"/>
      <c r="F175" s="159"/>
      <c r="G175" s="158"/>
      <c r="H175" s="160"/>
      <c r="I175" s="158"/>
      <c r="J175" s="158"/>
      <c r="K175" s="158"/>
    </row>
    <row r="176" spans="3:11" hidden="1" x14ac:dyDescent="0.3">
      <c r="C176" s="158"/>
      <c r="E176" s="158"/>
      <c r="F176" s="159"/>
      <c r="G176" s="158"/>
      <c r="H176" s="160"/>
      <c r="I176" s="158"/>
      <c r="J176" s="158"/>
      <c r="K176" s="158"/>
    </row>
    <row r="177" spans="3:11" hidden="1" x14ac:dyDescent="0.3">
      <c r="C177" s="158"/>
      <c r="E177" s="158"/>
      <c r="F177" s="159"/>
      <c r="G177" s="158"/>
      <c r="H177" s="160"/>
      <c r="I177" s="158"/>
      <c r="J177" s="158"/>
      <c r="K177" s="158"/>
    </row>
    <row r="178" spans="3:11" hidden="1" x14ac:dyDescent="0.3">
      <c r="C178" s="158"/>
      <c r="E178" s="158"/>
      <c r="F178" s="159"/>
      <c r="G178" s="158"/>
      <c r="H178" s="160"/>
      <c r="I178" s="158"/>
      <c r="J178" s="158"/>
      <c r="K178" s="158"/>
    </row>
    <row r="179" spans="3:11" hidden="1" x14ac:dyDescent="0.3">
      <c r="C179" s="158"/>
      <c r="E179" s="158"/>
      <c r="F179" s="159"/>
      <c r="G179" s="158"/>
      <c r="H179" s="160"/>
      <c r="I179" s="158"/>
      <c r="J179" s="158"/>
      <c r="K179" s="158"/>
    </row>
    <row r="180" spans="3:11" hidden="1" x14ac:dyDescent="0.3">
      <c r="C180" s="158"/>
      <c r="E180" s="158"/>
      <c r="F180" s="159"/>
      <c r="G180" s="158"/>
      <c r="H180" s="160"/>
      <c r="I180" s="158"/>
      <c r="J180" s="158"/>
      <c r="K180" s="158"/>
    </row>
    <row r="181" spans="3:11" hidden="1" x14ac:dyDescent="0.3">
      <c r="C181" s="158"/>
      <c r="E181" s="158"/>
      <c r="F181" s="159"/>
      <c r="G181" s="158"/>
      <c r="H181" s="160"/>
      <c r="I181" s="158"/>
      <c r="J181" s="158"/>
      <c r="K181" s="158"/>
    </row>
    <row r="182" spans="3:11" hidden="1" x14ac:dyDescent="0.3">
      <c r="C182" s="158"/>
      <c r="E182" s="158"/>
      <c r="F182" s="159"/>
      <c r="G182" s="158"/>
      <c r="H182" s="160"/>
      <c r="I182" s="158"/>
      <c r="J182" s="158"/>
      <c r="K182" s="158"/>
    </row>
    <row r="183" spans="3:11" hidden="1" x14ac:dyDescent="0.3">
      <c r="C183" s="158"/>
      <c r="E183" s="158"/>
      <c r="F183" s="159"/>
      <c r="G183" s="158"/>
      <c r="H183" s="160"/>
      <c r="I183" s="158"/>
      <c r="J183" s="158"/>
      <c r="K183" s="158"/>
    </row>
    <row r="184" spans="3:11" hidden="1" x14ac:dyDescent="0.3">
      <c r="C184" s="158"/>
      <c r="E184" s="158"/>
      <c r="F184" s="159"/>
      <c r="G184" s="158"/>
      <c r="H184" s="160"/>
      <c r="I184" s="158"/>
      <c r="J184" s="158"/>
      <c r="K184" s="158"/>
    </row>
    <row r="185" spans="3:11" hidden="1" x14ac:dyDescent="0.3">
      <c r="C185" s="158"/>
      <c r="E185" s="158"/>
      <c r="F185" s="159"/>
      <c r="G185" s="158"/>
      <c r="H185" s="160"/>
      <c r="I185" s="158"/>
      <c r="J185" s="158"/>
      <c r="K185" s="158"/>
    </row>
    <row r="186" spans="3:11" hidden="1" x14ac:dyDescent="0.3">
      <c r="C186" s="158"/>
      <c r="E186" s="158"/>
      <c r="F186" s="159"/>
      <c r="G186" s="158"/>
      <c r="H186" s="160"/>
      <c r="I186" s="158"/>
      <c r="J186" s="158"/>
      <c r="K186" s="158"/>
    </row>
    <row r="187" spans="3:11" hidden="1" x14ac:dyDescent="0.3">
      <c r="C187" s="158"/>
      <c r="E187" s="158"/>
      <c r="F187" s="159"/>
      <c r="G187" s="158"/>
      <c r="H187" s="160"/>
      <c r="I187" s="158"/>
      <c r="J187" s="158"/>
      <c r="K187" s="158"/>
    </row>
    <row r="188" spans="3:11" hidden="1" x14ac:dyDescent="0.3">
      <c r="C188" s="158"/>
      <c r="E188" s="158"/>
      <c r="F188" s="159"/>
      <c r="G188" s="158"/>
      <c r="H188" s="160"/>
      <c r="I188" s="158"/>
      <c r="J188" s="158"/>
      <c r="K188" s="158"/>
    </row>
    <row r="189" spans="3:11" hidden="1" x14ac:dyDescent="0.3">
      <c r="C189" s="158"/>
      <c r="E189" s="158"/>
      <c r="F189" s="159"/>
      <c r="G189" s="158"/>
      <c r="H189" s="160"/>
      <c r="I189" s="158"/>
      <c r="J189" s="158"/>
      <c r="K189" s="158"/>
    </row>
    <row r="190" spans="3:11" hidden="1" x14ac:dyDescent="0.3">
      <c r="C190" s="158"/>
      <c r="E190" s="158"/>
      <c r="F190" s="159"/>
      <c r="G190" s="158"/>
      <c r="H190" s="160"/>
      <c r="I190" s="158"/>
      <c r="J190" s="158"/>
      <c r="K190" s="158"/>
    </row>
    <row r="191" spans="3:11" hidden="1" x14ac:dyDescent="0.3">
      <c r="C191" s="158"/>
      <c r="E191" s="158"/>
      <c r="F191" s="159"/>
      <c r="G191" s="158"/>
      <c r="H191" s="160"/>
      <c r="I191" s="158"/>
      <c r="J191" s="158"/>
      <c r="K191" s="158"/>
    </row>
    <row r="192" spans="3:11" hidden="1" x14ac:dyDescent="0.3">
      <c r="C192" s="158"/>
      <c r="E192" s="158"/>
      <c r="F192" s="159"/>
      <c r="G192" s="158"/>
      <c r="H192" s="160"/>
      <c r="I192" s="158"/>
      <c r="J192" s="158"/>
      <c r="K192" s="158"/>
    </row>
    <row r="193" spans="3:11" hidden="1" x14ac:dyDescent="0.3">
      <c r="C193" s="158"/>
      <c r="E193" s="158"/>
      <c r="F193" s="159"/>
      <c r="G193" s="158"/>
      <c r="H193" s="160"/>
      <c r="I193" s="158"/>
      <c r="J193" s="158"/>
      <c r="K193" s="158"/>
    </row>
    <row r="194" spans="3:11" hidden="1" x14ac:dyDescent="0.3">
      <c r="C194" s="158"/>
      <c r="E194" s="158"/>
      <c r="F194" s="159"/>
      <c r="G194" s="158"/>
      <c r="H194" s="160"/>
      <c r="I194" s="158"/>
      <c r="J194" s="158"/>
      <c r="K194" s="158"/>
    </row>
    <row r="195" spans="3:11" hidden="1" x14ac:dyDescent="0.3">
      <c r="C195" s="158"/>
      <c r="E195" s="158"/>
      <c r="F195" s="159"/>
      <c r="G195" s="158"/>
      <c r="H195" s="160"/>
      <c r="I195" s="158"/>
      <c r="J195" s="158"/>
      <c r="K195" s="158"/>
    </row>
    <row r="196" spans="3:11" hidden="1" x14ac:dyDescent="0.3">
      <c r="C196" s="158"/>
      <c r="E196" s="158"/>
      <c r="F196" s="159"/>
      <c r="G196" s="158"/>
      <c r="H196" s="160"/>
      <c r="I196" s="158"/>
      <c r="J196" s="158"/>
      <c r="K196" s="158"/>
    </row>
    <row r="197" spans="3:11" hidden="1" x14ac:dyDescent="0.3">
      <c r="C197" s="158"/>
      <c r="E197" s="158"/>
      <c r="F197" s="159"/>
      <c r="G197" s="158"/>
      <c r="H197" s="160"/>
      <c r="I197" s="158"/>
      <c r="J197" s="158"/>
      <c r="K197" s="158"/>
    </row>
    <row r="198" spans="3:11" hidden="1" x14ac:dyDescent="0.3">
      <c r="C198" s="158"/>
      <c r="E198" s="158"/>
      <c r="F198" s="159"/>
      <c r="G198" s="158"/>
      <c r="H198" s="160"/>
      <c r="I198" s="158"/>
      <c r="J198" s="158"/>
      <c r="K198" s="158"/>
    </row>
    <row r="199" spans="3:11" hidden="1" x14ac:dyDescent="0.3">
      <c r="C199" s="158"/>
      <c r="E199" s="158"/>
      <c r="F199" s="159"/>
      <c r="G199" s="158"/>
      <c r="H199" s="160"/>
      <c r="I199" s="158"/>
      <c r="J199" s="158"/>
      <c r="K199" s="158"/>
    </row>
    <row r="200" spans="3:11" hidden="1" x14ac:dyDescent="0.3">
      <c r="C200" s="158"/>
      <c r="E200" s="158"/>
      <c r="F200" s="159"/>
      <c r="G200" s="158"/>
      <c r="H200" s="160"/>
      <c r="I200" s="158"/>
      <c r="J200" s="158"/>
      <c r="K200" s="158"/>
    </row>
    <row r="201" spans="3:11" hidden="1" x14ac:dyDescent="0.3">
      <c r="C201" s="158"/>
      <c r="E201" s="158"/>
      <c r="F201" s="159"/>
      <c r="G201" s="158"/>
      <c r="H201" s="160"/>
      <c r="I201" s="158"/>
      <c r="J201" s="158"/>
      <c r="K201" s="158"/>
    </row>
    <row r="202" spans="3:11" hidden="1" x14ac:dyDescent="0.3">
      <c r="C202" s="158"/>
      <c r="E202" s="158"/>
      <c r="F202" s="159"/>
      <c r="G202" s="158"/>
      <c r="H202" s="160"/>
      <c r="I202" s="158"/>
      <c r="J202" s="158"/>
      <c r="K202" s="158"/>
    </row>
    <row r="203" spans="3:11" hidden="1" x14ac:dyDescent="0.3">
      <c r="C203" s="158"/>
      <c r="E203" s="158"/>
      <c r="F203" s="159"/>
      <c r="G203" s="158"/>
      <c r="H203" s="160"/>
      <c r="I203" s="158"/>
      <c r="J203" s="158"/>
      <c r="K203" s="158"/>
    </row>
    <row r="204" spans="3:11" hidden="1" x14ac:dyDescent="0.3">
      <c r="C204" s="158"/>
      <c r="E204" s="158"/>
      <c r="F204" s="159"/>
      <c r="G204" s="158"/>
      <c r="H204" s="160"/>
      <c r="I204" s="158"/>
      <c r="J204" s="158"/>
      <c r="K204" s="158"/>
    </row>
    <row r="205" spans="3:11" hidden="1" x14ac:dyDescent="0.3">
      <c r="C205" s="158"/>
      <c r="E205" s="158"/>
      <c r="F205" s="159"/>
      <c r="G205" s="158"/>
      <c r="H205" s="160"/>
      <c r="I205" s="158"/>
      <c r="J205" s="158"/>
      <c r="K205" s="158"/>
    </row>
    <row r="206" spans="3:11" hidden="1" x14ac:dyDescent="0.3">
      <c r="C206" s="158"/>
      <c r="E206" s="158"/>
      <c r="F206" s="159"/>
      <c r="G206" s="158"/>
      <c r="H206" s="160"/>
      <c r="I206" s="158"/>
      <c r="J206" s="158"/>
      <c r="K206" s="158"/>
    </row>
    <row r="207" spans="3:11" hidden="1" x14ac:dyDescent="0.3">
      <c r="C207" s="158"/>
      <c r="E207" s="158"/>
      <c r="F207" s="159"/>
      <c r="G207" s="158"/>
      <c r="H207" s="160"/>
      <c r="I207" s="158"/>
      <c r="J207" s="158"/>
      <c r="K207" s="158"/>
    </row>
    <row r="208" spans="3:11" hidden="1" x14ac:dyDescent="0.3">
      <c r="C208" s="158"/>
      <c r="E208" s="158"/>
      <c r="F208" s="159"/>
      <c r="G208" s="158"/>
      <c r="H208" s="160"/>
      <c r="I208" s="158"/>
      <c r="J208" s="158"/>
      <c r="K208" s="158"/>
    </row>
    <row r="209" spans="3:11" hidden="1" x14ac:dyDescent="0.3">
      <c r="C209" s="158"/>
      <c r="E209" s="158"/>
      <c r="F209" s="159"/>
      <c r="G209" s="158"/>
      <c r="H209" s="160"/>
      <c r="I209" s="158"/>
      <c r="J209" s="158"/>
      <c r="K209" s="158"/>
    </row>
    <row r="210" spans="3:11" hidden="1" x14ac:dyDescent="0.3">
      <c r="C210" s="158"/>
      <c r="E210" s="158"/>
      <c r="F210" s="159"/>
      <c r="G210" s="158"/>
      <c r="H210" s="160"/>
      <c r="I210" s="158"/>
      <c r="J210" s="158"/>
      <c r="K210" s="158"/>
    </row>
    <row r="211" spans="3:11" hidden="1" x14ac:dyDescent="0.3">
      <c r="C211" s="158"/>
      <c r="E211" s="158"/>
      <c r="F211" s="159"/>
      <c r="G211" s="158"/>
      <c r="H211" s="160"/>
      <c r="I211" s="158"/>
      <c r="J211" s="158"/>
      <c r="K211" s="158"/>
    </row>
    <row r="212" spans="3:11" hidden="1" x14ac:dyDescent="0.3">
      <c r="C212" s="158"/>
      <c r="E212" s="158"/>
      <c r="F212" s="159"/>
      <c r="G212" s="158"/>
      <c r="H212" s="160"/>
      <c r="I212" s="158"/>
      <c r="J212" s="158"/>
      <c r="K212" s="158"/>
    </row>
    <row r="213" spans="3:11" hidden="1" x14ac:dyDescent="0.3">
      <c r="C213" s="158"/>
      <c r="E213" s="158"/>
      <c r="F213" s="159"/>
      <c r="G213" s="158"/>
      <c r="H213" s="160"/>
      <c r="I213" s="158"/>
      <c r="J213" s="158"/>
      <c r="K213" s="158"/>
    </row>
    <row r="214" spans="3:11" hidden="1" x14ac:dyDescent="0.3">
      <c r="C214" s="158"/>
      <c r="E214" s="158"/>
      <c r="F214" s="159"/>
      <c r="G214" s="158"/>
      <c r="H214" s="160"/>
      <c r="I214" s="158"/>
      <c r="J214" s="158"/>
      <c r="K214" s="158"/>
    </row>
    <row r="215" spans="3:11" hidden="1" x14ac:dyDescent="0.3">
      <c r="C215" s="158"/>
      <c r="E215" s="158"/>
      <c r="F215" s="159"/>
      <c r="G215" s="158"/>
      <c r="H215" s="160"/>
      <c r="I215" s="158"/>
      <c r="J215" s="158"/>
      <c r="K215" s="158"/>
    </row>
    <row r="216" spans="3:11" hidden="1" x14ac:dyDescent="0.3">
      <c r="C216" s="158"/>
      <c r="E216" s="158"/>
      <c r="F216" s="159"/>
      <c r="G216" s="158"/>
      <c r="H216" s="160"/>
      <c r="I216" s="158"/>
      <c r="J216" s="158"/>
      <c r="K216" s="158"/>
    </row>
    <row r="217" spans="3:11" hidden="1" x14ac:dyDescent="0.3">
      <c r="C217" s="158"/>
      <c r="E217" s="158"/>
      <c r="F217" s="159"/>
      <c r="G217" s="158"/>
      <c r="H217" s="160"/>
      <c r="I217" s="158"/>
      <c r="J217" s="158"/>
      <c r="K217" s="158"/>
    </row>
    <row r="218" spans="3:11" hidden="1" x14ac:dyDescent="0.3">
      <c r="C218" s="158"/>
      <c r="E218" s="158"/>
      <c r="F218" s="159"/>
      <c r="G218" s="158"/>
      <c r="H218" s="160"/>
      <c r="I218" s="158"/>
      <c r="J218" s="158"/>
      <c r="K218" s="158"/>
    </row>
    <row r="219" spans="3:11" hidden="1" x14ac:dyDescent="0.3">
      <c r="C219" s="158"/>
      <c r="E219" s="158"/>
      <c r="F219" s="159"/>
      <c r="G219" s="158"/>
      <c r="H219" s="160"/>
      <c r="I219" s="158"/>
      <c r="J219" s="158"/>
      <c r="K219" s="158"/>
    </row>
    <row r="220" spans="3:11" hidden="1" x14ac:dyDescent="0.3">
      <c r="C220" s="158"/>
      <c r="E220" s="158"/>
      <c r="F220" s="159"/>
      <c r="G220" s="158"/>
      <c r="H220" s="160"/>
      <c r="I220" s="158"/>
      <c r="J220" s="158"/>
      <c r="K220" s="158"/>
    </row>
    <row r="221" spans="3:11" hidden="1" x14ac:dyDescent="0.3">
      <c r="C221" s="158"/>
      <c r="E221" s="158"/>
      <c r="F221" s="159"/>
      <c r="G221" s="158"/>
      <c r="H221" s="160"/>
      <c r="I221" s="158"/>
      <c r="J221" s="158"/>
      <c r="K221" s="158"/>
    </row>
    <row r="222" spans="3:11" hidden="1" x14ac:dyDescent="0.3">
      <c r="C222" s="158"/>
      <c r="E222" s="158"/>
      <c r="F222" s="159"/>
      <c r="G222" s="158"/>
      <c r="H222" s="160"/>
      <c r="I222" s="158"/>
      <c r="J222" s="158"/>
      <c r="K222" s="158"/>
    </row>
    <row r="223" spans="3:11" hidden="1" x14ac:dyDescent="0.3">
      <c r="C223" s="158"/>
      <c r="E223" s="158"/>
      <c r="F223" s="159"/>
      <c r="G223" s="158"/>
      <c r="H223" s="160"/>
      <c r="I223" s="158"/>
      <c r="J223" s="158"/>
      <c r="K223" s="158"/>
    </row>
    <row r="224" spans="3:11" hidden="1" x14ac:dyDescent="0.3">
      <c r="C224" s="158"/>
      <c r="E224" s="158"/>
      <c r="F224" s="159"/>
      <c r="G224" s="158"/>
      <c r="H224" s="160"/>
      <c r="I224" s="158"/>
      <c r="J224" s="158"/>
      <c r="K224" s="158"/>
    </row>
    <row r="225" spans="3:11" hidden="1" x14ac:dyDescent="0.3">
      <c r="C225" s="158"/>
      <c r="E225" s="158"/>
      <c r="F225" s="159"/>
      <c r="G225" s="158"/>
      <c r="H225" s="160"/>
      <c r="I225" s="158"/>
      <c r="J225" s="158"/>
      <c r="K225" s="158"/>
    </row>
    <row r="226" spans="3:11" hidden="1" x14ac:dyDescent="0.3">
      <c r="C226" s="158"/>
      <c r="E226" s="158"/>
      <c r="F226" s="159"/>
      <c r="G226" s="158"/>
      <c r="H226" s="160"/>
      <c r="I226" s="158"/>
      <c r="J226" s="158"/>
      <c r="K226" s="158"/>
    </row>
    <row r="227" spans="3:11" hidden="1" x14ac:dyDescent="0.3">
      <c r="C227" s="158"/>
      <c r="E227" s="158"/>
      <c r="F227" s="159"/>
      <c r="G227" s="158"/>
      <c r="H227" s="160"/>
      <c r="I227" s="158"/>
      <c r="J227" s="158"/>
      <c r="K227" s="158"/>
    </row>
    <row r="228" spans="3:11" hidden="1" x14ac:dyDescent="0.3">
      <c r="C228" s="158"/>
      <c r="E228" s="158"/>
      <c r="F228" s="159"/>
      <c r="G228" s="158"/>
      <c r="H228" s="160"/>
      <c r="I228" s="158"/>
      <c r="J228" s="158"/>
      <c r="K228" s="158"/>
    </row>
    <row r="229" spans="3:11" hidden="1" x14ac:dyDescent="0.3">
      <c r="C229" s="158"/>
      <c r="E229" s="158"/>
      <c r="F229" s="159"/>
      <c r="G229" s="158"/>
      <c r="H229" s="160"/>
      <c r="I229" s="158"/>
      <c r="J229" s="158"/>
      <c r="K229" s="158"/>
    </row>
    <row r="230" spans="3:11" hidden="1" x14ac:dyDescent="0.3">
      <c r="C230" s="158"/>
      <c r="E230" s="158"/>
      <c r="F230" s="159"/>
      <c r="G230" s="158"/>
      <c r="H230" s="160"/>
      <c r="I230" s="158"/>
      <c r="J230" s="158"/>
      <c r="K230" s="158"/>
    </row>
    <row r="231" spans="3:11" hidden="1" x14ac:dyDescent="0.3">
      <c r="C231" s="158"/>
      <c r="E231" s="158"/>
      <c r="F231" s="159"/>
      <c r="G231" s="158"/>
      <c r="H231" s="160"/>
      <c r="I231" s="158"/>
      <c r="J231" s="158"/>
      <c r="K231" s="158"/>
    </row>
    <row r="232" spans="3:11" hidden="1" x14ac:dyDescent="0.3">
      <c r="C232" s="158"/>
      <c r="E232" s="158"/>
      <c r="F232" s="159"/>
      <c r="G232" s="158"/>
      <c r="H232" s="160"/>
      <c r="I232" s="158"/>
      <c r="J232" s="158"/>
      <c r="K232" s="158"/>
    </row>
    <row r="233" spans="3:11" hidden="1" x14ac:dyDescent="0.3">
      <c r="C233" s="158"/>
      <c r="E233" s="158"/>
      <c r="F233" s="159"/>
      <c r="G233" s="158"/>
      <c r="H233" s="160"/>
      <c r="I233" s="158"/>
      <c r="J233" s="158"/>
      <c r="K233" s="158"/>
    </row>
    <row r="234" spans="3:11" hidden="1" x14ac:dyDescent="0.3">
      <c r="C234" s="158"/>
      <c r="E234" s="158"/>
      <c r="F234" s="159"/>
      <c r="G234" s="158"/>
      <c r="H234" s="160"/>
      <c r="I234" s="158"/>
      <c r="J234" s="158"/>
      <c r="K234" s="158"/>
    </row>
    <row r="235" spans="3:11" hidden="1" x14ac:dyDescent="0.3">
      <c r="C235" s="158"/>
      <c r="E235" s="158"/>
      <c r="F235" s="159"/>
      <c r="G235" s="158"/>
      <c r="H235" s="160"/>
      <c r="I235" s="158"/>
      <c r="J235" s="158"/>
      <c r="K235" s="158"/>
    </row>
    <row r="236" spans="3:11" hidden="1" x14ac:dyDescent="0.3">
      <c r="C236" s="158"/>
      <c r="E236" s="158"/>
      <c r="F236" s="159"/>
      <c r="G236" s="158"/>
      <c r="H236" s="160"/>
      <c r="I236" s="158"/>
      <c r="J236" s="158"/>
      <c r="K236" s="158"/>
    </row>
    <row r="237" spans="3:11" hidden="1" x14ac:dyDescent="0.3">
      <c r="C237" s="158"/>
      <c r="E237" s="158"/>
      <c r="F237" s="159"/>
      <c r="G237" s="158"/>
      <c r="H237" s="160"/>
      <c r="I237" s="158"/>
      <c r="J237" s="158"/>
      <c r="K237" s="158"/>
    </row>
    <row r="238" spans="3:11" hidden="1" x14ac:dyDescent="0.3">
      <c r="C238" s="158"/>
      <c r="E238" s="158"/>
      <c r="F238" s="159"/>
      <c r="G238" s="158"/>
      <c r="H238" s="160"/>
      <c r="I238" s="158"/>
      <c r="J238" s="158"/>
      <c r="K238" s="158"/>
    </row>
    <row r="239" spans="3:11" hidden="1" x14ac:dyDescent="0.3">
      <c r="C239" s="158"/>
      <c r="E239" s="158"/>
      <c r="F239" s="159"/>
      <c r="G239" s="158"/>
      <c r="H239" s="160"/>
      <c r="I239" s="158"/>
      <c r="J239" s="158"/>
      <c r="K239" s="158"/>
    </row>
    <row r="240" spans="3:11" hidden="1" x14ac:dyDescent="0.3">
      <c r="C240" s="158"/>
      <c r="E240" s="158"/>
      <c r="F240" s="159"/>
      <c r="G240" s="158"/>
      <c r="H240" s="160"/>
      <c r="I240" s="158"/>
      <c r="J240" s="158"/>
      <c r="K240" s="158"/>
    </row>
    <row r="241" spans="3:11" hidden="1" x14ac:dyDescent="0.3">
      <c r="C241" s="158"/>
      <c r="E241" s="158"/>
      <c r="F241" s="159"/>
      <c r="G241" s="158"/>
      <c r="H241" s="160"/>
      <c r="I241" s="158"/>
      <c r="J241" s="158"/>
      <c r="K241" s="158"/>
    </row>
    <row r="242" spans="3:11" hidden="1" x14ac:dyDescent="0.3">
      <c r="C242" s="158"/>
      <c r="E242" s="158"/>
      <c r="F242" s="159"/>
      <c r="G242" s="158"/>
      <c r="H242" s="160"/>
      <c r="I242" s="158"/>
      <c r="J242" s="158"/>
      <c r="K242" s="158"/>
    </row>
    <row r="243" spans="3:11" hidden="1" x14ac:dyDescent="0.3">
      <c r="C243" s="158"/>
      <c r="E243" s="158"/>
      <c r="F243" s="159"/>
      <c r="G243" s="158"/>
      <c r="H243" s="160"/>
      <c r="I243" s="158"/>
      <c r="J243" s="158"/>
      <c r="K243" s="158"/>
    </row>
    <row r="244" spans="3:11" hidden="1" x14ac:dyDescent="0.3">
      <c r="C244" s="158"/>
      <c r="E244" s="158"/>
      <c r="F244" s="159"/>
      <c r="G244" s="158"/>
      <c r="H244" s="160"/>
      <c r="I244" s="158"/>
      <c r="J244" s="158"/>
      <c r="K244" s="158"/>
    </row>
    <row r="245" spans="3:11" hidden="1" x14ac:dyDescent="0.3">
      <c r="C245" s="158"/>
      <c r="E245" s="158"/>
      <c r="F245" s="159"/>
      <c r="G245" s="158"/>
      <c r="H245" s="160"/>
      <c r="I245" s="158"/>
      <c r="J245" s="158"/>
      <c r="K245" s="158"/>
    </row>
    <row r="246" spans="3:11" hidden="1" x14ac:dyDescent="0.3">
      <c r="C246" s="158"/>
      <c r="E246" s="158"/>
      <c r="F246" s="159"/>
      <c r="G246" s="158"/>
      <c r="H246" s="160"/>
      <c r="I246" s="158"/>
      <c r="J246" s="158"/>
      <c r="K246" s="158"/>
    </row>
    <row r="247" spans="3:11" hidden="1" x14ac:dyDescent="0.3">
      <c r="C247" s="158"/>
      <c r="E247" s="158"/>
      <c r="F247" s="159"/>
      <c r="G247" s="158"/>
      <c r="H247" s="160"/>
      <c r="I247" s="158"/>
      <c r="J247" s="158"/>
      <c r="K247" s="158"/>
    </row>
    <row r="248" spans="3:11" hidden="1" x14ac:dyDescent="0.3">
      <c r="C248" s="158"/>
      <c r="E248" s="158"/>
      <c r="F248" s="159"/>
      <c r="G248" s="158"/>
      <c r="H248" s="160"/>
      <c r="I248" s="158"/>
      <c r="J248" s="158"/>
      <c r="K248" s="158"/>
    </row>
    <row r="249" spans="3:11" hidden="1" x14ac:dyDescent="0.3">
      <c r="C249" s="158"/>
      <c r="E249" s="158"/>
      <c r="F249" s="159"/>
      <c r="G249" s="158"/>
      <c r="H249" s="160"/>
      <c r="I249" s="158"/>
      <c r="J249" s="158"/>
      <c r="K249" s="158"/>
    </row>
  </sheetData>
  <protectedRanges>
    <protectedRange sqref="C2:C5" name="Range1"/>
  </protectedRanges>
  <mergeCells count="6">
    <mergeCell ref="E31:F31"/>
    <mergeCell ref="E1:I1"/>
    <mergeCell ref="H2:I2"/>
    <mergeCell ref="H10:I10"/>
    <mergeCell ref="E28:F28"/>
    <mergeCell ref="E22:F22"/>
  </mergeCells>
  <dataValidations disablePrompts="1" count="1">
    <dataValidation type="list" allowBlank="1" showInputMessage="1" showErrorMessage="1" sqref="I24" xr:uid="{1CACAA07-647F-4001-9CEF-404339B9D094}">
      <formula1>$J$25:$J$30</formula1>
    </dataValidation>
  </dataValidations>
  <hyperlinks>
    <hyperlink ref="A1" location="'Table of contents'!A1" display="Table of contents" xr:uid="{84AAE97A-C8D5-4FD9-BD6A-2729AA7133C9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A9C8-1A99-4D2E-892F-07C78ECBBB42}">
  <sheetPr>
    <tabColor theme="4"/>
  </sheetPr>
  <dimension ref="A1:AQ38"/>
  <sheetViews>
    <sheetView tabSelected="1" topLeftCell="A15" workbookViewId="0">
      <selection activeCell="B23" sqref="B23"/>
    </sheetView>
  </sheetViews>
  <sheetFormatPr defaultColWidth="8.77734375" defaultRowHeight="14.4" x14ac:dyDescent="0.3"/>
  <cols>
    <col min="1" max="1" width="45.88671875" style="1" customWidth="1"/>
    <col min="2" max="2" width="20.5546875" style="1" bestFit="1" customWidth="1"/>
    <col min="3" max="3" width="14.21875" style="1" bestFit="1" customWidth="1"/>
    <col min="4" max="4" width="15.88671875" style="1" customWidth="1"/>
    <col min="5" max="5" width="15" style="1" customWidth="1"/>
    <col min="6" max="6" width="14.21875" style="1" bestFit="1" customWidth="1"/>
    <col min="7" max="16384" width="8.77734375" style="1"/>
  </cols>
  <sheetData>
    <row r="1" spans="1:43" x14ac:dyDescent="0.3">
      <c r="A1" s="626" t="s">
        <v>454</v>
      </c>
      <c r="W1" s="626" t="s">
        <v>499</v>
      </c>
      <c r="AQ1" s="626" t="s">
        <v>499</v>
      </c>
    </row>
    <row r="2" spans="1:43" ht="15.6" x14ac:dyDescent="0.3">
      <c r="A2" s="766" t="s">
        <v>271</v>
      </c>
      <c r="B2" s="295">
        <f>'ROI Number insert'!C3</f>
        <v>10267800</v>
      </c>
    </row>
    <row r="3" spans="1:43" ht="15.6" x14ac:dyDescent="0.3">
      <c r="A3" s="766" t="s">
        <v>272</v>
      </c>
      <c r="B3" s="422" t="str">
        <f>'ROI Number insert'!C4</f>
        <v>3601 13308 Central Avenue, Surrey</v>
      </c>
    </row>
    <row r="4" spans="1:43" ht="15.6" x14ac:dyDescent="0.3">
      <c r="A4" s="767" t="s">
        <v>268</v>
      </c>
      <c r="B4" s="296">
        <f ca="1">TODAY()-'ROI Number insert'!C2</f>
        <v>9</v>
      </c>
    </row>
    <row r="5" spans="1:43" ht="15.6" x14ac:dyDescent="0.3">
      <c r="A5" s="766" t="s">
        <v>5</v>
      </c>
      <c r="B5" s="127">
        <f>'Calculating offering price'!C4</f>
        <v>1588000</v>
      </c>
    </row>
    <row r="6" spans="1:43" ht="15.6" x14ac:dyDescent="0.3">
      <c r="A6" s="767" t="s">
        <v>95</v>
      </c>
      <c r="B6" s="768">
        <f>'ROI Number insert'!F3</f>
        <v>1288000</v>
      </c>
    </row>
    <row r="7" spans="1:43" ht="15.6" x14ac:dyDescent="0.3">
      <c r="A7" s="177" t="s">
        <v>21</v>
      </c>
      <c r="B7" s="127">
        <f>IF('Calculating offering price'!C19&gt;'Total Result'!C21,'Calculating offering price'!C19,IF('Calculating offering price'!C19&lt;='Total Result'!C21,'Total Result'!C21))</f>
        <v>301140</v>
      </c>
    </row>
    <row r="8" spans="1:43" x14ac:dyDescent="0.3">
      <c r="A8" s="770" t="s">
        <v>179</v>
      </c>
      <c r="B8" s="297">
        <f>_xlfn.XLOOKUP(A8,'Total Result'!B17:B20,'Total Result'!C17:C20)</f>
        <v>0</v>
      </c>
    </row>
    <row r="9" spans="1:43" ht="15.6" x14ac:dyDescent="0.3">
      <c r="A9" s="769" t="s">
        <v>493</v>
      </c>
      <c r="B9" s="127">
        <f>SUM('ROI details'!H24:H28)</f>
        <v>1467540</v>
      </c>
    </row>
    <row r="10" spans="1:43" ht="15.6" x14ac:dyDescent="0.3">
      <c r="A10" s="769" t="s">
        <v>496</v>
      </c>
      <c r="B10" s="414">
        <f>'Total Result'!C12</f>
        <v>1.575138042374701</v>
      </c>
      <c r="C10" s="808" t="s">
        <v>512</v>
      </c>
    </row>
    <row r="11" spans="1:43" ht="15.6" x14ac:dyDescent="0.3">
      <c r="A11" s="769" t="s">
        <v>497</v>
      </c>
      <c r="B11" s="784">
        <f>'Total Result'!C13</f>
        <v>-8.2326420989773048</v>
      </c>
      <c r="C11" s="1" t="s">
        <v>498</v>
      </c>
      <c r="D11" s="808" t="s">
        <v>526</v>
      </c>
    </row>
    <row r="12" spans="1:43" ht="15.6" x14ac:dyDescent="0.3">
      <c r="A12" s="793" t="s">
        <v>217</v>
      </c>
      <c r="B12" s="794">
        <f>'Total Result'!C7</f>
        <v>3.0552725738034345E-2</v>
      </c>
    </row>
    <row r="13" spans="1:43" ht="15.6" x14ac:dyDescent="0.3">
      <c r="A13" s="751" t="s">
        <v>503</v>
      </c>
      <c r="B13" s="292">
        <f>'Calculating offering price'!C59</f>
        <v>516823.52941176464</v>
      </c>
    </row>
    <row r="14" spans="1:43" ht="15.6" x14ac:dyDescent="0.3">
      <c r="A14" s="751" t="s">
        <v>504</v>
      </c>
      <c r="B14" s="414">
        <f>IF(B13&lt;B5, (B13-B5)/B5, "Great Value!")</f>
        <v>-0.67454437694473268</v>
      </c>
    </row>
    <row r="15" spans="1:43" ht="15.6" x14ac:dyDescent="0.3">
      <c r="A15" s="751" t="s">
        <v>505</v>
      </c>
      <c r="B15" s="292">
        <f>'Calculating offering price'!C63</f>
        <v>10435</v>
      </c>
      <c r="C15" s="808" t="s">
        <v>513</v>
      </c>
    </row>
    <row r="16" spans="1:43" ht="15.6" x14ac:dyDescent="0.3">
      <c r="A16" s="751" t="s">
        <v>506</v>
      </c>
      <c r="B16" s="292">
        <f>'Calculating offering price'!C57</f>
        <v>5300</v>
      </c>
      <c r="C16" s="808" t="s">
        <v>514</v>
      </c>
    </row>
    <row r="17" spans="1:7" ht="15.6" x14ac:dyDescent="0.3">
      <c r="A17" s="919" t="s">
        <v>516</v>
      </c>
      <c r="B17" s="768">
        <f>'ROI details'!H37</f>
        <v>874486.90556862752</v>
      </c>
      <c r="C17" s="626" t="s">
        <v>517</v>
      </c>
    </row>
    <row r="18" spans="1:7" ht="15.6" x14ac:dyDescent="0.3">
      <c r="A18" s="751" t="s">
        <v>521</v>
      </c>
      <c r="B18" s="920">
        <f>'Capital Budgeting'!C26</f>
        <v>-668870.02852577856</v>
      </c>
      <c r="C18" s="921" t="s">
        <v>528</v>
      </c>
    </row>
    <row r="19" spans="1:7" ht="15.6" x14ac:dyDescent="0.3">
      <c r="A19" s="751" t="s">
        <v>522</v>
      </c>
      <c r="B19" s="414" t="e">
        <f>'Capital Budgeting'!C29</f>
        <v>#NUM!</v>
      </c>
      <c r="C19" s="921" t="s">
        <v>524</v>
      </c>
    </row>
    <row r="20" spans="1:7" ht="15.6" x14ac:dyDescent="0.3">
      <c r="A20" s="793" t="s">
        <v>523</v>
      </c>
      <c r="B20" s="922">
        <f>'Capital Budgeting'!C31</f>
        <v>-1.2211264811243228</v>
      </c>
      <c r="C20" s="921" t="s">
        <v>525</v>
      </c>
    </row>
    <row r="21" spans="1:7" ht="15.6" x14ac:dyDescent="0.3">
      <c r="A21" s="924" t="s">
        <v>529</v>
      </c>
      <c r="B21" s="127"/>
      <c r="C21" s="626"/>
    </row>
    <row r="22" spans="1:7" ht="16.2" thickBot="1" x14ac:dyDescent="0.35">
      <c r="A22" s="924" t="s">
        <v>533</v>
      </c>
      <c r="B22" s="127">
        <f>'ROI Number insert'!F41</f>
        <v>1272</v>
      </c>
      <c r="C22" s="626"/>
    </row>
    <row r="23" spans="1:7" ht="16.8" thickTop="1" thickBot="1" x14ac:dyDescent="0.35">
      <c r="A23" s="924" t="s">
        <v>534</v>
      </c>
      <c r="B23" s="1012">
        <v>10</v>
      </c>
      <c r="C23" s="626"/>
    </row>
    <row r="24" spans="1:7" ht="16.8" thickTop="1" thickBot="1" x14ac:dyDescent="0.35">
      <c r="A24" s="924" t="s">
        <v>535</v>
      </c>
      <c r="B24" s="920">
        <f>_xlfn.XLOOKUP(B23, RepairMentenance!A3:A22,RepairMentenance!C3:C22)</f>
        <v>14181.166013899885</v>
      </c>
      <c r="C24" s="626"/>
    </row>
    <row r="25" spans="1:7" ht="15" thickBot="1" x14ac:dyDescent="0.35">
      <c r="B25" s="744" t="s">
        <v>483</v>
      </c>
      <c r="C25" s="745" t="s">
        <v>486</v>
      </c>
      <c r="D25" s="745" t="s">
        <v>484</v>
      </c>
      <c r="E25" s="746" t="s">
        <v>485</v>
      </c>
      <c r="F25" s="675"/>
    </row>
    <row r="26" spans="1:7" ht="16.2" thickBot="1" x14ac:dyDescent="0.35">
      <c r="A26" s="752" t="s">
        <v>487</v>
      </c>
      <c r="B26" s="747">
        <v>1</v>
      </c>
      <c r="C26" s="748" cm="1">
        <f t="array" ref="C26">INDEX('Total CF'!C3:C37,Outputs!$B$26)</f>
        <v>-36578.779495030998</v>
      </c>
      <c r="D26" s="749" cm="1">
        <f t="array" ref="D26">INDEX('Total CF'!D3:D37,Outputs!$B$26)</f>
        <v>-0.121467687769911</v>
      </c>
      <c r="E26" s="750" cm="1">
        <f t="array" ref="E26">INDEX('Total CF'!E3:E37,Outputs!$B$26)</f>
        <v>-3048.2316245859165</v>
      </c>
    </row>
    <row r="27" spans="1:7" ht="15" thickBot="1" x14ac:dyDescent="0.35"/>
    <row r="28" spans="1:7" s="52" customFormat="1" ht="46.8" customHeight="1" thickBot="1" x14ac:dyDescent="0.35">
      <c r="B28" s="754" t="s">
        <v>490</v>
      </c>
      <c r="C28" s="755" t="s">
        <v>161</v>
      </c>
      <c r="D28" s="755" t="s">
        <v>488</v>
      </c>
      <c r="E28" s="755" t="s">
        <v>489</v>
      </c>
      <c r="F28" s="755" t="s">
        <v>445</v>
      </c>
      <c r="G28" s="756" t="s">
        <v>446</v>
      </c>
    </row>
    <row r="29" spans="1:7" ht="16.2" thickBot="1" x14ac:dyDescent="0.35">
      <c r="A29" s="762" t="s">
        <v>491</v>
      </c>
      <c r="B29" s="757">
        <v>1</v>
      </c>
      <c r="C29" s="758">
        <f>'PR Result'!C4</f>
        <v>6327.5575204682691</v>
      </c>
      <c r="D29" s="759" cm="1">
        <f t="array" ref="D29">INDEX('PR Result'!C5:C34,Outputs!B29)</f>
        <v>19751.663828784745</v>
      </c>
      <c r="E29" s="759" cm="1">
        <f t="array" ref="E29">INDEX('PR Result'!E5:E34,Outputs!$B$29)</f>
        <v>56179.02641683448</v>
      </c>
      <c r="F29" s="760" cm="1">
        <f t="array" ref="F29">INDEX('PR Result'!F5:F34,Outputs!$B$29)</f>
        <v>0.26012754216894934</v>
      </c>
      <c r="G29" s="761" cm="1">
        <f t="array" ref="G29">INDEX('PR Result'!G5:G34,Outputs!$B$29)</f>
        <v>6.5589638801835506E-2</v>
      </c>
    </row>
    <row r="30" spans="1:7" ht="16.2" thickBot="1" x14ac:dyDescent="0.35">
      <c r="A30" s="753"/>
      <c r="C30" s="771"/>
      <c r="D30" s="772"/>
      <c r="E30" s="772"/>
      <c r="F30" s="773"/>
      <c r="G30" s="773"/>
    </row>
    <row r="31" spans="1:7" s="52" customFormat="1" ht="33.6" customHeight="1" thickBot="1" x14ac:dyDescent="0.35">
      <c r="A31" s="774"/>
      <c r="B31" s="776" t="s">
        <v>494</v>
      </c>
      <c r="C31" s="777" t="s">
        <v>140</v>
      </c>
      <c r="D31" s="778" t="s">
        <v>7</v>
      </c>
      <c r="E31" s="778" t="s">
        <v>87</v>
      </c>
      <c r="F31" s="779" t="s">
        <v>446</v>
      </c>
      <c r="G31" s="775"/>
    </row>
    <row r="32" spans="1:7" ht="16.8" customHeight="1" thickBot="1" x14ac:dyDescent="0.35">
      <c r="A32" s="1013" t="s">
        <v>495</v>
      </c>
      <c r="B32" s="780">
        <f>'ROI Number insert'!F6</f>
        <v>0.02</v>
      </c>
      <c r="C32" s="781">
        <v>1</v>
      </c>
      <c r="D32" s="782">
        <f>FV(B32,C32,,-B6)</f>
        <v>1313760</v>
      </c>
      <c r="E32" s="782">
        <f>D32-B6</f>
        <v>25760</v>
      </c>
      <c r="F32" s="783">
        <f>E32/B7</f>
        <v>8.5541608554160861E-2</v>
      </c>
    </row>
    <row r="33" spans="1:3" ht="16.2" thickBot="1" x14ac:dyDescent="0.35">
      <c r="A33" s="751"/>
      <c r="B33" s="414"/>
    </row>
    <row r="34" spans="1:3" ht="15.6" x14ac:dyDescent="0.3">
      <c r="A34" s="753" t="s">
        <v>492</v>
      </c>
      <c r="B34" s="764" t="s">
        <v>141</v>
      </c>
      <c r="C34" s="765">
        <f>'Total Result'!C47</f>
        <v>-0.121467687769911</v>
      </c>
    </row>
    <row r="35" spans="1:3" ht="15.6" x14ac:dyDescent="0.3">
      <c r="B35" s="457" t="s">
        <v>142</v>
      </c>
      <c r="C35" s="507">
        <f>'Total Result'!C48</f>
        <v>6.5589638801835506E-2</v>
      </c>
    </row>
    <row r="36" spans="1:3" ht="15.6" x14ac:dyDescent="0.3">
      <c r="B36" s="457" t="s">
        <v>143</v>
      </c>
      <c r="C36" s="507">
        <f>'Total Result'!C49</f>
        <v>8.5541608554160861E-2</v>
      </c>
    </row>
    <row r="37" spans="1:3" ht="16.2" thickBot="1" x14ac:dyDescent="0.35">
      <c r="B37" s="508" t="s">
        <v>206</v>
      </c>
      <c r="C37" s="509">
        <f>'Total Result'!C50</f>
        <v>1.7681477053861991</v>
      </c>
    </row>
    <row r="38" spans="1:3" ht="16.2" thickBot="1" x14ac:dyDescent="0.35">
      <c r="B38" s="510" t="s">
        <v>449</v>
      </c>
      <c r="C38" s="511">
        <f>'Total Result'!C51</f>
        <v>1.7978112649722846</v>
      </c>
    </row>
  </sheetData>
  <hyperlinks>
    <hyperlink ref="A1" location="'Table of contents'!A1" display="Table of contents" xr:uid="{AF63A0BB-21BA-4412-BB84-50191B96EC1C}"/>
    <hyperlink ref="W1" location="Outputs!A21" display="Back" xr:uid="{46BB899B-0994-40F2-8E5E-B545A8DD7226}"/>
    <hyperlink ref="AQ1" location="Outputs!A21" display="Back" xr:uid="{69D18FBF-F4D3-4FF2-A6FC-18CDC2552088}"/>
    <hyperlink ref="C17" location="'ROI details'!H36" display="Input Desired Cap Rate. Click here to jump inset cell. " xr:uid="{EBEF33C8-718E-4070-A535-219E73FDB689}"/>
    <hyperlink ref="A21" location="'Financial Statement'!A1" display="1st Year Financial Statement" xr:uid="{5E78A952-4617-4769-8DA2-3F99B854D58C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4" name="Spinner 3">
              <controlPr defaultSize="0" autoPict="0">
                <anchor moveWithCells="1" sizeWithCells="1">
                  <from>
                    <xdr:col>5</xdr:col>
                    <xdr:colOff>99060</xdr:colOff>
                    <xdr:row>24</xdr:row>
                    <xdr:rowOff>38100</xdr:rowOff>
                  </from>
                  <to>
                    <xdr:col>5</xdr:col>
                    <xdr:colOff>259080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5" name="Spinner 4">
              <controlPr defaultSize="0" autoPict="0">
                <anchor moveWithCells="1" sizeWithCells="1">
                  <from>
                    <xdr:col>7</xdr:col>
                    <xdr:colOff>190500</xdr:colOff>
                    <xdr:row>27</xdr:row>
                    <xdr:rowOff>144780</xdr:rowOff>
                  </from>
                  <to>
                    <xdr:col>7</xdr:col>
                    <xdr:colOff>358140</xdr:colOff>
                    <xdr:row>28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6" name="Spinner 7">
              <controlPr defaultSize="0" autoPict="0">
                <anchor moveWithCells="1" sizeWithCells="1">
                  <from>
                    <xdr:col>6</xdr:col>
                    <xdr:colOff>251460</xdr:colOff>
                    <xdr:row>30</xdr:row>
                    <xdr:rowOff>60960</xdr:rowOff>
                  </from>
                  <to>
                    <xdr:col>6</xdr:col>
                    <xdr:colOff>449580</xdr:colOff>
                    <xdr:row>31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0749D7F-EA94-4419-AA5B-4413C75C66CE}">
          <x14:formula1>
            <xm:f>'Total Result'!$B$17:$B$20</xm:f>
          </x14:formula1>
          <xm:sqref>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A8F8-45A4-41D6-BBBB-523D9BFBD008}">
  <sheetPr codeName="Sheet1">
    <tabColor theme="4"/>
  </sheetPr>
  <dimension ref="A1:H75"/>
  <sheetViews>
    <sheetView workbookViewId="0">
      <selection activeCell="C7" sqref="C7"/>
    </sheetView>
  </sheetViews>
  <sheetFormatPr defaultColWidth="8.77734375" defaultRowHeight="13.8" x14ac:dyDescent="0.25"/>
  <cols>
    <col min="1" max="1" width="39.6640625" style="427" customWidth="1"/>
    <col min="2" max="2" width="33" style="428" customWidth="1"/>
    <col min="3" max="3" width="17.6640625" style="427" customWidth="1"/>
    <col min="4" max="4" width="15.6640625" style="427" customWidth="1"/>
    <col min="5" max="5" width="17.6640625" style="427" customWidth="1"/>
    <col min="6" max="6" width="12.77734375" style="427" customWidth="1"/>
    <col min="7" max="7" width="26.109375" style="427" customWidth="1"/>
    <col min="8" max="8" width="12.77734375" style="427" customWidth="1"/>
    <col min="9" max="9" width="28.21875" style="427" customWidth="1"/>
    <col min="10" max="10" width="18.33203125" style="427" customWidth="1"/>
    <col min="11" max="16384" width="8.77734375" style="427"/>
  </cols>
  <sheetData>
    <row r="1" spans="1:7" ht="15" thickBot="1" x14ac:dyDescent="0.35">
      <c r="A1" s="626" t="s">
        <v>454</v>
      </c>
      <c r="B1" s="428" t="s">
        <v>269</v>
      </c>
      <c r="C1" s="429">
        <f ca="1">TODAY()</f>
        <v>44982</v>
      </c>
      <c r="G1" s="1"/>
    </row>
    <row r="2" spans="1:7" ht="14.4" x14ac:dyDescent="0.3">
      <c r="B2" s="430" t="s">
        <v>271</v>
      </c>
      <c r="C2" s="431">
        <f>'ROI Number insert'!C3</f>
        <v>10267800</v>
      </c>
      <c r="G2" s="1"/>
    </row>
    <row r="3" spans="1:7" ht="28.2" x14ac:dyDescent="0.3">
      <c r="B3" s="851" t="s">
        <v>272</v>
      </c>
      <c r="C3" s="850" t="str">
        <f>'ROI Number insert'!C4</f>
        <v>3601 13308 Central Avenue, Surrey</v>
      </c>
      <c r="G3" s="1"/>
    </row>
    <row r="4" spans="1:7" ht="15" thickBot="1" x14ac:dyDescent="0.35">
      <c r="B4" s="432" t="s">
        <v>273</v>
      </c>
      <c r="C4" s="433">
        <f>'ROI Number insert'!C5</f>
        <v>1403000</v>
      </c>
      <c r="G4" s="1"/>
    </row>
    <row r="5" spans="1:7" ht="16.2" thickBot="1" x14ac:dyDescent="0.35">
      <c r="C5" s="434" t="s">
        <v>309</v>
      </c>
      <c r="D5" s="435" t="s">
        <v>310</v>
      </c>
      <c r="E5" s="435" t="s">
        <v>311</v>
      </c>
      <c r="G5" s="1"/>
    </row>
    <row r="6" spans="1:7" ht="16.2" thickBot="1" x14ac:dyDescent="0.35">
      <c r="B6" s="436" t="s">
        <v>21</v>
      </c>
      <c r="C6" s="437">
        <f>IF('Calculating offering price'!C19&gt;'Total Result'!C21,'Calculating offering price'!C19,IF('Calculating offering price'!C19&lt;='Total Result'!C21,'Total Result'!C21))</f>
        <v>301140</v>
      </c>
      <c r="D6" s="437">
        <f>IF(E57&gt;0,0,-E57)</f>
        <v>1331540</v>
      </c>
      <c r="E6" s="437"/>
      <c r="G6" s="1"/>
    </row>
    <row r="7" spans="1:7" ht="16.2" thickBot="1" x14ac:dyDescent="0.35">
      <c r="B7" s="438" t="s">
        <v>217</v>
      </c>
      <c r="C7" s="439">
        <f>'ROI details'!H35</f>
        <v>3.0552725738034345E-2</v>
      </c>
      <c r="D7" s="439" t="e">
        <f>'ROI Detail ARV'!H35</f>
        <v>#DIV/0!</v>
      </c>
      <c r="E7" s="440" t="e">
        <f t="shared" ref="E7:E13" si="0">D7-C7</f>
        <v>#DIV/0!</v>
      </c>
      <c r="F7" s="441"/>
      <c r="G7" s="1"/>
    </row>
    <row r="8" spans="1:7" ht="16.2" thickBot="1" x14ac:dyDescent="0.35">
      <c r="A8" s="442" t="s">
        <v>280</v>
      </c>
      <c r="B8" s="438" t="s">
        <v>279</v>
      </c>
      <c r="C8" s="443">
        <f>10*'ROI details'!H34</f>
        <v>393519.10750588233</v>
      </c>
      <c r="D8" s="443">
        <f>10*'ROI Detail ARV'!H34</f>
        <v>-178880.89249411767</v>
      </c>
      <c r="E8" s="437">
        <f t="shared" si="0"/>
        <v>-572400</v>
      </c>
      <c r="F8" s="441"/>
      <c r="G8" s="1"/>
    </row>
    <row r="9" spans="1:7" ht="16.2" thickBot="1" x14ac:dyDescent="0.35">
      <c r="A9" s="442"/>
      <c r="B9" s="438" t="s">
        <v>330</v>
      </c>
      <c r="C9" s="443">
        <f>IF((C26-C8)&lt;0,0,(C26-C8))</f>
        <v>894480.89249411761</v>
      </c>
      <c r="D9" s="443"/>
      <c r="E9" s="437"/>
      <c r="F9" s="441"/>
      <c r="G9" s="1"/>
    </row>
    <row r="10" spans="1:7" ht="16.2" thickBot="1" x14ac:dyDescent="0.35">
      <c r="A10" s="442" t="s">
        <v>329</v>
      </c>
      <c r="B10" s="438" t="s">
        <v>328</v>
      </c>
      <c r="C10" s="444">
        <f>C9/C26</f>
        <v>0.69447274261965652</v>
      </c>
      <c r="D10" s="443"/>
      <c r="E10" s="437"/>
      <c r="F10" s="441"/>
      <c r="G10" s="1"/>
    </row>
    <row r="11" spans="1:7" ht="16.2" thickBot="1" x14ac:dyDescent="0.35">
      <c r="A11" s="442"/>
      <c r="B11" s="438" t="s">
        <v>268</v>
      </c>
      <c r="C11" s="445">
        <f ca="1">C1-'ROI Number insert'!C2</f>
        <v>9</v>
      </c>
      <c r="D11" s="445">
        <f ca="1">C11</f>
        <v>9</v>
      </c>
      <c r="E11" s="437"/>
      <c r="F11" s="441"/>
      <c r="G11" s="1"/>
    </row>
    <row r="12" spans="1:7" ht="16.2" thickBot="1" x14ac:dyDescent="0.35">
      <c r="A12" s="442" t="s">
        <v>307</v>
      </c>
      <c r="B12" s="446" t="s">
        <v>306</v>
      </c>
      <c r="C12" s="447">
        <f>('Financial Statement'!C7+'Financial Statement'!C20+'Financial Statement'!C21)/'Financial Statement'!C3</f>
        <v>1.575138042374701</v>
      </c>
      <c r="D12" s="447" t="e">
        <f>('Financial Statement ARV'!C7+'Financial Statement ARV'!C20+'Financial Statement ARV'!C21)/'Financial Statement ARV'!C3</f>
        <v>#NUM!</v>
      </c>
      <c r="E12" s="440" t="e">
        <f t="shared" si="0"/>
        <v>#NUM!</v>
      </c>
      <c r="F12" s="441"/>
      <c r="G12" s="1"/>
    </row>
    <row r="13" spans="1:7" ht="16.2" thickBot="1" x14ac:dyDescent="0.35">
      <c r="A13" s="442" t="s">
        <v>308</v>
      </c>
      <c r="B13" s="446" t="s">
        <v>314</v>
      </c>
      <c r="C13" s="448">
        <f>C21/'Financial Statement'!C22</f>
        <v>-8.2326420989773048</v>
      </c>
      <c r="D13" s="448" t="e">
        <f>D6/'Financial Statement ARV'!C22</f>
        <v>#NUM!</v>
      </c>
      <c r="E13" s="449" t="e">
        <f t="shared" si="0"/>
        <v>#NUM!</v>
      </c>
      <c r="F13" s="441"/>
      <c r="G13" s="1"/>
    </row>
    <row r="14" spans="1:7" ht="16.2" thickBot="1" x14ac:dyDescent="0.35">
      <c r="A14" s="442" t="s">
        <v>317</v>
      </c>
      <c r="B14" s="450" t="s">
        <v>275</v>
      </c>
      <c r="C14" s="451">
        <f>('ROI Number insert'!F2-'ROI Number insert'!F3)/'ROI Number insert'!F2</f>
        <v>0.18891687657430731</v>
      </c>
      <c r="D14" s="452"/>
      <c r="E14" s="453"/>
      <c r="G14" s="1"/>
    </row>
    <row r="15" spans="1:7" ht="15" thickBot="1" x14ac:dyDescent="0.35">
      <c r="G15" s="1"/>
    </row>
    <row r="16" spans="1:7" ht="15" thickBot="1" x14ac:dyDescent="0.35">
      <c r="B16" s="957" t="s">
        <v>178</v>
      </c>
      <c r="C16" s="958"/>
      <c r="D16" s="959"/>
      <c r="G16" s="1"/>
    </row>
    <row r="17" spans="2:7" ht="15.6" x14ac:dyDescent="0.3">
      <c r="B17" s="454" t="s">
        <v>160</v>
      </c>
      <c r="C17" s="455">
        <f>'ROI Number insert'!F11</f>
        <v>257600</v>
      </c>
      <c r="D17" s="456">
        <f>C17</f>
        <v>257600</v>
      </c>
      <c r="G17" s="1"/>
    </row>
    <row r="18" spans="2:7" ht="15.6" x14ac:dyDescent="0.3">
      <c r="B18" s="457" t="s">
        <v>94</v>
      </c>
      <c r="C18" s="458">
        <f>'ROI Number insert'!F10</f>
        <v>43540</v>
      </c>
      <c r="D18" s="459">
        <f>C18</f>
        <v>43540</v>
      </c>
    </row>
    <row r="19" spans="2:7" ht="15.6" x14ac:dyDescent="0.3">
      <c r="B19" s="457" t="s">
        <v>179</v>
      </c>
      <c r="C19" s="458">
        <f>'ROI Number insert'!F13</f>
        <v>0</v>
      </c>
      <c r="D19" s="459">
        <f>'ROI Number insert ARV'!E13</f>
        <v>0</v>
      </c>
    </row>
    <row r="20" spans="2:7" ht="15.6" x14ac:dyDescent="0.3">
      <c r="B20" s="457" t="s">
        <v>315</v>
      </c>
      <c r="C20" s="458">
        <f>'ROI Number insert'!F15</f>
        <v>0</v>
      </c>
      <c r="D20" s="459" t="e">
        <f>'ROI Number insert ARV'!E15</f>
        <v>#NUM!</v>
      </c>
    </row>
    <row r="21" spans="2:7" ht="16.2" thickBot="1" x14ac:dyDescent="0.35">
      <c r="B21" s="460" t="s">
        <v>180</v>
      </c>
      <c r="C21" s="461">
        <f>SUM(C17:C20)</f>
        <v>301140</v>
      </c>
      <c r="D21" s="462" t="e">
        <f>SUM(D17:D20)</f>
        <v>#NUM!</v>
      </c>
    </row>
    <row r="22" spans="2:7" ht="14.4" thickBot="1" x14ac:dyDescent="0.3"/>
    <row r="23" spans="2:7" ht="15.6" x14ac:dyDescent="0.3">
      <c r="B23" s="463" t="s">
        <v>181</v>
      </c>
      <c r="C23" s="464" t="str">
        <f>'ROI Number insert'!I24</f>
        <v>More than 15 Years</v>
      </c>
    </row>
    <row r="24" spans="2:7" ht="15.6" x14ac:dyDescent="0.3">
      <c r="B24" s="465" t="s">
        <v>182</v>
      </c>
      <c r="C24" s="466">
        <f>'Calculating offering price'!C5</f>
        <v>516823.52941176464</v>
      </c>
      <c r="D24" s="427" t="s">
        <v>346</v>
      </c>
    </row>
    <row r="25" spans="2:7" ht="15.6" x14ac:dyDescent="0.3">
      <c r="B25" s="465" t="s">
        <v>183</v>
      </c>
      <c r="C25" s="467">
        <f>'Calculating offering price'!C4</f>
        <v>1588000</v>
      </c>
    </row>
    <row r="26" spans="2:7" ht="15.6" x14ac:dyDescent="0.3">
      <c r="B26" s="468" t="s">
        <v>276</v>
      </c>
      <c r="C26" s="469">
        <f>'ROI Number insert'!F3</f>
        <v>1288000</v>
      </c>
    </row>
    <row r="27" spans="2:7" ht="15.6" x14ac:dyDescent="0.3">
      <c r="B27" s="468" t="s">
        <v>316</v>
      </c>
      <c r="C27" s="469">
        <f>'ROI Number insert'!F18</f>
        <v>0</v>
      </c>
    </row>
    <row r="28" spans="2:7" ht="16.2" thickBot="1" x14ac:dyDescent="0.35">
      <c r="B28" s="470" t="s">
        <v>184</v>
      </c>
      <c r="C28" s="471">
        <f>'Calculating offering price'!C14</f>
        <v>382449.41176470584</v>
      </c>
      <c r="D28" s="427" t="s">
        <v>347</v>
      </c>
    </row>
    <row r="29" spans="2:7" ht="14.4" thickBot="1" x14ac:dyDescent="0.3"/>
    <row r="30" spans="2:7" ht="16.2" thickBot="1" x14ac:dyDescent="0.35">
      <c r="B30" s="472" t="s">
        <v>185</v>
      </c>
      <c r="C30" s="473">
        <f>'ROI Number insert'!F27</f>
        <v>63600</v>
      </c>
      <c r="D30" s="473">
        <f>'Financial Statement ARV'!C3</f>
        <v>0</v>
      </c>
      <c r="E30" s="474">
        <f>D30-C30</f>
        <v>-63600</v>
      </c>
    </row>
    <row r="31" spans="2:7" ht="15.6" x14ac:dyDescent="0.3">
      <c r="B31" s="475" t="s">
        <v>186</v>
      </c>
      <c r="C31" s="476">
        <f>'Calculating offering price'!C28</f>
        <v>3932.9457199999997</v>
      </c>
      <c r="D31" s="476">
        <f>'Financial Statement ARV'!C18</f>
        <v>3932.9457199999997</v>
      </c>
      <c r="E31" s="477">
        <f t="shared" ref="E31:E39" si="1">D31-C31</f>
        <v>0</v>
      </c>
    </row>
    <row r="32" spans="2:7" ht="15.6" x14ac:dyDescent="0.3">
      <c r="B32" s="478" t="s">
        <v>188</v>
      </c>
      <c r="C32" s="479">
        <f>SUM('Financial Statement'!C8:C18)-'Financial Statement'!C18-'Financial Statement'!C15-'Financial Statement'!C8</f>
        <v>19043.143529411765</v>
      </c>
      <c r="D32" s="479">
        <f>SUM('Financial Statement ARV'!C8:C18)-'Financial Statement ARV'!C18-'Financial Statement'!C15-'Financial Statement ARV'!C8</f>
        <v>13955.143529411765</v>
      </c>
      <c r="E32" s="480">
        <f t="shared" si="1"/>
        <v>-5088</v>
      </c>
    </row>
    <row r="33" spans="2:5" ht="15.6" x14ac:dyDescent="0.3">
      <c r="B33" s="478" t="s">
        <v>189</v>
      </c>
      <c r="C33" s="479">
        <f>'ROI Number insert'!F41</f>
        <v>1272</v>
      </c>
      <c r="D33" s="479">
        <f>'ROI Number insert ARV'!E41</f>
        <v>0</v>
      </c>
      <c r="E33" s="480">
        <f t="shared" si="1"/>
        <v>-1272</v>
      </c>
    </row>
    <row r="34" spans="2:5" ht="16.2" thickBot="1" x14ac:dyDescent="0.35">
      <c r="B34" s="481" t="s">
        <v>190</v>
      </c>
      <c r="C34" s="482">
        <f>'ROI Number insert'!F42</f>
        <v>0</v>
      </c>
      <c r="D34" s="482">
        <f>'ROI Number insert ARV'!E42</f>
        <v>0</v>
      </c>
      <c r="E34" s="483">
        <f t="shared" si="1"/>
        <v>0</v>
      </c>
    </row>
    <row r="35" spans="2:5" ht="16.2" thickBot="1" x14ac:dyDescent="0.35">
      <c r="B35" s="472" t="s">
        <v>191</v>
      </c>
      <c r="C35" s="473">
        <f>C30-SUM(C31:C34)</f>
        <v>39351.910750588235</v>
      </c>
      <c r="D35" s="473">
        <f t="shared" ref="D35" si="2">D30-SUM(D31:D34)</f>
        <v>-17888.089249411765</v>
      </c>
      <c r="E35" s="474">
        <f t="shared" si="1"/>
        <v>-57240</v>
      </c>
    </row>
    <row r="36" spans="2:5" ht="15.6" x14ac:dyDescent="0.3">
      <c r="B36" s="484" t="s">
        <v>187</v>
      </c>
      <c r="C36" s="485">
        <f>'Calculating offering price'!C27</f>
        <v>75930.690245619233</v>
      </c>
      <c r="D36" s="485" t="e">
        <f>'Calculating offering price ARV'!C27</f>
        <v>#NUM!</v>
      </c>
      <c r="E36" s="486" t="e">
        <f t="shared" si="1"/>
        <v>#NUM!</v>
      </c>
    </row>
    <row r="37" spans="2:5" ht="16.2" thickBot="1" x14ac:dyDescent="0.35">
      <c r="B37" s="487" t="s">
        <v>247</v>
      </c>
      <c r="C37" s="488">
        <f>'ROI Number insert'!I17</f>
        <v>0</v>
      </c>
      <c r="D37" s="488">
        <f>'Calculating offering price ARV'!C31</f>
        <v>0</v>
      </c>
      <c r="E37" s="489">
        <f t="shared" si="1"/>
        <v>0</v>
      </c>
    </row>
    <row r="38" spans="2:5" ht="15.6" x14ac:dyDescent="0.3">
      <c r="B38" s="490" t="s">
        <v>243</v>
      </c>
      <c r="C38" s="491">
        <f>C35-C36-C37</f>
        <v>-36578.779495030998</v>
      </c>
      <c r="D38" s="491" t="e">
        <f>D35-D36-D37</f>
        <v>#NUM!</v>
      </c>
      <c r="E38" s="492" t="e">
        <f t="shared" si="1"/>
        <v>#NUM!</v>
      </c>
    </row>
    <row r="39" spans="2:5" ht="16.2" thickBot="1" x14ac:dyDescent="0.35">
      <c r="B39" s="493" t="s">
        <v>137</v>
      </c>
      <c r="C39" s="494">
        <f>C38/12</f>
        <v>-3048.2316245859165</v>
      </c>
      <c r="D39" s="494" t="e">
        <f>D38/12</f>
        <v>#NUM!</v>
      </c>
      <c r="E39" s="495" t="e">
        <f t="shared" si="1"/>
        <v>#NUM!</v>
      </c>
    </row>
    <row r="40" spans="2:5" ht="16.2" thickBot="1" x14ac:dyDescent="0.3">
      <c r="B40" s="496" t="s">
        <v>206</v>
      </c>
    </row>
    <row r="41" spans="2:5" ht="15.6" x14ac:dyDescent="0.3">
      <c r="B41" s="497" t="s">
        <v>325</v>
      </c>
      <c r="C41" s="498">
        <f>'ROI Number insert ARV'!E3-'ROI Number insert'!F3</f>
        <v>-1288000</v>
      </c>
    </row>
    <row r="42" spans="2:5" ht="15.6" x14ac:dyDescent="0.3">
      <c r="B42" s="499" t="s">
        <v>326</v>
      </c>
      <c r="C42" s="500" t="e">
        <f>D19+D20</f>
        <v>#NUM!</v>
      </c>
    </row>
    <row r="43" spans="2:5" ht="15.6" x14ac:dyDescent="0.3">
      <c r="B43" s="499" t="s">
        <v>327</v>
      </c>
      <c r="C43" s="501" t="e">
        <f>C41-C42</f>
        <v>#NUM!</v>
      </c>
    </row>
    <row r="44" spans="2:5" ht="16.2" thickBot="1" x14ac:dyDescent="0.35">
      <c r="B44" s="502" t="s">
        <v>146</v>
      </c>
      <c r="C44" s="503" t="e">
        <f>C43/C42</f>
        <v>#NUM!</v>
      </c>
    </row>
    <row r="45" spans="2:5" ht="16.2" thickBot="1" x14ac:dyDescent="0.35">
      <c r="B45" s="504"/>
      <c r="C45" s="505"/>
    </row>
    <row r="46" spans="2:5" ht="16.2" thickBot="1" x14ac:dyDescent="0.35">
      <c r="B46" s="978" t="s">
        <v>448</v>
      </c>
      <c r="C46" s="979"/>
    </row>
    <row r="47" spans="2:5" ht="15.6" x14ac:dyDescent="0.3">
      <c r="B47" s="454" t="s">
        <v>141</v>
      </c>
      <c r="C47" s="506">
        <f>'Financial Statement'!C24</f>
        <v>-0.121467687769911</v>
      </c>
    </row>
    <row r="48" spans="2:5" ht="15.6" x14ac:dyDescent="0.3">
      <c r="B48" s="457" t="s">
        <v>142</v>
      </c>
      <c r="C48" s="507">
        <f>'Financial Statement'!C34</f>
        <v>6.5589638801835506E-2</v>
      </c>
    </row>
    <row r="49" spans="2:8" ht="15.6" x14ac:dyDescent="0.3">
      <c r="B49" s="457" t="s">
        <v>143</v>
      </c>
      <c r="C49" s="507">
        <f>'Financial Statement'!C41</f>
        <v>8.5541608554160861E-2</v>
      </c>
    </row>
    <row r="50" spans="2:8" ht="16.2" thickBot="1" x14ac:dyDescent="0.35">
      <c r="B50" s="508" t="s">
        <v>206</v>
      </c>
      <c r="C50" s="509">
        <f>'ROI details'!H32</f>
        <v>1.7681477053861991</v>
      </c>
    </row>
    <row r="51" spans="2:8" ht="16.2" thickBot="1" x14ac:dyDescent="0.35">
      <c r="B51" s="510" t="s">
        <v>449</v>
      </c>
      <c r="C51" s="511">
        <f>SUM(C47:C50)</f>
        <v>1.7978112649722846</v>
      </c>
    </row>
    <row r="52" spans="2:8" ht="16.2" thickBot="1" x14ac:dyDescent="0.35">
      <c r="C52" s="966" t="s">
        <v>312</v>
      </c>
      <c r="D52" s="966"/>
      <c r="E52" s="966" t="s">
        <v>310</v>
      </c>
      <c r="F52" s="966"/>
      <c r="G52" s="966" t="s">
        <v>311</v>
      </c>
      <c r="H52" s="966"/>
    </row>
    <row r="53" spans="2:8" ht="15.6" x14ac:dyDescent="0.25">
      <c r="B53" s="967" t="s">
        <v>196</v>
      </c>
      <c r="C53" s="968"/>
      <c r="D53" s="968"/>
      <c r="E53" s="968"/>
      <c r="F53" s="968"/>
      <c r="G53" s="968"/>
      <c r="H53" s="969"/>
    </row>
    <row r="54" spans="2:8" ht="15.6" x14ac:dyDescent="0.3">
      <c r="B54" s="512" t="s">
        <v>141</v>
      </c>
      <c r="C54" s="513">
        <f>'ROI details'!C10</f>
        <v>-179023.55395527009</v>
      </c>
      <c r="D54" s="514">
        <f>'ROI details'!C12*5</f>
        <v>-0.59448613254722082</v>
      </c>
      <c r="E54" s="513" t="e">
        <f>'ROI Detail ARV'!C10</f>
        <v>#NUM!</v>
      </c>
      <c r="F54" s="514" t="e">
        <f>'ROI Detail ARV'!C12*5</f>
        <v>#NUM!</v>
      </c>
      <c r="G54" s="513" t="e">
        <f>E54-C54</f>
        <v>#NUM!</v>
      </c>
      <c r="H54" s="515" t="e">
        <f>F54-D54</f>
        <v>#NUM!</v>
      </c>
    </row>
    <row r="55" spans="2:8" ht="15.6" x14ac:dyDescent="0.3">
      <c r="B55" s="512" t="s">
        <v>142</v>
      </c>
      <c r="C55" s="516">
        <f>'ROI details'!I4</f>
        <v>112657.76394446184</v>
      </c>
      <c r="D55" s="514">
        <f>'ROI details'!I5</f>
        <v>0.37410428353743058</v>
      </c>
      <c r="E55" s="516" t="e">
        <f>'ROI Detail ARV'!I4</f>
        <v>#NUM!</v>
      </c>
      <c r="F55" s="514" t="e">
        <f>'ROI Detail ARV'!I5</f>
        <v>#NUM!</v>
      </c>
      <c r="G55" s="513" t="e">
        <f t="shared" ref="G55:G56" si="3">E55-C55</f>
        <v>#NUM!</v>
      </c>
      <c r="H55" s="515" t="e">
        <f>F55-D55</f>
        <v>#NUM!</v>
      </c>
    </row>
    <row r="56" spans="2:8" ht="15.6" x14ac:dyDescent="0.3">
      <c r="B56" s="512" t="s">
        <v>143</v>
      </c>
      <c r="C56" s="516">
        <f>'ROI details'!I19</f>
        <v>134056.07452160004</v>
      </c>
      <c r="D56" s="514">
        <f>'ROI details'!J19</f>
        <v>0.44516196626685273</v>
      </c>
      <c r="E56" s="516">
        <f>'ROI Detail ARV'!I19</f>
        <v>134056.07452160004</v>
      </c>
      <c r="F56" s="514">
        <f>'ROI Detail ARV'!J19</f>
        <v>0.10067746708442858</v>
      </c>
      <c r="G56" s="513">
        <f t="shared" si="3"/>
        <v>0</v>
      </c>
      <c r="H56" s="515">
        <f>'ROI Detail ARV'!L19</f>
        <v>0</v>
      </c>
    </row>
    <row r="57" spans="2:8" ht="15.6" x14ac:dyDescent="0.3">
      <c r="B57" s="976" t="s">
        <v>320</v>
      </c>
      <c r="C57" s="977"/>
      <c r="D57" s="977"/>
      <c r="E57" s="516">
        <f>'ROI Number insert ARV'!H11-'ROI Number insert'!I11-C21</f>
        <v>-1331540</v>
      </c>
      <c r="F57" s="514"/>
      <c r="G57" s="513"/>
      <c r="H57" s="515"/>
    </row>
    <row r="58" spans="2:8" ht="16.2" thickBot="1" x14ac:dyDescent="0.35">
      <c r="B58" s="517" t="s">
        <v>193</v>
      </c>
      <c r="C58" s="518">
        <f t="shared" ref="C58:H58" si="4">SUM(C54:C56)</f>
        <v>67690.284510791782</v>
      </c>
      <c r="D58" s="519">
        <f t="shared" si="4"/>
        <v>0.22478011725706248</v>
      </c>
      <c r="E58" s="518" t="e">
        <f t="shared" si="4"/>
        <v>#NUM!</v>
      </c>
      <c r="F58" s="520" t="e">
        <f t="shared" si="4"/>
        <v>#NUM!</v>
      </c>
      <c r="G58" s="518" t="e">
        <f t="shared" si="4"/>
        <v>#NUM!</v>
      </c>
      <c r="H58" s="519" t="e">
        <f t="shared" si="4"/>
        <v>#NUM!</v>
      </c>
    </row>
    <row r="59" spans="2:8" ht="16.2" thickBot="1" x14ac:dyDescent="0.35">
      <c r="B59" s="964" t="s">
        <v>194</v>
      </c>
      <c r="C59" s="965"/>
      <c r="D59" s="521">
        <f>_xlfn.RRI(4,C51,D58)</f>
        <v>-0.40536091843460764</v>
      </c>
      <c r="E59" s="522"/>
      <c r="F59" s="523" t="e">
        <f>_xlfn.RRI(5,D6,E58)</f>
        <v>#NUM!</v>
      </c>
      <c r="G59" s="522"/>
      <c r="H59" s="521" t="e">
        <f>F59-D59</f>
        <v>#NUM!</v>
      </c>
    </row>
    <row r="60" spans="2:8" ht="15.6" x14ac:dyDescent="0.25">
      <c r="B60" s="970" t="s">
        <v>192</v>
      </c>
      <c r="C60" s="971"/>
      <c r="D60" s="971"/>
      <c r="E60" s="971"/>
      <c r="F60" s="971"/>
      <c r="G60" s="971"/>
      <c r="H60" s="972"/>
    </row>
    <row r="61" spans="2:8" ht="15.6" x14ac:dyDescent="0.3">
      <c r="B61" s="524" t="s">
        <v>141</v>
      </c>
      <c r="C61" s="525">
        <f>'ROI details'!C26</f>
        <v>-352012.81606178905</v>
      </c>
      <c r="D61" s="526">
        <f>'ROI details'!C28*10</f>
        <v>-1.1689341039443084</v>
      </c>
      <c r="E61" s="525" t="e">
        <f>'ROI Detail ARV'!C26</f>
        <v>#NUM!</v>
      </c>
      <c r="F61" s="526" t="e">
        <f>'ROI Detail ARV'!C28*10</f>
        <v>#NUM!</v>
      </c>
      <c r="G61" s="525" t="e">
        <f>E61-C61</f>
        <v>#NUM!</v>
      </c>
      <c r="H61" s="527" t="e">
        <f>F61-D61</f>
        <v>#NUM!</v>
      </c>
    </row>
    <row r="62" spans="2:8" ht="15.6" x14ac:dyDescent="0.3">
      <c r="B62" s="524" t="s">
        <v>142</v>
      </c>
      <c r="C62" s="528">
        <f>'ROI details'!I8</f>
        <v>258770.44802082863</v>
      </c>
      <c r="D62" s="526">
        <f>'ROI details'!I9</f>
        <v>0.8593028093937326</v>
      </c>
      <c r="E62" s="528" t="e">
        <f>'ROI Detail ARV'!I8</f>
        <v>#NUM!</v>
      </c>
      <c r="F62" s="526" t="e">
        <f>'ROI Detail ARV'!I9</f>
        <v>#NUM!</v>
      </c>
      <c r="G62" s="525" t="e">
        <f t="shared" ref="G62:G63" si="5">E62-C62</f>
        <v>#NUM!</v>
      </c>
      <c r="H62" s="527" t="e">
        <f t="shared" ref="H62:H63" si="6">F62-D62</f>
        <v>#NUM!</v>
      </c>
    </row>
    <row r="63" spans="2:8" ht="15.6" x14ac:dyDescent="0.3">
      <c r="B63" s="524" t="s">
        <v>143</v>
      </c>
      <c r="C63" s="528">
        <f>'ROI details'!I20</f>
        <v>206776.58263239125</v>
      </c>
      <c r="D63" s="526">
        <f>'ROI details'!J20</f>
        <v>0.68664602056316415</v>
      </c>
      <c r="E63" s="528">
        <f>'ROI Detail ARV'!I20</f>
        <v>206776.58263239125</v>
      </c>
      <c r="F63" s="526">
        <f>'ROI Detail ARV'!J20</f>
        <v>0.15529130377787467</v>
      </c>
      <c r="G63" s="525">
        <f t="shared" si="5"/>
        <v>0</v>
      </c>
      <c r="H63" s="527">
        <f t="shared" si="6"/>
        <v>-0.53135471678528945</v>
      </c>
    </row>
    <row r="64" spans="2:8" ht="16.2" thickBot="1" x14ac:dyDescent="0.35">
      <c r="B64" s="529" t="s">
        <v>193</v>
      </c>
      <c r="C64" s="530">
        <f t="shared" ref="C64:H64" si="7">SUM(C61:C63)</f>
        <v>113534.21459143082</v>
      </c>
      <c r="D64" s="531">
        <f t="shared" si="7"/>
        <v>0.37701472601258834</v>
      </c>
      <c r="E64" s="530" t="e">
        <f t="shared" si="7"/>
        <v>#NUM!</v>
      </c>
      <c r="F64" s="532" t="e">
        <f t="shared" si="7"/>
        <v>#NUM!</v>
      </c>
      <c r="G64" s="530" t="e">
        <f t="shared" si="7"/>
        <v>#NUM!</v>
      </c>
      <c r="H64" s="531" t="e">
        <f t="shared" si="7"/>
        <v>#NUM!</v>
      </c>
    </row>
    <row r="65" spans="1:8" ht="16.2" thickBot="1" x14ac:dyDescent="0.35">
      <c r="B65" s="962" t="s">
        <v>194</v>
      </c>
      <c r="C65" s="963"/>
      <c r="D65" s="533">
        <f>RATE(9,,-('ROI details'!C5+'PR Result'!C5+'Total Result'!C26*'Calculating offering price'!C87),C64)</f>
        <v>0.32642186464779993</v>
      </c>
      <c r="E65" s="534"/>
      <c r="F65" s="535" t="e">
        <f>_xlfn.RRI(10,D6,E64)</f>
        <v>#NUM!</v>
      </c>
      <c r="G65" s="534"/>
      <c r="H65" s="533" t="e">
        <f>F65-D65</f>
        <v>#NUM!</v>
      </c>
    </row>
    <row r="66" spans="1:8" ht="15.6" x14ac:dyDescent="0.3">
      <c r="B66" s="973" t="s">
        <v>195</v>
      </c>
      <c r="C66" s="974"/>
      <c r="D66" s="974"/>
      <c r="E66" s="974"/>
      <c r="F66" s="974"/>
      <c r="G66" s="974"/>
      <c r="H66" s="975"/>
    </row>
    <row r="67" spans="1:8" ht="15.6" x14ac:dyDescent="0.3">
      <c r="B67" s="536" t="s">
        <v>141</v>
      </c>
      <c r="C67" s="537">
        <f>'ROI details'!C47</f>
        <v>-519256.37005468254</v>
      </c>
      <c r="D67" s="538">
        <f>'ROI details'!C49*15</f>
        <v>-1.7243022184189498</v>
      </c>
      <c r="E67" s="537" t="e">
        <f>'ROI Detail ARV'!C47</f>
        <v>#NUM!</v>
      </c>
      <c r="F67" s="538" t="e">
        <f>'ROI Detail ARV'!C49*15</f>
        <v>#NUM!</v>
      </c>
      <c r="G67" s="537" t="e">
        <f>E67-C67</f>
        <v>#NUM!</v>
      </c>
      <c r="H67" s="539" t="e">
        <f>F67-D67</f>
        <v>#NUM!</v>
      </c>
    </row>
    <row r="68" spans="1:8" ht="15.6" x14ac:dyDescent="0.3">
      <c r="B68" s="536" t="s">
        <v>142</v>
      </c>
      <c r="C68" s="540">
        <f>'ROI details'!I12</f>
        <v>451011.45767549612</v>
      </c>
      <c r="D68" s="538">
        <f>'ROI details'!I13</f>
        <v>1.4976803402918779</v>
      </c>
      <c r="E68" s="540" t="e">
        <f>'ROI Detail ARV'!I12</f>
        <v>#NUM!</v>
      </c>
      <c r="F68" s="538" t="e">
        <f>'ROI Detail ARV'!I13</f>
        <v>#NUM!</v>
      </c>
      <c r="G68" s="537" t="e">
        <f t="shared" ref="G68:G69" si="8">E68-C68</f>
        <v>#NUM!</v>
      </c>
      <c r="H68" s="539" t="e">
        <f t="shared" ref="H68:H69" si="9">F68-D68</f>
        <v>#NUM!</v>
      </c>
    </row>
    <row r="69" spans="1:8" ht="15.6" x14ac:dyDescent="0.3">
      <c r="B69" s="536" t="s">
        <v>143</v>
      </c>
      <c r="C69" s="540">
        <f>'ROI details'!I21</f>
        <v>445478.41976147844</v>
      </c>
      <c r="D69" s="538">
        <f>'ROI details'!J21</f>
        <v>1.4793067004100366</v>
      </c>
      <c r="E69" s="540">
        <f>'ROI Detail ARV'!I21</f>
        <v>445478.41976147844</v>
      </c>
      <c r="F69" s="538">
        <f>'ROI Detail ARV'!J21</f>
        <v>0.33455879640226988</v>
      </c>
      <c r="G69" s="537">
        <f t="shared" si="8"/>
        <v>0</v>
      </c>
      <c r="H69" s="539">
        <f t="shared" si="9"/>
        <v>-1.1447479040077668</v>
      </c>
    </row>
    <row r="70" spans="1:8" ht="16.2" thickBot="1" x14ac:dyDescent="0.35">
      <c r="B70" s="541" t="s">
        <v>193</v>
      </c>
      <c r="C70" s="542">
        <f t="shared" ref="C70:H70" si="10">SUM(C67:C69)</f>
        <v>377233.50738229201</v>
      </c>
      <c r="D70" s="543">
        <f t="shared" si="10"/>
        <v>1.2526848222829647</v>
      </c>
      <c r="E70" s="542" t="e">
        <f t="shared" si="10"/>
        <v>#NUM!</v>
      </c>
      <c r="F70" s="543" t="e">
        <f t="shared" si="10"/>
        <v>#NUM!</v>
      </c>
      <c r="G70" s="542" t="e">
        <f t="shared" si="10"/>
        <v>#NUM!</v>
      </c>
      <c r="H70" s="544" t="e">
        <f t="shared" si="10"/>
        <v>#NUM!</v>
      </c>
    </row>
    <row r="71" spans="1:8" ht="16.2" thickBot="1" x14ac:dyDescent="0.35">
      <c r="B71" s="960" t="s">
        <v>194</v>
      </c>
      <c r="C71" s="961"/>
      <c r="D71" s="545">
        <f>RATE(14,,-('ROI details'!C5+'PR Result'!C5+'Total Result'!C26*'Calculating offering price'!C87),C70)</f>
        <v>0.30651864188610201</v>
      </c>
      <c r="E71" s="546"/>
      <c r="F71" s="545" t="e">
        <f>_xlfn.RRI(15,D6,E70)</f>
        <v>#NUM!</v>
      </c>
      <c r="G71" s="546"/>
      <c r="H71" s="547" t="e">
        <f>F71-D71</f>
        <v>#NUM!</v>
      </c>
    </row>
    <row r="73" spans="1:8" x14ac:dyDescent="0.25">
      <c r="A73" s="548"/>
    </row>
    <row r="75" spans="1:8" x14ac:dyDescent="0.25">
      <c r="A75" s="549"/>
    </row>
  </sheetData>
  <mergeCells count="12">
    <mergeCell ref="B16:D16"/>
    <mergeCell ref="B71:C71"/>
    <mergeCell ref="B65:C65"/>
    <mergeCell ref="B59:C59"/>
    <mergeCell ref="E52:F52"/>
    <mergeCell ref="B53:H53"/>
    <mergeCell ref="B60:H60"/>
    <mergeCell ref="B66:H66"/>
    <mergeCell ref="G52:H52"/>
    <mergeCell ref="C52:D52"/>
    <mergeCell ref="B57:D57"/>
    <mergeCell ref="B46:C46"/>
  </mergeCells>
  <hyperlinks>
    <hyperlink ref="B40" location="'ROI details'!G23" display="Active Appreciation" xr:uid="{D4177FE8-C55D-4844-BD6D-A5464DDE7CF4}"/>
    <hyperlink ref="A1" location="'Table of contents'!A1" display="Table of contents" xr:uid="{E183BEAA-4F08-47D7-9DFE-40112A001BB6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2A13-D14C-494E-9700-433948EE4EFC}">
  <sheetPr codeName="Sheet7">
    <tabColor theme="2" tint="-0.249977111117893"/>
  </sheetPr>
  <dimension ref="A1:C44"/>
  <sheetViews>
    <sheetView workbookViewId="0">
      <selection activeCell="F3" sqref="F3"/>
    </sheetView>
  </sheetViews>
  <sheetFormatPr defaultColWidth="8.77734375" defaultRowHeight="14.4" x14ac:dyDescent="0.3"/>
  <cols>
    <col min="1" max="1" width="8.77734375" style="1"/>
    <col min="2" max="2" width="51.77734375" style="1" customWidth="1"/>
    <col min="3" max="3" width="19.21875" style="1" customWidth="1"/>
    <col min="4" max="4" width="8.77734375" style="1"/>
    <col min="5" max="5" width="25.33203125" style="1" customWidth="1"/>
    <col min="6" max="16384" width="8.77734375" style="1"/>
  </cols>
  <sheetData>
    <row r="1" spans="1:3" x14ac:dyDescent="0.3">
      <c r="A1" s="626" t="s">
        <v>454</v>
      </c>
    </row>
    <row r="2" spans="1:3" ht="21" x14ac:dyDescent="0.4">
      <c r="B2" s="980" t="s">
        <v>253</v>
      </c>
      <c r="C2" s="980"/>
    </row>
    <row r="3" spans="1:3" x14ac:dyDescent="0.3">
      <c r="B3" s="290" t="s">
        <v>240</v>
      </c>
      <c r="C3" s="298">
        <f>SUM(C4:C6)</f>
        <v>63600</v>
      </c>
    </row>
    <row r="4" spans="1:3" x14ac:dyDescent="0.3">
      <c r="B4" s="295" t="s">
        <v>254</v>
      </c>
      <c r="C4" s="292">
        <f>('Calculating offering price'!C51+'Calculating offering price'!D49+'Calculating offering price'!E49)*12</f>
        <v>63600</v>
      </c>
    </row>
    <row r="5" spans="1:3" x14ac:dyDescent="0.3">
      <c r="B5" s="295" t="s">
        <v>255</v>
      </c>
      <c r="C5" s="293">
        <f>SUM('Calculating offering price'!C53:C56)*12</f>
        <v>0</v>
      </c>
    </row>
    <row r="6" spans="1:3" x14ac:dyDescent="0.3">
      <c r="B6" s="296" t="s">
        <v>256</v>
      </c>
      <c r="C6" s="294">
        <f>-'ROI Number insert'!F26</f>
        <v>0</v>
      </c>
    </row>
    <row r="7" spans="1:3" x14ac:dyDescent="0.3">
      <c r="B7" s="290" t="s">
        <v>241</v>
      </c>
      <c r="C7" s="298">
        <f>SUM(C8:C18)</f>
        <v>24248.089249411765</v>
      </c>
    </row>
    <row r="8" spans="1:3" x14ac:dyDescent="0.3">
      <c r="B8" s="295" t="s">
        <v>257</v>
      </c>
      <c r="C8" s="292">
        <f>'ROI Number insert'!F41</f>
        <v>1272</v>
      </c>
    </row>
    <row r="9" spans="1:3" x14ac:dyDescent="0.3">
      <c r="B9" s="295" t="s">
        <v>258</v>
      </c>
      <c r="C9" s="292">
        <f>'ROI Number insert'!F38</f>
        <v>1500</v>
      </c>
    </row>
    <row r="10" spans="1:3" x14ac:dyDescent="0.3">
      <c r="B10" s="295" t="s">
        <v>259</v>
      </c>
      <c r="C10" s="292">
        <f>'ROI Number insert'!F35</f>
        <v>1571.1435294117646</v>
      </c>
    </row>
    <row r="11" spans="1:3" x14ac:dyDescent="0.3">
      <c r="B11" s="295" t="s">
        <v>260</v>
      </c>
      <c r="C11" s="292">
        <f>'ROI Number insert'!F39</f>
        <v>0</v>
      </c>
    </row>
    <row r="12" spans="1:3" x14ac:dyDescent="0.3">
      <c r="B12" s="295" t="s">
        <v>261</v>
      </c>
      <c r="C12" s="292">
        <f>'ROI Number insert'!F40</f>
        <v>0</v>
      </c>
    </row>
    <row r="13" spans="1:3" x14ac:dyDescent="0.3">
      <c r="B13" s="295" t="s">
        <v>262</v>
      </c>
      <c r="C13" s="292">
        <f>'ROI Number insert'!F34</f>
        <v>5088</v>
      </c>
    </row>
    <row r="14" spans="1:3" x14ac:dyDescent="0.3">
      <c r="B14" s="295" t="s">
        <v>39</v>
      </c>
      <c r="C14" s="292">
        <f>'ROI Number insert'!F37</f>
        <v>10884</v>
      </c>
    </row>
    <row r="15" spans="1:3" x14ac:dyDescent="0.3">
      <c r="B15" s="295" t="s">
        <v>190</v>
      </c>
      <c r="C15" s="292">
        <f>'ROI Number insert'!F42</f>
        <v>0</v>
      </c>
    </row>
    <row r="16" spans="1:3" x14ac:dyDescent="0.3">
      <c r="B16" s="295" t="s">
        <v>263</v>
      </c>
      <c r="C16" s="292">
        <f>'ROI Number insert'!F43</f>
        <v>0</v>
      </c>
    </row>
    <row r="17" spans="2:3" x14ac:dyDescent="0.3">
      <c r="B17" s="295" t="s">
        <v>267</v>
      </c>
      <c r="C17" s="292">
        <f>'ROI Number insert'!I16</f>
        <v>0</v>
      </c>
    </row>
    <row r="18" spans="2:3" x14ac:dyDescent="0.3">
      <c r="B18" s="296" t="s">
        <v>264</v>
      </c>
      <c r="C18" s="297">
        <f>'ROI Number insert'!F32</f>
        <v>3932.9457199999997</v>
      </c>
    </row>
    <row r="19" spans="2:3" x14ac:dyDescent="0.3">
      <c r="B19" s="299" t="s">
        <v>218</v>
      </c>
      <c r="C19" s="300">
        <f>C3-C7</f>
        <v>39351.910750588235</v>
      </c>
    </row>
    <row r="20" spans="2:3" x14ac:dyDescent="0.3">
      <c r="B20" s="1" t="s">
        <v>265</v>
      </c>
      <c r="C20" s="292">
        <f>'ROI Number insert'!I13</f>
        <v>75930.690245619233</v>
      </c>
    </row>
    <row r="21" spans="2:3" ht="15" thickBot="1" x14ac:dyDescent="0.35">
      <c r="B21" s="403" t="s">
        <v>266</v>
      </c>
      <c r="C21" s="404">
        <f>'ROI Number insert'!I17</f>
        <v>0</v>
      </c>
    </row>
    <row r="22" spans="2:3" ht="16.8" thickTop="1" thickBot="1" x14ac:dyDescent="0.35">
      <c r="B22" s="405" t="s">
        <v>141</v>
      </c>
      <c r="C22" s="923">
        <f>C19-SUM(C20:C21)</f>
        <v>-36578.779495030998</v>
      </c>
    </row>
    <row r="23" spans="2:3" ht="15" thickBot="1" x14ac:dyDescent="0.35">
      <c r="B23" s="407" t="s">
        <v>331</v>
      </c>
      <c r="C23" s="408">
        <f>'Total Result'!C21</f>
        <v>301140</v>
      </c>
    </row>
    <row r="24" spans="2:3" ht="15.6" thickTop="1" thickBot="1" x14ac:dyDescent="0.35">
      <c r="B24" s="409" t="s">
        <v>332</v>
      </c>
      <c r="C24" s="410">
        <f>C22/C23</f>
        <v>-0.121467687769911</v>
      </c>
    </row>
    <row r="25" spans="2:3" x14ac:dyDescent="0.3">
      <c r="B25" s="1" t="s">
        <v>335</v>
      </c>
      <c r="C25" s="127">
        <f>'Total Result'!C17+'Financial Statement'!C32</f>
        <v>277351.66382878472</v>
      </c>
    </row>
    <row r="26" spans="2:3" x14ac:dyDescent="0.3">
      <c r="B26" s="1" t="s">
        <v>337</v>
      </c>
      <c r="C26" s="413">
        <f>C25/'Total Result'!C26</f>
        <v>0.21533514272421173</v>
      </c>
    </row>
    <row r="27" spans="2:3" ht="15" thickBot="1" x14ac:dyDescent="0.35">
      <c r="B27" s="1" t="s">
        <v>339</v>
      </c>
      <c r="C27" s="413">
        <f>C26-'Calculating offering price'!C13</f>
        <v>1.5335142724211714E-2</v>
      </c>
    </row>
    <row r="28" spans="2:3" ht="15.6" thickTop="1" thickBot="1" x14ac:dyDescent="0.35">
      <c r="B28" s="409" t="s">
        <v>336</v>
      </c>
      <c r="C28" s="410">
        <f>C22/C25</f>
        <v>-0.13188592053160308</v>
      </c>
    </row>
    <row r="31" spans="2:3" x14ac:dyDescent="0.3">
      <c r="B31" s="981" t="s">
        <v>333</v>
      </c>
      <c r="C31" s="981"/>
    </row>
    <row r="32" spans="2:3" x14ac:dyDescent="0.3">
      <c r="B32" s="1" t="s">
        <v>334</v>
      </c>
      <c r="C32" s="292">
        <f>SUM('Mortgage payment schedule'!E9:E20)</f>
        <v>19751.663828784745</v>
      </c>
    </row>
    <row r="33" spans="2:3" ht="15" thickBot="1" x14ac:dyDescent="0.35">
      <c r="B33" s="403" t="s">
        <v>331</v>
      </c>
      <c r="C33" s="411">
        <f>C23</f>
        <v>301140</v>
      </c>
    </row>
    <row r="34" spans="2:3" ht="15" thickTop="1" x14ac:dyDescent="0.3">
      <c r="B34" s="1" t="s">
        <v>338</v>
      </c>
      <c r="C34" s="412">
        <f>C32/C33</f>
        <v>6.5589638801835506E-2</v>
      </c>
    </row>
    <row r="36" spans="2:3" x14ac:dyDescent="0.3">
      <c r="B36" s="981" t="s">
        <v>340</v>
      </c>
      <c r="C36" s="981"/>
    </row>
    <row r="37" spans="2:3" x14ac:dyDescent="0.3">
      <c r="B37" s="1" t="s">
        <v>341</v>
      </c>
      <c r="C37" s="414">
        <f>'ROI Number insert'!F6</f>
        <v>0.02</v>
      </c>
    </row>
    <row r="38" spans="2:3" x14ac:dyDescent="0.3">
      <c r="B38" s="1" t="s">
        <v>95</v>
      </c>
      <c r="C38" s="292">
        <f>'ROI Number insert'!F3</f>
        <v>1288000</v>
      </c>
    </row>
    <row r="39" spans="2:3" x14ac:dyDescent="0.3">
      <c r="B39" s="1" t="s">
        <v>342</v>
      </c>
      <c r="C39" s="127">
        <f>C38*C37</f>
        <v>25760</v>
      </c>
    </row>
    <row r="40" spans="2:3" ht="15" thickBot="1" x14ac:dyDescent="0.35">
      <c r="B40" s="403" t="s">
        <v>331</v>
      </c>
      <c r="C40" s="411">
        <f>C33</f>
        <v>301140</v>
      </c>
    </row>
    <row r="41" spans="2:3" ht="15" thickTop="1" x14ac:dyDescent="0.3">
      <c r="B41" s="1" t="s">
        <v>343</v>
      </c>
      <c r="C41" s="412">
        <f>C39/C40</f>
        <v>8.5541608554160861E-2</v>
      </c>
    </row>
    <row r="43" spans="2:3" ht="15" thickBot="1" x14ac:dyDescent="0.35">
      <c r="B43" s="406" t="s">
        <v>344</v>
      </c>
      <c r="C43" s="415">
        <f>C41+C34+C24</f>
        <v>2.9663559586085367E-2</v>
      </c>
    </row>
    <row r="44" spans="2:3" ht="15" thickTop="1" x14ac:dyDescent="0.3"/>
  </sheetData>
  <sheetProtection algorithmName="SHA-512" hashValue="M14GdUiPNfIsCnezJemensbKqZL/sTII6hE4eyXhjfdT/IxYQhRHSrLbBCs9QAT6O3+77tep3zoct48lXdP4dw==" saltValue="QBiRX9/6YjAYyeVEuaqT0w==" spinCount="100000" sheet="1" objects="1" scenarios="1"/>
  <mergeCells count="3">
    <mergeCell ref="B2:C2"/>
    <mergeCell ref="B31:C31"/>
    <mergeCell ref="B36:C36"/>
  </mergeCells>
  <hyperlinks>
    <hyperlink ref="A1" location="'Table of contents'!A1" display="Table of contents" xr:uid="{F22F1356-D437-43E8-A577-FF5FD2B1CC5F}"/>
  </hyperlink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0E3-145B-4CA3-944A-29F37CCB6AE5}">
  <sheetPr codeName="Sheet5">
    <tabColor theme="2" tint="-0.249977111117893"/>
  </sheetPr>
  <dimension ref="A1:K50"/>
  <sheetViews>
    <sheetView topLeftCell="A20" workbookViewId="0">
      <selection activeCell="I36" sqref="I36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4.332031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5.33203125" style="1" customWidth="1"/>
    <col min="12" max="16384" width="8.77734375" style="1"/>
  </cols>
  <sheetData>
    <row r="1" spans="1:11" x14ac:dyDescent="0.3">
      <c r="A1" s="626" t="s">
        <v>454</v>
      </c>
    </row>
    <row r="2" spans="1:11" ht="21.6" thickBot="1" x14ac:dyDescent="0.45">
      <c r="B2" s="425" t="s">
        <v>141</v>
      </c>
      <c r="G2" s="402" t="s">
        <v>142</v>
      </c>
      <c r="I2" s="117"/>
    </row>
    <row r="3" spans="1:11" ht="15.6" x14ac:dyDescent="0.3">
      <c r="B3" s="1" t="s">
        <v>199</v>
      </c>
      <c r="D3" s="785"/>
      <c r="G3" s="178" t="s">
        <v>205</v>
      </c>
      <c r="H3" s="179" t="s">
        <v>21</v>
      </c>
      <c r="I3" s="180">
        <f>'ROI Number insert'!F19</f>
        <v>301140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>
        <f>SUM('Mortgage payment schedule'!E9:E69)</f>
        <v>112657.76394446184</v>
      </c>
    </row>
    <row r="5" spans="1:11" ht="15.6" x14ac:dyDescent="0.3">
      <c r="B5" s="169">
        <v>1</v>
      </c>
      <c r="C5" s="786">
        <f>'ROI Number insert'!F47</f>
        <v>-36578.779495030998</v>
      </c>
      <c r="D5" s="171">
        <f>C5/$C$11</f>
        <v>-0.121467687769911</v>
      </c>
      <c r="E5" s="172">
        <f>C5/12</f>
        <v>-3048.2316245859165</v>
      </c>
      <c r="G5" s="163"/>
      <c r="H5" s="181" t="s">
        <v>146</v>
      </c>
      <c r="I5" s="183">
        <f>I4/I3</f>
        <v>0.37410428353743058</v>
      </c>
    </row>
    <row r="6" spans="1:11" ht="16.2" thickBot="1" x14ac:dyDescent="0.35">
      <c r="B6" s="169">
        <v>2</v>
      </c>
      <c r="C6" s="17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-36240.330931133351</v>
      </c>
      <c r="D6" s="171">
        <f t="shared" ref="D6:D9" si="0">C6/$C$11</f>
        <v>-0.12034379667640749</v>
      </c>
      <c r="E6" s="172">
        <f>C6/12</f>
        <v>-3020.027577594446</v>
      </c>
      <c r="G6" s="163"/>
      <c r="H6" s="181" t="s">
        <v>147</v>
      </c>
      <c r="I6" s="183">
        <f>I5/10</f>
        <v>3.7410428353743058E-2</v>
      </c>
    </row>
    <row r="7" spans="1:11" s="76" customFormat="1" ht="15.6" x14ac:dyDescent="0.3">
      <c r="B7" s="174">
        <v>3</v>
      </c>
      <c r="C7" s="17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-35912.384097525646</v>
      </c>
      <c r="D7" s="171">
        <f t="shared" si="0"/>
        <v>-0.11925477883218984</v>
      </c>
      <c r="E7" s="175">
        <f>C7/12</f>
        <v>-2992.698674793804</v>
      </c>
      <c r="G7" s="121" t="s">
        <v>144</v>
      </c>
      <c r="H7" s="122" t="s">
        <v>21</v>
      </c>
      <c r="I7" s="123">
        <f>I3</f>
        <v>301140</v>
      </c>
      <c r="K7" s="1"/>
    </row>
    <row r="8" spans="1:11" ht="15.6" x14ac:dyDescent="0.3">
      <c r="B8" s="169">
        <v>4</v>
      </c>
      <c r="C8" s="17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-35291.538546274431</v>
      </c>
      <c r="D8" s="171">
        <f t="shared" si="0"/>
        <v>-0.11719312793476266</v>
      </c>
      <c r="E8" s="172">
        <f>C8/12</f>
        <v>-2940.9615455228691</v>
      </c>
      <c r="G8" s="124"/>
      <c r="H8" s="125" t="s">
        <v>145</v>
      </c>
      <c r="I8" s="126">
        <f>SUM('Mortgage payment schedule'!E9:E129)</f>
        <v>258770.44802082863</v>
      </c>
    </row>
    <row r="9" spans="1:11" ht="15.6" x14ac:dyDescent="0.3">
      <c r="B9" s="169">
        <v>5</v>
      </c>
      <c r="C9" s="17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-35000.520885305654</v>
      </c>
      <c r="D9" s="171">
        <f t="shared" si="0"/>
        <v>-0.11622674133394983</v>
      </c>
      <c r="E9" s="172">
        <f>C9/12</f>
        <v>-2916.7100737754713</v>
      </c>
      <c r="G9" s="124"/>
      <c r="H9" s="125" t="s">
        <v>146</v>
      </c>
      <c r="I9" s="129">
        <f>I8/I7</f>
        <v>0.8593028093937326</v>
      </c>
    </row>
    <row r="10" spans="1:11" ht="16.2" thickBot="1" x14ac:dyDescent="0.35">
      <c r="B10" s="169" t="s">
        <v>152</v>
      </c>
      <c r="C10" s="170">
        <f>SUM(C5:C9)</f>
        <v>-179023.55395527009</v>
      </c>
      <c r="G10" s="224"/>
      <c r="H10" s="130" t="s">
        <v>147</v>
      </c>
      <c r="I10" s="225">
        <f>I9/10</f>
        <v>8.5930280939373258E-2</v>
      </c>
    </row>
    <row r="11" spans="1:11" ht="15.6" x14ac:dyDescent="0.3">
      <c r="B11" s="169" t="s">
        <v>21</v>
      </c>
      <c r="C11" s="170">
        <f>'ROI Number insert'!F19</f>
        <v>301140</v>
      </c>
      <c r="G11" s="226" t="s">
        <v>148</v>
      </c>
      <c r="H11" s="227" t="s">
        <v>21</v>
      </c>
      <c r="I11" s="228">
        <f>I3</f>
        <v>301140</v>
      </c>
    </row>
    <row r="12" spans="1:11" s="76" customFormat="1" ht="15.6" x14ac:dyDescent="0.3">
      <c r="B12" s="174" t="s">
        <v>153</v>
      </c>
      <c r="C12" s="176">
        <f>C10/C11/5</f>
        <v>-0.11889722650944416</v>
      </c>
      <c r="G12" s="131"/>
      <c r="H12" s="132" t="s">
        <v>145</v>
      </c>
      <c r="I12" s="133">
        <f>SUM('Mortgage payment schedule'!E9:E189)</f>
        <v>451011.45767549612</v>
      </c>
      <c r="K12" s="1"/>
    </row>
    <row r="13" spans="1:11" ht="31.2" x14ac:dyDescent="0.3">
      <c r="B13" s="173" t="s">
        <v>154</v>
      </c>
      <c r="C13" s="234">
        <f>_xlfn.RRI(5,D5,D9)</f>
        <v>-8.7822751815832545E-3</v>
      </c>
      <c r="G13" s="131"/>
      <c r="H13" s="132" t="s">
        <v>146</v>
      </c>
      <c r="I13" s="134">
        <f>I12/I11</f>
        <v>1.4976803402918779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>
        <f>I13/15</f>
        <v>9.9845356019458528E-2</v>
      </c>
    </row>
    <row r="15" spans="1:11" ht="18.600000000000001" thickBot="1" x14ac:dyDescent="0.4">
      <c r="B15" s="138" t="s">
        <v>140</v>
      </c>
      <c r="C15" s="138" t="s">
        <v>149</v>
      </c>
      <c r="D15" s="138" t="s">
        <v>150</v>
      </c>
      <c r="E15" s="138" t="s">
        <v>151</v>
      </c>
      <c r="G15" s="402" t="s">
        <v>143</v>
      </c>
    </row>
    <row r="16" spans="1:11" ht="15.6" x14ac:dyDescent="0.3">
      <c r="B16" s="139">
        <v>1</v>
      </c>
      <c r="C16" s="140">
        <f>C5</f>
        <v>-36578.779495030998</v>
      </c>
      <c r="D16" s="141">
        <f>C16/$C$27</f>
        <v>-0.121467687769911</v>
      </c>
      <c r="E16" s="142">
        <f>C16/12</f>
        <v>-3048.2316245859165</v>
      </c>
      <c r="G16" s="184" t="s">
        <v>95</v>
      </c>
      <c r="H16" s="215">
        <f>'ROI Number insert'!F3</f>
        <v>1288000</v>
      </c>
    </row>
    <row r="17" spans="2:11" ht="16.2" thickBot="1" x14ac:dyDescent="0.35">
      <c r="B17" s="139">
        <v>2</v>
      </c>
      <c r="C17" s="14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-36240.330931133351</v>
      </c>
      <c r="D17" s="141">
        <f t="shared" ref="D17:D25" si="1">C17/$C$27</f>
        <v>-0.12034379667640749</v>
      </c>
      <c r="E17" s="142">
        <f t="shared" ref="E17:E25" si="2">C17/12</f>
        <v>-3020.027577594446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-35912.384097525646</v>
      </c>
      <c r="D18" s="141">
        <f t="shared" si="1"/>
        <v>-0.11925477883218984</v>
      </c>
      <c r="E18" s="142">
        <f t="shared" si="2"/>
        <v>-2992.698674793804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-35595.813950824057</v>
      </c>
      <c r="D19" s="141">
        <f t="shared" si="1"/>
        <v>-0.11820353971848328</v>
      </c>
      <c r="E19" s="142">
        <f t="shared" si="2"/>
        <v>-2966.3178292353382</v>
      </c>
      <c r="G19" s="186" t="s">
        <v>201</v>
      </c>
      <c r="H19" s="217">
        <f>'Calculating offering price'!C95</f>
        <v>1422056.0745216</v>
      </c>
      <c r="I19" s="218">
        <f>H19-H16</f>
        <v>134056.07452160004</v>
      </c>
      <c r="J19" s="221">
        <f>I19/'ROI Number insert'!$F$19</f>
        <v>0.44516196626685273</v>
      </c>
      <c r="K19" s="222">
        <f>_xlfn.RRI(5,H16,H19)</f>
        <v>2.0000000000000018E-2</v>
      </c>
    </row>
    <row r="20" spans="2:11" ht="15.6" x14ac:dyDescent="0.3">
      <c r="B20" s="139">
        <v>5</v>
      </c>
      <c r="C20" s="14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-35291.538546274431</v>
      </c>
      <c r="D20" s="141">
        <f t="shared" si="1"/>
        <v>-0.11719312793476266</v>
      </c>
      <c r="E20" s="142">
        <f t="shared" si="2"/>
        <v>-2940.9615455228691</v>
      </c>
      <c r="G20" s="186" t="s">
        <v>202</v>
      </c>
      <c r="H20" s="217">
        <f>'Calculating offering price'!C106</f>
        <v>1494776.5826323912</v>
      </c>
      <c r="I20" s="218">
        <f>H20-H16</f>
        <v>206776.58263239125</v>
      </c>
      <c r="J20" s="221">
        <f>I20/'ROI Number insert'!$F$19</f>
        <v>0.68664602056316415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-35000.520885305654</v>
      </c>
      <c r="D21" s="141">
        <f t="shared" si="1"/>
        <v>-0.11622674133394983</v>
      </c>
      <c r="E21" s="142">
        <f t="shared" si="2"/>
        <v>-2916.7100737754713</v>
      </c>
      <c r="G21" s="188" t="s">
        <v>203</v>
      </c>
      <c r="H21" s="219">
        <f>'Calculating offering price'!C117</f>
        <v>1733478.4197614784</v>
      </c>
      <c r="I21" s="220">
        <f>H21-H16</f>
        <v>445478.41976147844</v>
      </c>
      <c r="J21" s="221">
        <f>I21/'ROI Number insert'!$F$19</f>
        <v>1.4793067004100366</v>
      </c>
      <c r="K21" s="223">
        <f>_xlfn.RRI(15,H16,H21)</f>
        <v>2.0000000000000018E-2</v>
      </c>
    </row>
    <row r="22" spans="2:11" ht="15.6" x14ac:dyDescent="0.3">
      <c r="B22" s="139">
        <v>7</v>
      </c>
      <c r="C22" s="140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-34723.770837978693</v>
      </c>
      <c r="D22" s="141">
        <f t="shared" si="1"/>
        <v>-0.11530773340631829</v>
      </c>
      <c r="E22" s="142">
        <f t="shared" si="2"/>
        <v>-2893.6475698315576</v>
      </c>
    </row>
    <row r="23" spans="2:11" ht="18.600000000000001" thickBot="1" x14ac:dyDescent="0.4">
      <c r="B23" s="139">
        <v>8</v>
      </c>
      <c r="C23" s="140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-34462.347143290579</v>
      </c>
      <c r="D23" s="141">
        <f t="shared" si="1"/>
        <v>-0.11443961992193193</v>
      </c>
      <c r="E23" s="142">
        <f t="shared" si="2"/>
        <v>-2871.8622619408816</v>
      </c>
      <c r="G23" s="402" t="s">
        <v>206</v>
      </c>
    </row>
    <row r="24" spans="2:11" ht="15.6" x14ac:dyDescent="0.3">
      <c r="B24" s="139">
        <v>9</v>
      </c>
      <c r="C24" s="140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-34217.359490407056</v>
      </c>
      <c r="D24" s="141">
        <f t="shared" si="1"/>
        <v>-0.11362608584182458</v>
      </c>
      <c r="E24" s="142">
        <f t="shared" si="2"/>
        <v>-2851.4466242005878</v>
      </c>
      <c r="G24" s="209" t="s">
        <v>95</v>
      </c>
      <c r="H24" s="210">
        <f>'ROI Number insert'!F3</f>
        <v>1288000</v>
      </c>
    </row>
    <row r="25" spans="2:11" ht="15.6" x14ac:dyDescent="0.3">
      <c r="B25" s="139">
        <v>10</v>
      </c>
      <c r="C25" s="140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-33989.970684018655</v>
      </c>
      <c r="D25" s="141">
        <f t="shared" si="1"/>
        <v>-0.11287099250852978</v>
      </c>
      <c r="E25" s="142">
        <f t="shared" si="2"/>
        <v>-2832.4975570015545</v>
      </c>
      <c r="G25" s="211" t="s">
        <v>94</v>
      </c>
      <c r="H25" s="212">
        <f>'ROI Number insert'!F10</f>
        <v>43540</v>
      </c>
      <c r="I25" s="117"/>
    </row>
    <row r="26" spans="2:11" ht="15.6" x14ac:dyDescent="0.3">
      <c r="B26" s="139" t="s">
        <v>152</v>
      </c>
      <c r="C26" s="140">
        <f>SUM(C16:C25)</f>
        <v>-352012.81606178905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301140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>
        <f>C26/C27/10</f>
        <v>-0.11689341039443084</v>
      </c>
      <c r="D28" s="117"/>
      <c r="G28" s="211" t="s">
        <v>208</v>
      </c>
      <c r="H28" s="212">
        <f>'ROI Number insert'!F50</f>
        <v>136000</v>
      </c>
      <c r="I28" s="164"/>
      <c r="J28" s="165"/>
    </row>
    <row r="29" spans="2:11" ht="31.2" x14ac:dyDescent="0.3">
      <c r="B29" s="144" t="s">
        <v>154</v>
      </c>
      <c r="C29" s="235">
        <f>_xlfn.RRI(10,D16,D25)</f>
        <v>-7.3134035394308849E-3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763">
        <f>H29-SUM(H24:H28)</f>
        <v>532460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301140</v>
      </c>
    </row>
    <row r="32" spans="2:11" ht="16.2" thickBot="1" x14ac:dyDescent="0.35">
      <c r="B32" s="146">
        <v>1</v>
      </c>
      <c r="C32" s="147">
        <f>C16</f>
        <v>-36578.779495030998</v>
      </c>
      <c r="D32" s="148">
        <f>C32/$C$48</f>
        <v>-0.121467687769911</v>
      </c>
      <c r="E32" s="147">
        <f>C32/12</f>
        <v>-3048.2316245859165</v>
      </c>
      <c r="G32" s="213" t="s">
        <v>146</v>
      </c>
      <c r="H32" s="214">
        <f>IF(H30&lt;0,"",H30/H31)</f>
        <v>1.7681477053861991</v>
      </c>
    </row>
    <row r="33" spans="2:11" ht="21.6" thickBot="1" x14ac:dyDescent="0.45">
      <c r="B33" s="146">
        <v>2</v>
      </c>
      <c r="C33" s="14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-36240.330931133351</v>
      </c>
      <c r="D33" s="148">
        <f t="shared" ref="D33:D46" si="3">C33/$C$48</f>
        <v>-0.12034379667640749</v>
      </c>
      <c r="E33" s="147">
        <f t="shared" ref="E33:E46" si="4">C33/12</f>
        <v>-3020.027577594446</v>
      </c>
      <c r="G33" s="192" t="s">
        <v>217</v>
      </c>
    </row>
    <row r="34" spans="2:11" s="76" customFormat="1" ht="15.6" x14ac:dyDescent="0.3">
      <c r="B34" s="199">
        <v>3</v>
      </c>
      <c r="C34" s="20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-35912.384097525646</v>
      </c>
      <c r="D34" s="201">
        <f t="shared" si="3"/>
        <v>-0.11925477883218984</v>
      </c>
      <c r="E34" s="202">
        <f t="shared" si="4"/>
        <v>-2992.698674793804</v>
      </c>
      <c r="G34" s="416" t="s">
        <v>218</v>
      </c>
      <c r="H34" s="417">
        <f>'ROI Number insert'!F45</f>
        <v>39351.910750588235</v>
      </c>
      <c r="I34" s="203"/>
      <c r="J34" s="203"/>
      <c r="K34" s="203"/>
    </row>
    <row r="35" spans="2:11" ht="16.2" thickBot="1" x14ac:dyDescent="0.35">
      <c r="B35" s="146">
        <v>4</v>
      </c>
      <c r="C35" s="149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-35595.813950824057</v>
      </c>
      <c r="D35" s="148">
        <f t="shared" si="3"/>
        <v>-0.11820353971848328</v>
      </c>
      <c r="E35" s="147">
        <f t="shared" si="4"/>
        <v>-2966.3178292353382</v>
      </c>
      <c r="G35" s="418" t="s">
        <v>217</v>
      </c>
      <c r="H35" s="419">
        <f>H34/'ROI Number insert'!F3</f>
        <v>3.0552725738034345E-2</v>
      </c>
    </row>
    <row r="36" spans="2:11" ht="16.8" thickTop="1" thickBot="1" x14ac:dyDescent="0.35">
      <c r="B36" s="146">
        <v>5</v>
      </c>
      <c r="C36" s="14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-35291.538546274431</v>
      </c>
      <c r="D36" s="148">
        <f t="shared" si="3"/>
        <v>-0.11719312793476266</v>
      </c>
      <c r="E36" s="147">
        <f t="shared" si="4"/>
        <v>-2940.9615455228691</v>
      </c>
      <c r="G36" s="418" t="s">
        <v>345</v>
      </c>
      <c r="H36" s="674">
        <v>4.4999999999999998E-2</v>
      </c>
      <c r="I36" s="626" t="s">
        <v>527</v>
      </c>
    </row>
    <row r="37" spans="2:11" ht="32.4" thickTop="1" thickBot="1" x14ac:dyDescent="0.35">
      <c r="B37" s="146">
        <v>6</v>
      </c>
      <c r="C37" s="149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-35000.520885305654</v>
      </c>
      <c r="D37" s="148">
        <f t="shared" si="3"/>
        <v>-0.11622674133394983</v>
      </c>
      <c r="E37" s="147">
        <f t="shared" si="4"/>
        <v>-2916.7100737754713</v>
      </c>
      <c r="G37" s="852" t="s">
        <v>515</v>
      </c>
      <c r="H37" s="420">
        <f>H34/H36</f>
        <v>874486.90556862752</v>
      </c>
    </row>
    <row r="38" spans="2:11" ht="15.6" x14ac:dyDescent="0.3">
      <c r="B38" s="146">
        <v>7</v>
      </c>
      <c r="C38" s="149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-34723.770837978693</v>
      </c>
      <c r="D38" s="148">
        <f t="shared" si="3"/>
        <v>-0.11530773340631829</v>
      </c>
      <c r="E38" s="147">
        <f t="shared" si="4"/>
        <v>-2893.6475698315576</v>
      </c>
    </row>
    <row r="39" spans="2:11" s="203" customFormat="1" ht="15.6" x14ac:dyDescent="0.3">
      <c r="B39" s="199">
        <v>8</v>
      </c>
      <c r="C39" s="149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-34462.347143290579</v>
      </c>
      <c r="D39" s="148">
        <f t="shared" si="3"/>
        <v>-0.11443961992193193</v>
      </c>
      <c r="E39" s="202">
        <f t="shared" si="4"/>
        <v>-2871.8622619408816</v>
      </c>
    </row>
    <row r="40" spans="2:11" ht="15.6" x14ac:dyDescent="0.3">
      <c r="B40" s="146">
        <v>9</v>
      </c>
      <c r="C40" s="149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-34217.359490407056</v>
      </c>
      <c r="D40" s="148">
        <f t="shared" si="3"/>
        <v>-0.11362608584182458</v>
      </c>
      <c r="E40" s="147">
        <f t="shared" si="4"/>
        <v>-2851.4466242005878</v>
      </c>
    </row>
    <row r="41" spans="2:11" ht="15.6" x14ac:dyDescent="0.3">
      <c r="B41" s="146">
        <v>10</v>
      </c>
      <c r="C41" s="149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-33989.970684018655</v>
      </c>
      <c r="D41" s="148">
        <f t="shared" si="3"/>
        <v>-0.11287099250852978</v>
      </c>
      <c r="E41" s="147">
        <f t="shared" si="4"/>
        <v>-2832.4975570015545</v>
      </c>
    </row>
    <row r="42" spans="2:11" ht="15.6" x14ac:dyDescent="0.3">
      <c r="B42" s="146">
        <v>11</v>
      </c>
      <c r="C42" s="149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-33781.398897138046</v>
      </c>
      <c r="D42" s="148">
        <f t="shared" si="3"/>
        <v>-0.11217838512697764</v>
      </c>
      <c r="E42" s="147">
        <f t="shared" si="4"/>
        <v>-2815.1165747615037</v>
      </c>
    </row>
    <row r="43" spans="2:11" ht="15.6" x14ac:dyDescent="0.3">
      <c r="B43" s="146">
        <v>12</v>
      </c>
      <c r="C43" s="149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-33592.920014787356</v>
      </c>
      <c r="D43" s="148">
        <f t="shared" si="3"/>
        <v>-0.11155250054721179</v>
      </c>
      <c r="E43" s="147">
        <f t="shared" si="4"/>
        <v>-2799.4100012322797</v>
      </c>
    </row>
    <row r="44" spans="2:11" ht="15.6" x14ac:dyDescent="0.3">
      <c r="B44" s="146">
        <v>13</v>
      </c>
      <c r="C44" s="149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-33425.870072157464</v>
      </c>
      <c r="D44" s="148">
        <f t="shared" si="3"/>
        <v>-0.11099777536082044</v>
      </c>
      <c r="E44" s="147">
        <f t="shared" si="4"/>
        <v>-2785.4891726797887</v>
      </c>
    </row>
    <row r="45" spans="2:11" ht="15.6" x14ac:dyDescent="0.3">
      <c r="B45" s="146">
        <v>14</v>
      </c>
      <c r="C45" s="149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-33281.647790961491</v>
      </c>
      <c r="D45" s="148">
        <f t="shared" si="3"/>
        <v>-0.11051885432344255</v>
      </c>
      <c r="E45" s="147">
        <f t="shared" si="4"/>
        <v>-2773.4706492467908</v>
      </c>
    </row>
    <row r="46" spans="2:11" ht="15.6" x14ac:dyDescent="0.3">
      <c r="B46" s="146">
        <v>15</v>
      </c>
      <c r="C46" s="149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-33161.717217849095</v>
      </c>
      <c r="D46" s="148">
        <f t="shared" si="3"/>
        <v>-0.11012059911618879</v>
      </c>
      <c r="E46" s="147">
        <f t="shared" si="4"/>
        <v>-2763.4764348207577</v>
      </c>
    </row>
    <row r="47" spans="2:11" ht="15.6" x14ac:dyDescent="0.3">
      <c r="B47" s="150" t="s">
        <v>152</v>
      </c>
      <c r="C47" s="151">
        <f>SUM(C32:C46)</f>
        <v>-519256.37005468254</v>
      </c>
      <c r="D47" s="152"/>
      <c r="E47" s="153"/>
    </row>
    <row r="48" spans="2:11" ht="15.6" x14ac:dyDescent="0.3">
      <c r="B48" s="154" t="s">
        <v>21</v>
      </c>
      <c r="C48" s="155">
        <f>C11</f>
        <v>301140</v>
      </c>
      <c r="D48" s="152"/>
      <c r="E48" s="153"/>
    </row>
    <row r="49" spans="2:5" ht="15.6" x14ac:dyDescent="0.3">
      <c r="B49" s="154" t="s">
        <v>153</v>
      </c>
      <c r="C49" s="156">
        <f>C47/C48/15</f>
        <v>-0.11495348122792999</v>
      </c>
      <c r="D49" s="152"/>
      <c r="E49" s="153"/>
    </row>
    <row r="50" spans="2:5" ht="31.2" x14ac:dyDescent="0.3">
      <c r="B50" s="157" t="s">
        <v>154</v>
      </c>
      <c r="C50" s="236">
        <f>_xlfn.RRI(15,D32,D46)</f>
        <v>-6.5168169938670806E-3</v>
      </c>
      <c r="D50" s="166"/>
      <c r="E50" s="167"/>
    </row>
  </sheetData>
  <sheetProtection algorithmName="SHA-512" hashValue="n11a5YhAqA23XeI9RMG9o7f79QoZ3tzkRc/dCoynMWcolpLe/LhBXY8wmpS+cyoTiaP7eMz03H/NFKpe264fVA==" saltValue="gAI156AbayZLmKS5UcieNw==" spinCount="100000" sheet="1" objects="1" scenarios="1"/>
  <hyperlinks>
    <hyperlink ref="G23" location="'Long term Result'!B38" display="Active Appreciation" xr:uid="{CEE6E02F-141B-457A-B0D5-53C5A038F800}"/>
    <hyperlink ref="G2" location="'PR Result'!A1" display="Principle Recapture" xr:uid="{C14491EC-C97D-47CA-8317-6AE7950D9D97}"/>
    <hyperlink ref="G15" location="'Calculating offering price'!A85" display="Passive Appreciation" xr:uid="{51B7F331-0193-44C5-8CFA-07DC3C99972C}"/>
    <hyperlink ref="B2" location="'Total CF'!A1" display="Cash Flow" xr:uid="{D0BC2604-EE6E-431B-A3D8-339DD63A549B}"/>
    <hyperlink ref="A1" location="'Table of contents'!A1" display="Table of contents" xr:uid="{C80644C8-67D7-4C14-906E-8E52226E9F27}"/>
    <hyperlink ref="I36" location="Outputs!A1" display="Back to Outputs" xr:uid="{6EB4798A-B8EE-42B0-BABE-DECA9B589460}"/>
  </hyperlink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DC1-A48E-486B-AA1F-8E2E36DEE018}">
  <sheetPr codeName="Sheet2">
    <tabColor theme="4"/>
  </sheetPr>
  <dimension ref="A1:L44"/>
  <sheetViews>
    <sheetView workbookViewId="0"/>
  </sheetViews>
  <sheetFormatPr defaultColWidth="0" defaultRowHeight="14.4" zeroHeight="1" x14ac:dyDescent="0.3"/>
  <cols>
    <col min="1" max="1" width="4.21875" style="581" customWidth="1"/>
    <col min="2" max="2" width="23.6640625" style="581" customWidth="1"/>
    <col min="3" max="3" width="14.77734375" style="581" customWidth="1"/>
    <col min="4" max="4" width="10.33203125" style="581" customWidth="1"/>
    <col min="5" max="5" width="14" style="581" customWidth="1"/>
    <col min="6" max="6" width="17.109375" style="581" customWidth="1"/>
    <col min="7" max="7" width="26" style="581" customWidth="1"/>
    <col min="8" max="9" width="13.6640625" style="581" customWidth="1"/>
    <col min="10" max="10" width="13.77734375" style="581" customWidth="1"/>
    <col min="11" max="12" width="8.77734375" style="581" customWidth="1"/>
    <col min="13" max="16384" width="8.77734375" style="581" hidden="1"/>
  </cols>
  <sheetData>
    <row r="1" spans="1:10" ht="15" thickBot="1" x14ac:dyDescent="0.35">
      <c r="A1" s="626" t="s">
        <v>454</v>
      </c>
    </row>
    <row r="2" spans="1:10" ht="31.8" thickBot="1" x14ac:dyDescent="0.35">
      <c r="B2" s="582" t="s">
        <v>140</v>
      </c>
      <c r="C2" s="583" t="s">
        <v>149</v>
      </c>
      <c r="D2" s="583" t="s">
        <v>150</v>
      </c>
      <c r="E2" s="584" t="s">
        <v>151</v>
      </c>
      <c r="G2" s="585" t="s">
        <v>140</v>
      </c>
      <c r="H2" s="585" t="s">
        <v>149</v>
      </c>
      <c r="I2" s="585" t="s">
        <v>150</v>
      </c>
      <c r="J2" s="586" t="s">
        <v>151</v>
      </c>
    </row>
    <row r="3" spans="1:10" ht="15.6" x14ac:dyDescent="0.3">
      <c r="B3" s="587">
        <v>1</v>
      </c>
      <c r="C3" s="588">
        <f>'ROI details'!C5</f>
        <v>-36578.779495030998</v>
      </c>
      <c r="D3" s="589">
        <f>C3/$C$39</f>
        <v>-0.121467687769911</v>
      </c>
      <c r="E3" s="590">
        <f>C3/12</f>
        <v>-3048.2316245859165</v>
      </c>
      <c r="G3" s="591">
        <v>1</v>
      </c>
      <c r="H3" s="592" t="e">
        <f>'ROI Detail ARV'!C5</f>
        <v>#NUM!</v>
      </c>
      <c r="I3" s="593" t="e">
        <f>H3/$H$39</f>
        <v>#NUM!</v>
      </c>
      <c r="J3" s="592" t="e">
        <f>H3/12</f>
        <v>#NUM!</v>
      </c>
    </row>
    <row r="4" spans="1:10" ht="15.6" x14ac:dyDescent="0.3">
      <c r="B4" s="594">
        <v>2</v>
      </c>
      <c r="C4" s="595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-36240.330931133351</v>
      </c>
      <c r="D4" s="593">
        <f t="shared" ref="D4:D36" si="0">C4/$C$39</f>
        <v>-0.12034379667640749</v>
      </c>
      <c r="E4" s="596">
        <f t="shared" ref="E4:E37" si="1">C4/12</f>
        <v>-3020.027577594446</v>
      </c>
      <c r="F4" s="1"/>
      <c r="G4" s="591">
        <v>2</v>
      </c>
      <c r="H4" s="595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I4" s="593" t="e">
        <f t="shared" ref="I4:I37" si="2">H4/$H$39</f>
        <v>#NUM!</v>
      </c>
      <c r="J4" s="592" t="e">
        <f t="shared" ref="J4:J37" si="3">H4/12</f>
        <v>#NUM!</v>
      </c>
    </row>
    <row r="5" spans="1:10" ht="15.6" x14ac:dyDescent="0.3">
      <c r="B5" s="597">
        <v>3</v>
      </c>
      <c r="C5" s="598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-35912.384097525646</v>
      </c>
      <c r="D5" s="593">
        <f t="shared" si="0"/>
        <v>-0.11925477883218984</v>
      </c>
      <c r="E5" s="599">
        <f t="shared" si="1"/>
        <v>-2992.698674793804</v>
      </c>
      <c r="F5" s="1"/>
      <c r="G5" s="600">
        <v>3</v>
      </c>
      <c r="H5" s="595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I5" s="593" t="e">
        <f t="shared" si="2"/>
        <v>#NUM!</v>
      </c>
      <c r="J5" s="601" t="e">
        <f t="shared" si="3"/>
        <v>#NUM!</v>
      </c>
    </row>
    <row r="6" spans="1:10" ht="15.6" x14ac:dyDescent="0.3">
      <c r="B6" s="594">
        <v>4</v>
      </c>
      <c r="C6" s="595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-35595.813950824057</v>
      </c>
      <c r="D6" s="593">
        <f t="shared" si="0"/>
        <v>-0.11820353971848328</v>
      </c>
      <c r="E6" s="596">
        <f t="shared" si="1"/>
        <v>-2966.3178292353382</v>
      </c>
      <c r="F6" s="1"/>
      <c r="G6" s="591">
        <v>4</v>
      </c>
      <c r="H6" s="595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I6" s="593" t="e">
        <f t="shared" si="2"/>
        <v>#NUM!</v>
      </c>
      <c r="J6" s="592" t="e">
        <f t="shared" si="3"/>
        <v>#NUM!</v>
      </c>
    </row>
    <row r="7" spans="1:10" ht="15.6" x14ac:dyDescent="0.3">
      <c r="B7" s="594">
        <v>5</v>
      </c>
      <c r="C7" s="595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-35291.538546274431</v>
      </c>
      <c r="D7" s="593">
        <f t="shared" si="0"/>
        <v>-0.11719312793476266</v>
      </c>
      <c r="E7" s="596">
        <f t="shared" si="1"/>
        <v>-2940.9615455228691</v>
      </c>
      <c r="F7" s="1"/>
      <c r="G7" s="591">
        <v>5</v>
      </c>
      <c r="H7" s="595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I7" s="593" t="e">
        <f t="shared" si="2"/>
        <v>#NUM!</v>
      </c>
      <c r="J7" s="592" t="e">
        <f t="shared" si="3"/>
        <v>#NUM!</v>
      </c>
    </row>
    <row r="8" spans="1:10" ht="15.6" x14ac:dyDescent="0.3">
      <c r="B8" s="594">
        <v>6</v>
      </c>
      <c r="C8" s="595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-35000.520885305654</v>
      </c>
      <c r="D8" s="593">
        <f t="shared" si="0"/>
        <v>-0.11622674133394983</v>
      </c>
      <c r="E8" s="596">
        <f t="shared" si="1"/>
        <v>-2916.7100737754713</v>
      </c>
      <c r="F8" s="1"/>
      <c r="G8" s="591">
        <v>6</v>
      </c>
      <c r="H8" s="595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I8" s="593" t="e">
        <f t="shared" si="2"/>
        <v>#NUM!</v>
      </c>
      <c r="J8" s="592" t="e">
        <f t="shared" si="3"/>
        <v>#NUM!</v>
      </c>
    </row>
    <row r="9" spans="1:10" ht="15.6" x14ac:dyDescent="0.3">
      <c r="B9" s="594">
        <v>7</v>
      </c>
      <c r="C9" s="595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-34723.770837978693</v>
      </c>
      <c r="D9" s="593">
        <f t="shared" si="0"/>
        <v>-0.11530773340631829</v>
      </c>
      <c r="E9" s="596">
        <f t="shared" si="1"/>
        <v>-2893.6475698315576</v>
      </c>
      <c r="F9" s="1"/>
      <c r="G9" s="591">
        <v>7</v>
      </c>
      <c r="H9" s="595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I9" s="593" t="e">
        <f t="shared" si="2"/>
        <v>#NUM!</v>
      </c>
      <c r="J9" s="592" t="e">
        <f t="shared" si="3"/>
        <v>#NUM!</v>
      </c>
    </row>
    <row r="10" spans="1:10" ht="15.6" x14ac:dyDescent="0.3">
      <c r="B10" s="597">
        <v>8</v>
      </c>
      <c r="C10" s="595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-34462.347143290579</v>
      </c>
      <c r="D10" s="593">
        <f t="shared" si="0"/>
        <v>-0.11443961992193193</v>
      </c>
      <c r="E10" s="599">
        <f t="shared" si="1"/>
        <v>-2871.8622619408816</v>
      </c>
      <c r="F10" s="1"/>
      <c r="G10" s="600">
        <v>8</v>
      </c>
      <c r="H10" s="595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I10" s="593" t="e">
        <f t="shared" si="2"/>
        <v>#NUM!</v>
      </c>
      <c r="J10" s="601" t="e">
        <f t="shared" si="3"/>
        <v>#NUM!</v>
      </c>
    </row>
    <row r="11" spans="1:10" ht="15.6" x14ac:dyDescent="0.3">
      <c r="B11" s="594">
        <v>9</v>
      </c>
      <c r="C11" s="595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-34217.359490407056</v>
      </c>
      <c r="D11" s="593">
        <f t="shared" si="0"/>
        <v>-0.11362608584182458</v>
      </c>
      <c r="E11" s="596">
        <f t="shared" si="1"/>
        <v>-2851.4466242005878</v>
      </c>
      <c r="F11" s="1"/>
      <c r="G11" s="591">
        <v>9</v>
      </c>
      <c r="H11" s="595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I11" s="593" t="e">
        <f t="shared" si="2"/>
        <v>#NUM!</v>
      </c>
      <c r="J11" s="592" t="e">
        <f t="shared" si="3"/>
        <v>#NUM!</v>
      </c>
    </row>
    <row r="12" spans="1:10" ht="15.6" x14ac:dyDescent="0.3">
      <c r="B12" s="594">
        <v>10</v>
      </c>
      <c r="C12" s="595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-33989.970684018655</v>
      </c>
      <c r="D12" s="593">
        <f t="shared" si="0"/>
        <v>-0.11287099250852978</v>
      </c>
      <c r="E12" s="596">
        <f t="shared" si="1"/>
        <v>-2832.4975570015545</v>
      </c>
      <c r="F12" s="1"/>
      <c r="G12" s="591">
        <v>10</v>
      </c>
      <c r="H12" s="595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I12" s="593" t="e">
        <f t="shared" si="2"/>
        <v>#NUM!</v>
      </c>
      <c r="J12" s="592" t="e">
        <f t="shared" si="3"/>
        <v>#NUM!</v>
      </c>
    </row>
    <row r="13" spans="1:10" ht="15.6" x14ac:dyDescent="0.3">
      <c r="B13" s="594">
        <v>11</v>
      </c>
      <c r="C13" s="595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-33781.398897138046</v>
      </c>
      <c r="D13" s="593">
        <f t="shared" si="0"/>
        <v>-0.11217838512697764</v>
      </c>
      <c r="E13" s="596">
        <f t="shared" si="1"/>
        <v>-2815.1165747615037</v>
      </c>
      <c r="F13" s="1"/>
      <c r="G13" s="591">
        <v>11</v>
      </c>
      <c r="H13" s="595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I13" s="593" t="e">
        <f t="shared" si="2"/>
        <v>#NUM!</v>
      </c>
      <c r="J13" s="592" t="e">
        <f t="shared" si="3"/>
        <v>#NUM!</v>
      </c>
    </row>
    <row r="14" spans="1:10" ht="15.6" x14ac:dyDescent="0.3">
      <c r="B14" s="594">
        <v>12</v>
      </c>
      <c r="C14" s="595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-33592.920014787356</v>
      </c>
      <c r="D14" s="593">
        <f t="shared" si="0"/>
        <v>-0.11155250054721179</v>
      </c>
      <c r="E14" s="596">
        <f t="shared" si="1"/>
        <v>-2799.4100012322797</v>
      </c>
      <c r="F14" s="1"/>
      <c r="G14" s="591">
        <v>12</v>
      </c>
      <c r="H14" s="595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I14" s="593" t="e">
        <f t="shared" si="2"/>
        <v>#NUM!</v>
      </c>
      <c r="J14" s="592" t="e">
        <f t="shared" si="3"/>
        <v>#NUM!</v>
      </c>
    </row>
    <row r="15" spans="1:10" ht="15.6" x14ac:dyDescent="0.3">
      <c r="B15" s="594">
        <v>13</v>
      </c>
      <c r="C15" s="595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-33425.870072157464</v>
      </c>
      <c r="D15" s="593">
        <f t="shared" si="0"/>
        <v>-0.11099777536082044</v>
      </c>
      <c r="E15" s="596">
        <f t="shared" si="1"/>
        <v>-2785.4891726797887</v>
      </c>
      <c r="F15" s="1"/>
      <c r="G15" s="591">
        <v>13</v>
      </c>
      <c r="H15" s="595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I15" s="593" t="e">
        <f t="shared" si="2"/>
        <v>#NUM!</v>
      </c>
      <c r="J15" s="592" t="e">
        <f t="shared" si="3"/>
        <v>#NUM!</v>
      </c>
    </row>
    <row r="16" spans="1:10" ht="15.6" x14ac:dyDescent="0.3">
      <c r="B16" s="594">
        <v>14</v>
      </c>
      <c r="C16" s="595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-33281.647790961491</v>
      </c>
      <c r="D16" s="593">
        <f t="shared" si="0"/>
        <v>-0.11051885432344255</v>
      </c>
      <c r="E16" s="596">
        <f t="shared" si="1"/>
        <v>-2773.4706492467908</v>
      </c>
      <c r="F16" s="1"/>
      <c r="G16" s="591">
        <v>14</v>
      </c>
      <c r="H16" s="595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I16" s="593" t="e">
        <f t="shared" si="2"/>
        <v>#NUM!</v>
      </c>
      <c r="J16" s="592" t="e">
        <f t="shared" si="3"/>
        <v>#NUM!</v>
      </c>
    </row>
    <row r="17" spans="2:10" ht="15.6" x14ac:dyDescent="0.3">
      <c r="B17" s="594">
        <v>15</v>
      </c>
      <c r="C17" s="595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-33161.717217849095</v>
      </c>
      <c r="D17" s="593">
        <f t="shared" si="0"/>
        <v>-0.11012059911618879</v>
      </c>
      <c r="E17" s="596">
        <f t="shared" si="1"/>
        <v>-2763.4764348207577</v>
      </c>
      <c r="F17" s="1"/>
      <c r="G17" s="591">
        <v>15</v>
      </c>
      <c r="H17" s="595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I17" s="593" t="e">
        <f t="shared" si="2"/>
        <v>#NUM!</v>
      </c>
      <c r="J17" s="592" t="e">
        <f t="shared" si="3"/>
        <v>#NUM!</v>
      </c>
    </row>
    <row r="18" spans="2:10" ht="15.6" x14ac:dyDescent="0.3">
      <c r="B18" s="594">
        <v>16</v>
      </c>
      <c r="C18" s="595">
        <f>FV('ROI Number insert'!$F$8,15,,-'ROI Number insert'!$F$27)-'ROI Number insert'!$F$30-FV('ROI Number insert'!$F$7,15,,-SUM('ROI Number insert'!$F$32,'ROI Number insert'!$F$34,'ROI Number insert'!$F$35,'ROI Number insert'!$F$37,'ROI Number insert'!$F$38:$F$43))</f>
        <v>-33067.610468899737</v>
      </c>
      <c r="D18" s="593">
        <f t="shared" si="0"/>
        <v>-0.10980809745932037</v>
      </c>
      <c r="E18" s="596">
        <f t="shared" si="1"/>
        <v>-2755.6342057416446</v>
      </c>
      <c r="F18" s="1"/>
      <c r="G18" s="591">
        <v>16</v>
      </c>
      <c r="H18" s="595" t="e">
        <f>FV('ROI Number insert ARV'!$E$8,15,,-'ROI Number insert ARV'!$E$27)-'ROI Number insert ARV'!$E$30-FV('ROI Number insert ARV'!$E$7,15,,-SUM('ROI Number insert ARV'!$E$32,'ROI Number insert ARV'!$E$34,'ROI Number insert ARV'!$E$35,'ROI Number insert ARV'!$E$37,'ROI Number insert ARV'!$E$38:$E$43))</f>
        <v>#NUM!</v>
      </c>
      <c r="I18" s="593" t="e">
        <f t="shared" si="2"/>
        <v>#NUM!</v>
      </c>
      <c r="J18" s="592" t="e">
        <f t="shared" si="3"/>
        <v>#NUM!</v>
      </c>
    </row>
    <row r="19" spans="2:10" ht="15.6" x14ac:dyDescent="0.3">
      <c r="B19" s="594">
        <v>17</v>
      </c>
      <c r="C19" s="595">
        <f>FV('ROI Number insert'!$F$8,16,,-'ROI Number insert'!$F$27)-'ROI Number insert'!$F$30-FV('ROI Number insert'!$F$7,16,,-SUM('ROI Number insert'!$F$32,'ROI Number insert'!$F$34,'ROI Number insert'!$F$35,'ROI Number insert'!$F$37,'ROI Number insert'!$F$38:$F$43))</f>
        <v>-33000.930584368201</v>
      </c>
      <c r="D19" s="593">
        <f t="shared" si="0"/>
        <v>-0.10958667259204424</v>
      </c>
      <c r="E19" s="596">
        <f t="shared" si="1"/>
        <v>-2750.0775486973503</v>
      </c>
      <c r="F19" s="1"/>
      <c r="G19" s="591">
        <v>17</v>
      </c>
      <c r="H19" s="595" t="e">
        <f>FV('ROI Number insert ARV'!$E$8,16,,-'ROI Number insert ARV'!$E$27)-'ROI Number insert ARV'!$E$30-FV('ROI Number insert ARV'!$E$7,16,,-SUM('ROI Number insert ARV'!$E$32,'ROI Number insert ARV'!$E$34,'ROI Number insert ARV'!$E$35,'ROI Number insert ARV'!$E$37,'ROI Number insert ARV'!$E$38:$E$43))</f>
        <v>#NUM!</v>
      </c>
      <c r="I19" s="593" t="e">
        <f t="shared" si="2"/>
        <v>#NUM!</v>
      </c>
      <c r="J19" s="592" t="e">
        <f t="shared" si="3"/>
        <v>#NUM!</v>
      </c>
    </row>
    <row r="20" spans="2:10" ht="15.6" x14ac:dyDescent="0.3">
      <c r="B20" s="594">
        <v>18</v>
      </c>
      <c r="C20" s="595">
        <f>FV('ROI Number insert'!$F$8,17,,-'ROI Number insert'!$F$27)-'ROI Number insert'!$F$30-FV('ROI Number insert'!$F$7,17,,-SUM('ROI Number insert'!$F$32,'ROI Number insert'!$F$34,'ROI Number insert'!$F$35,'ROI Number insert'!$F$37,'ROI Number insert'!$F$38:$F$43))</f>
        <v>-32963.354498019638</v>
      </c>
      <c r="D20" s="593">
        <f t="shared" si="0"/>
        <v>-0.10946189313282738</v>
      </c>
      <c r="E20" s="596">
        <f t="shared" si="1"/>
        <v>-2746.9462081683032</v>
      </c>
      <c r="G20" s="591">
        <v>18</v>
      </c>
      <c r="H20" s="595" t="e">
        <f>FV('ROI Number insert ARV'!$E$8,17,,-'ROI Number insert ARV'!$E$27)-'ROI Number insert ARV'!$E$30-FV('ROI Number insert ARV'!$E$7,17,,-SUM('ROI Number insert ARV'!$E$32,'ROI Number insert ARV'!$E$34,'ROI Number insert ARV'!$E$35,'ROI Number insert ARV'!$E$37,'ROI Number insert ARV'!$E$38:$E$43))</f>
        <v>#NUM!</v>
      </c>
      <c r="I20" s="593" t="e">
        <f t="shared" si="2"/>
        <v>#NUM!</v>
      </c>
      <c r="J20" s="592" t="e">
        <f t="shared" si="3"/>
        <v>#NUM!</v>
      </c>
    </row>
    <row r="21" spans="2:10" s="606" customFormat="1" ht="15.6" x14ac:dyDescent="0.3">
      <c r="B21" s="602">
        <v>19</v>
      </c>
      <c r="C21" s="603">
        <f>FV('ROI Number insert'!$F$8,18,,-'ROI Number insert'!$F$27)-'ROI Number insert'!$F$30-FV('ROI Number insert'!$F$7,18,,-SUM('ROI Number insert'!$F$32,'ROI Number insert'!$F$34,'ROI Number insert'!$F$35,'ROI Number insert'!$F$37,'ROI Number insert'!$F$38:$F$43))</f>
        <v>-32956.636125558878</v>
      </c>
      <c r="D21" s="604">
        <f t="shared" si="0"/>
        <v>-0.1094395833351892</v>
      </c>
      <c r="E21" s="605">
        <f t="shared" si="1"/>
        <v>-2746.3863437965733</v>
      </c>
      <c r="G21" s="591">
        <v>19</v>
      </c>
      <c r="H21" s="595" t="e">
        <f>FV('ROI Number insert ARV'!$E$8,18,,-'ROI Number insert ARV'!$E$27)-'ROI Number insert ARV'!$E$30-FV('ROI Number insert ARV'!$E$7,18,,-SUM('ROI Number insert ARV'!$E$32,'ROI Number insert ARV'!$E$34,'ROI Number insert ARV'!$E$35,'ROI Number insert ARV'!$E$37,'ROI Number insert ARV'!$E$38:$E$43))</f>
        <v>#NUM!</v>
      </c>
      <c r="I21" s="593" t="e">
        <f t="shared" si="2"/>
        <v>#NUM!</v>
      </c>
      <c r="J21" s="592" t="e">
        <f t="shared" si="3"/>
        <v>#NUM!</v>
      </c>
    </row>
    <row r="22" spans="2:10" ht="15.6" x14ac:dyDescent="0.3">
      <c r="B22" s="594">
        <v>20</v>
      </c>
      <c r="C22" s="595">
        <f>FV('ROI Number insert'!$F$8,19,,-'ROI Number insert'!$F$27)-'ROI Number insert'!$F$30-FV('ROI Number insert'!$F$7,19,,-SUM('ROI Number insert'!$F$32,'ROI Number insert'!$F$34,'ROI Number insert'!$F$35,'ROI Number insert'!$F$37,'ROI Number insert'!$F$38:$F$43))</f>
        <v>-32982.60957683481</v>
      </c>
      <c r="D22" s="593">
        <f t="shared" si="0"/>
        <v>-0.10952583375451554</v>
      </c>
      <c r="E22" s="596">
        <f t="shared" si="1"/>
        <v>-2748.5507980695675</v>
      </c>
      <c r="G22" s="591">
        <v>20</v>
      </c>
      <c r="H22" s="595" t="e">
        <f>FV('ROI Number insert ARV'!$E$8,19,,-'ROI Number insert ARV'!$E$27)-'ROI Number insert ARV'!$E$30-FV('ROI Number insert ARV'!$E$7,19,,-SUM('ROI Number insert ARV'!$E$32,'ROI Number insert ARV'!$E$34,'ROI Number insert ARV'!$E$35,'ROI Number insert ARV'!$E$37,'ROI Number insert ARV'!$E$38:$E$43))</f>
        <v>#NUM!</v>
      </c>
      <c r="I22" s="593" t="e">
        <f t="shared" si="2"/>
        <v>#NUM!</v>
      </c>
      <c r="J22" s="592" t="e">
        <f t="shared" si="3"/>
        <v>#NUM!</v>
      </c>
    </row>
    <row r="23" spans="2:10" ht="15.6" x14ac:dyDescent="0.3">
      <c r="B23" s="594">
        <v>21</v>
      </c>
      <c r="C23" s="595">
        <f>FV('ROI Number insert'!$F$8,20,,-'ROI Number insert'!$F$27)-'ROI Number insert'!$F$30-FV('ROI Number insert'!$F$7,20,,-SUM('ROI Number insert'!$F$32,'ROI Number insert'!$F$34,'ROI Number insert'!$F$35,'ROI Number insert'!$F$37,'ROI Number insert'!$F$38:$F$43))</f>
        <v>-33043.192496682801</v>
      </c>
      <c r="D23" s="593">
        <f t="shared" si="0"/>
        <v>-0.10972701234204291</v>
      </c>
      <c r="E23" s="596">
        <f t="shared" si="1"/>
        <v>-2753.5993747235666</v>
      </c>
      <c r="G23" s="591">
        <v>21</v>
      </c>
      <c r="H23" s="595" t="e">
        <f>FV('ROI Number insert ARV'!$E$8,20,,-'ROI Number insert ARV'!$E$27)-'ROI Number insert ARV'!$E$30-FV('ROI Number insert ARV'!$E$7,20,,-SUM('ROI Number insert ARV'!$E$32,'ROI Number insert ARV'!$E$34,'ROI Number insert ARV'!$E$35,'ROI Number insert ARV'!$E$37,'ROI Number insert ARV'!$E$38:$E$43))</f>
        <v>#NUM!</v>
      </c>
      <c r="I23" s="593" t="e">
        <f t="shared" si="2"/>
        <v>#NUM!</v>
      </c>
      <c r="J23" s="592" t="e">
        <f t="shared" si="3"/>
        <v>#NUM!</v>
      </c>
    </row>
    <row r="24" spans="2:10" ht="15.6" x14ac:dyDescent="0.3">
      <c r="B24" s="594">
        <v>22</v>
      </c>
      <c r="C24" s="595">
        <f>FV('ROI Number insert'!$F$8,21,,-'ROI Number insert'!$F$27)-'ROI Number insert'!$F$30-FV('ROI Number insert'!$F$7,21,,-SUM('ROI Number insert'!$F$32,'ROI Number insert'!$F$34,'ROI Number insert'!$F$35,'ROI Number insert'!$F$37,'ROI Number insert'!$F$38:$F$43))</f>
        <v>-33140.389539456883</v>
      </c>
      <c r="D24" s="593">
        <f t="shared" si="0"/>
        <v>-0.11004977598278835</v>
      </c>
      <c r="E24" s="596">
        <f t="shared" si="1"/>
        <v>-2761.6991282880736</v>
      </c>
      <c r="G24" s="591">
        <v>22</v>
      </c>
      <c r="H24" s="595" t="e">
        <f>FV('ROI Number insert ARV'!$E$8,21,,-'ROI Number insert ARV'!$E$27)-'ROI Number insert ARV'!$E$30-FV('ROI Number insert ARV'!$E$7,21,,-SUM('ROI Number insert ARV'!$E$32,'ROI Number insert ARV'!$E$34,'ROI Number insert ARV'!$E$35,'ROI Number insert ARV'!$E$37,'ROI Number insert ARV'!$E$38:$E$43))</f>
        <v>#NUM!</v>
      </c>
      <c r="I24" s="593" t="e">
        <f t="shared" si="2"/>
        <v>#NUM!</v>
      </c>
      <c r="J24" s="592" t="e">
        <f t="shared" si="3"/>
        <v>#NUM!</v>
      </c>
    </row>
    <row r="25" spans="2:10" ht="15.6" x14ac:dyDescent="0.3">
      <c r="B25" s="594">
        <v>23</v>
      </c>
      <c r="C25" s="595">
        <f>FV('ROI Number insert'!$F$8,22,,-'ROI Number insert'!$F$27)-'ROI Number insert'!$F$30-FV('ROI Number insert'!$F$7,22,,-SUM('ROI Number insert'!$F$32,'ROI Number insert'!$F$34,'ROI Number insert'!$F$35,'ROI Number insert'!$F$37,'ROI Number insert'!$F$38:$F$43))</f>
        <v>-33276.295982499912</v>
      </c>
      <c r="D25" s="593">
        <f t="shared" si="0"/>
        <v>-0.1105010824948526</v>
      </c>
      <c r="E25" s="596">
        <f t="shared" si="1"/>
        <v>-2773.024665208326</v>
      </c>
      <c r="G25" s="591">
        <v>23</v>
      </c>
      <c r="H25" s="595" t="e">
        <f>FV('ROI Number insert ARV'!$E$8,22,,-'ROI Number insert ARV'!$E$27)-'ROI Number insert ARV'!$E$30-FV('ROI Number insert ARV'!$E$7,22,,-SUM('ROI Number insert ARV'!$E$32,'ROI Number insert ARV'!$E$34,'ROI Number insert ARV'!$E$35,'ROI Number insert ARV'!$E$37,'ROI Number insert ARV'!$E$38:$E$43))</f>
        <v>#NUM!</v>
      </c>
      <c r="I25" s="593" t="e">
        <f t="shared" si="2"/>
        <v>#NUM!</v>
      </c>
      <c r="J25" s="592" t="e">
        <f t="shared" si="3"/>
        <v>#NUM!</v>
      </c>
    </row>
    <row r="26" spans="2:10" ht="15.6" x14ac:dyDescent="0.3">
      <c r="B26" s="594">
        <v>24</v>
      </c>
      <c r="C26" s="595">
        <f>FV('ROI Number insert'!$F$8,23,,-'ROI Number insert'!$F$27)-'ROI Number insert'!$F$30-FV('ROI Number insert'!$F$7,23,,-SUM('ROI Number insert'!$F$32,'ROI Number insert'!$F$34,'ROI Number insert'!$F$35,'ROI Number insert'!$F$37,'ROI Number insert'!$F$38:$F$43))</f>
        <v>-33453.101484004736</v>
      </c>
      <c r="D26" s="593">
        <f t="shared" si="0"/>
        <v>-0.11108820310820461</v>
      </c>
      <c r="E26" s="596">
        <f t="shared" si="1"/>
        <v>-2787.7584570003946</v>
      </c>
      <c r="G26" s="591">
        <v>24</v>
      </c>
      <c r="H26" s="595" t="e">
        <f>FV('ROI Number insert ARV'!$E$8,23,,-'ROI Number insert ARV'!$E$27)-'ROI Number insert ARV'!$E$30-FV('ROI Number insert ARV'!$E$7,23,,-SUM('ROI Number insert ARV'!$E$32,'ROI Number insert ARV'!$E$34,'ROI Number insert ARV'!$E$35,'ROI Number insert ARV'!$E$37,'ROI Number insert ARV'!$E$38:$E$43))</f>
        <v>#NUM!</v>
      </c>
      <c r="I26" s="593" t="e">
        <f t="shared" si="2"/>
        <v>#NUM!</v>
      </c>
      <c r="J26" s="592" t="e">
        <f t="shared" si="3"/>
        <v>#NUM!</v>
      </c>
    </row>
    <row r="27" spans="2:10" ht="15.6" x14ac:dyDescent="0.3">
      <c r="B27" s="594">
        <v>25</v>
      </c>
      <c r="C27" s="595">
        <f>FV('ROI Number insert'!$F$8,24,,-'ROI Number insert'!$F$27)-'ROI Number insert'!$F$30-FV('ROI Number insert'!$F$7,24,,-SUM('ROI Number insert'!$F$32,'ROI Number insert'!$F$34,'ROI Number insert'!$F$35,'ROI Number insert'!$F$37,'ROI Number insert'!$F$38:$F$43))</f>
        <v>-33673.093990930181</v>
      </c>
      <c r="D27" s="593">
        <f t="shared" si="0"/>
        <v>-0.11181873544175527</v>
      </c>
      <c r="E27" s="596">
        <f t="shared" si="1"/>
        <v>-2806.0911659108483</v>
      </c>
      <c r="G27" s="591">
        <v>25</v>
      </c>
      <c r="H27" s="595" t="e">
        <f>FV('ROI Number insert ARV'!$E$8,24,,-'ROI Number insert ARV'!$E$27)-'ROI Number insert ARV'!$E$30-FV('ROI Number insert ARV'!$E$7,24,,-SUM('ROI Number insert ARV'!$E$32,'ROI Number insert ARV'!$E$34,'ROI Number insert ARV'!$E$35,'ROI Number insert ARV'!$E$37,'ROI Number insert ARV'!$E$38:$E$43))</f>
        <v>#NUM!</v>
      </c>
      <c r="I27" s="593" t="e">
        <f t="shared" si="2"/>
        <v>#NUM!</v>
      </c>
      <c r="J27" s="592" t="e">
        <f t="shared" si="3"/>
        <v>#NUM!</v>
      </c>
    </row>
    <row r="28" spans="2:10" ht="15.6" x14ac:dyDescent="0.3">
      <c r="B28" s="594">
        <v>26</v>
      </c>
      <c r="C28" s="595">
        <f>FV('ROI Number insert'!$F$8,25,,-'ROI Number insert'!$F$27)-'ROI Number insert'!$F$30-FV('ROI Number insert'!$F$7,25,,-SUM('ROI Number insert'!$F$32,'ROI Number insert'!$F$34,'ROI Number insert'!$F$35,'ROI Number insert'!$F$37,'ROI Number insert'!$F$38:$F$43))</f>
        <v>-33938.663802857205</v>
      </c>
      <c r="D28" s="593">
        <f t="shared" si="0"/>
        <v>-0.11270061699826395</v>
      </c>
      <c r="E28" s="596">
        <f t="shared" si="1"/>
        <v>-2828.2219835714336</v>
      </c>
      <c r="G28" s="591">
        <v>26</v>
      </c>
      <c r="H28" s="595" t="e">
        <f>FV('ROI Number insert ARV'!$E$8,25,,-'ROI Number insert ARV'!$E$27)-'ROI Number insert ARV'!$E$30-FV('ROI Number insert ARV'!$E$7,25,,-SUM('ROI Number insert ARV'!$E$32,'ROI Number insert ARV'!$E$34,'ROI Number insert ARV'!$E$35,'ROI Number insert ARV'!$E$37,'ROI Number insert ARV'!$E$38:$E$43))</f>
        <v>#NUM!</v>
      </c>
      <c r="I28" s="593" t="e">
        <f t="shared" si="2"/>
        <v>#NUM!</v>
      </c>
      <c r="J28" s="592" t="e">
        <f t="shared" si="3"/>
        <v>#NUM!</v>
      </c>
    </row>
    <row r="29" spans="2:10" ht="15.6" x14ac:dyDescent="0.3">
      <c r="B29" s="594">
        <v>27</v>
      </c>
      <c r="C29" s="595">
        <f>FV('ROI Number insert'!$F$8,26,,-'ROI Number insert'!$F$27)-'ROI Number insert'!$F$30-FV('ROI Number insert'!$F$7,26,,-SUM('ROI Number insert'!$F$32,'ROI Number insert'!$F$34,'ROI Number insert'!$F$35,'ROI Number insert'!$F$37,'ROI Number insert'!$F$38:$F$43))</f>
        <v>-34252.307797898058</v>
      </c>
      <c r="D29" s="593">
        <f t="shared" si="0"/>
        <v>-0.11374213919737683</v>
      </c>
      <c r="E29" s="596">
        <f t="shared" si="1"/>
        <v>-2854.3589831581717</v>
      </c>
      <c r="G29" s="591">
        <v>27</v>
      </c>
      <c r="H29" s="595" t="e">
        <f>FV('ROI Number insert ARV'!$E$8,26,,-'ROI Number insert ARV'!$E$27)-'ROI Number insert ARV'!$E$30-FV('ROI Number insert ARV'!$E$7,26,,-SUM('ROI Number insert ARV'!$E$32,'ROI Number insert ARV'!$E$34,'ROI Number insert ARV'!$E$35,'ROI Number insert ARV'!$E$37,'ROI Number insert ARV'!$E$38:$E$43))</f>
        <v>#NUM!</v>
      </c>
      <c r="I29" s="593" t="e">
        <f t="shared" si="2"/>
        <v>#NUM!</v>
      </c>
      <c r="J29" s="592" t="e">
        <f t="shared" si="3"/>
        <v>#NUM!</v>
      </c>
    </row>
    <row r="30" spans="2:10" ht="15.6" x14ac:dyDescent="0.3">
      <c r="B30" s="594">
        <v>28</v>
      </c>
      <c r="C30" s="595">
        <f>FV('ROI Number insert'!$F$8,27,,-'ROI Number insert'!$F$27)-'ROI Number insert'!$F$30-FV('ROI Number insert'!$F$7,27,,-SUM('ROI Number insert'!$F$32,'ROI Number insert'!$F$34,'ROI Number insert'!$F$35,'ROI Number insert'!$F$37,'ROI Number insert'!$F$38:$F$43))</f>
        <v>-34616.633827009762</v>
      </c>
      <c r="D30" s="593">
        <f t="shared" si="0"/>
        <v>-0.1149519619678879</v>
      </c>
      <c r="E30" s="596">
        <f t="shared" si="1"/>
        <v>-2884.7194855841467</v>
      </c>
      <c r="G30" s="591">
        <v>28</v>
      </c>
      <c r="H30" s="595" t="e">
        <f>FV('ROI Number insert ARV'!$E$8,27,,-'ROI Number insert ARV'!$E$27)-'ROI Number insert ARV'!$E$30-FV('ROI Number insert ARV'!$E$7,27,,-SUM('ROI Number insert ARV'!$E$32,'ROI Number insert ARV'!$E$34,'ROI Number insert ARV'!$E$35,'ROI Number insert ARV'!$E$37,'ROI Number insert ARV'!$E$38:$E$43))</f>
        <v>#NUM!</v>
      </c>
      <c r="I30" s="593" t="e">
        <f t="shared" si="2"/>
        <v>#NUM!</v>
      </c>
      <c r="J30" s="592" t="e">
        <f t="shared" si="3"/>
        <v>#NUM!</v>
      </c>
    </row>
    <row r="31" spans="2:10" ht="15.6" x14ac:dyDescent="0.3">
      <c r="B31" s="594">
        <v>29</v>
      </c>
      <c r="C31" s="595">
        <f>FV('ROI Number insert'!$F$8,28,,-'ROI Number insert'!$F$27)-'ROI Number insert'!$F$30-FV('ROI Number insert'!$F$7,28,,-SUM('ROI Number insert'!$F$32,'ROI Number insert'!$F$34,'ROI Number insert'!$F$35,'ROI Number insert'!$F$37,'ROI Number insert'!$F$38:$F$43))</f>
        <v>-35034.365283309191</v>
      </c>
      <c r="D31" s="593">
        <f t="shared" si="0"/>
        <v>-0.11633912892113034</v>
      </c>
      <c r="E31" s="596">
        <f t="shared" si="1"/>
        <v>-2919.5304402757661</v>
      </c>
      <c r="G31" s="591">
        <v>29</v>
      </c>
      <c r="H31" s="595" t="e">
        <f>FV('ROI Number insert ARV'!$E$8,28,,-'ROI Number insert ARV'!$E$27)-'ROI Number insert ARV'!$E$30-FV('ROI Number insert ARV'!$E$7,28,,-SUM('ROI Number insert ARV'!$E$32,'ROI Number insert ARV'!$E$34,'ROI Number insert ARV'!$E$35,'ROI Number insert ARV'!$E$37,'ROI Number insert ARV'!$E$38:$E$43))</f>
        <v>#NUM!</v>
      </c>
      <c r="I31" s="593" t="e">
        <f t="shared" si="2"/>
        <v>#NUM!</v>
      </c>
      <c r="J31" s="592" t="e">
        <f t="shared" si="3"/>
        <v>#NUM!</v>
      </c>
    </row>
    <row r="32" spans="2:10" ht="15.6" x14ac:dyDescent="0.3">
      <c r="B32" s="594">
        <v>30</v>
      </c>
      <c r="C32" s="595">
        <f>FV('ROI Number insert'!$F$8,29,,-'ROI Number insert'!$F$27)-'ROI Number insert'!$F$30-FV('ROI Number insert'!$F$7,29,,-SUM('ROI Number insert'!$F$32,'ROI Number insert'!$F$34,'ROI Number insert'!$F$35,'ROI Number insert'!$F$37,'ROI Number insert'!$F$38:$F$43))</f>
        <v>-35508.345853244507</v>
      </c>
      <c r="D32" s="593">
        <f t="shared" si="0"/>
        <v>-0.11791308312826097</v>
      </c>
      <c r="E32" s="596">
        <f t="shared" si="1"/>
        <v>-2959.0288211037091</v>
      </c>
      <c r="G32" s="591">
        <v>30</v>
      </c>
      <c r="H32" s="595" t="e">
        <f>FV('ROI Number insert ARV'!$E$8,29,,-'ROI Number insert ARV'!$E$27)-'ROI Number insert ARV'!$E$30-FV('ROI Number insert ARV'!$E$7,29,,-SUM('ROI Number insert ARV'!$E$32,'ROI Number insert ARV'!$E$34,'ROI Number insert ARV'!$E$35,'ROI Number insert ARV'!$E$37,'ROI Number insert ARV'!$E$38:$E$43))</f>
        <v>#NUM!</v>
      </c>
      <c r="I32" s="593" t="e">
        <f t="shared" si="2"/>
        <v>#NUM!</v>
      </c>
      <c r="J32" s="592" t="e">
        <f t="shared" si="3"/>
        <v>#NUM!</v>
      </c>
    </row>
    <row r="33" spans="2:10" ht="15.6" x14ac:dyDescent="0.3">
      <c r="B33" s="594">
        <v>31</v>
      </c>
      <c r="C33" s="595">
        <f>FV('ROI Number insert'!$F$8,30,,-'ROI Number insert'!$F$27)-'ROI Number insert'!$F$30-FV('ROI Number insert'!$F$7,30,,-SUM('ROI Number insert'!$F$32,'ROI Number insert'!$F$34,'ROI Number insert'!$F$35,'ROI Number insert'!$F$37,'ROI Number insert'!$F$38:$F$43))+'PR Result'!C4*12</f>
        <v>39889.145788877227</v>
      </c>
      <c r="D33" s="593">
        <f t="shared" si="0"/>
        <v>0.13246046951211141</v>
      </c>
      <c r="E33" s="596">
        <f t="shared" si="1"/>
        <v>3324.0954824064356</v>
      </c>
      <c r="G33" s="591">
        <v>31</v>
      </c>
      <c r="H33" s="595" t="e">
        <f>FV('ROI Number insert ARV'!$E$8,30,,-'ROI Number insert ARV'!$E$27)-'ROI Number insert ARV'!$E$30-FV('ROI Number insert ARV'!$E$7,30,,-SUM('ROI Number insert ARV'!$E$32,'ROI Number insert ARV'!$E$34,'ROI Number insert ARV'!$E$35,'ROI Number insert ARV'!$E$37,'ROI Number insert ARV'!$E$38:$E$43))+'PR ARV result'!C3*12</f>
        <v>#NUM!</v>
      </c>
      <c r="I33" s="593" t="e">
        <f t="shared" si="2"/>
        <v>#NUM!</v>
      </c>
      <c r="J33" s="592" t="e">
        <f t="shared" si="3"/>
        <v>#NUM!</v>
      </c>
    </row>
    <row r="34" spans="2:10" ht="15.6" x14ac:dyDescent="0.3">
      <c r="B34" s="594">
        <v>32</v>
      </c>
      <c r="C34" s="595">
        <f>FV('ROI Number insert'!$F$8,31,,-'ROI Number insert'!$F$27)-'ROI Number insert'!$F$30-FV('ROI Number insert'!$F$7,31,,-SUM('ROI Number insert'!$F$32,'ROI Number insert'!$F$34,'ROI Number insert'!$F$35,'ROI Number insert'!$F$37,'ROI Number insert'!$F$38:$F$43))+'PR Result'!C4*12</f>
        <v>39293.629861892972</v>
      </c>
      <c r="D34" s="593">
        <f t="shared" si="0"/>
        <v>0.13048293106825057</v>
      </c>
      <c r="E34" s="596">
        <f t="shared" si="1"/>
        <v>3274.4691551577475</v>
      </c>
      <c r="G34" s="591">
        <v>32</v>
      </c>
      <c r="H34" s="595" t="e">
        <f>FV('ROI Number insert ARV'!$E$8,31,,-'ROI Number insert ARV'!$E$27)-'ROI Number insert ARV'!$E$30-FV('ROI Number insert ARV'!$E$7,31,,-SUM('ROI Number insert ARV'!$E$32,'ROI Number insert ARV'!$E$34,'ROI Number insert ARV'!$E$35,'ROI Number insert ARV'!$E$37,'ROI Number insert ARV'!$E$38:$E$43))+'PR ARV result'!C3*12</f>
        <v>#NUM!</v>
      </c>
      <c r="I34" s="593" t="e">
        <f t="shared" si="2"/>
        <v>#NUM!</v>
      </c>
      <c r="J34" s="592" t="e">
        <f t="shared" si="3"/>
        <v>#NUM!</v>
      </c>
    </row>
    <row r="35" spans="2:10" ht="15.6" x14ac:dyDescent="0.3">
      <c r="B35" s="594">
        <v>33</v>
      </c>
      <c r="C35" s="595">
        <f>FV('ROI Number insert'!$F$8,32,,-'ROI Number insert'!$F$27)-'ROI Number insert'!$F$30-FV('ROI Number insert'!$F$7,32,,-SUM('ROI Number insert'!$F$32,'ROI Number insert'!$F$34,'ROI Number insert'!$F$35,'ROI Number insert'!$F$37,'ROI Number insert'!$F$38:$F$43))+'PR Result'!C4*12</f>
        <v>38632.561610922727</v>
      </c>
      <c r="D35" s="593">
        <f t="shared" si="0"/>
        <v>0.12828771206389961</v>
      </c>
      <c r="E35" s="596">
        <f t="shared" si="1"/>
        <v>3219.3801342435604</v>
      </c>
      <c r="G35" s="591">
        <v>33</v>
      </c>
      <c r="H35" s="595" t="e">
        <f>FV('ROI Number insert ARV'!$E$8,32,,-'ROI Number insert ARV'!$E$27)-'ROI Number insert ARV'!$E$30-FV('ROI Number insert ARV'!$E$7,32,,-SUM('ROI Number insert ARV'!$E$32,'ROI Number insert ARV'!$E$34,'ROI Number insert ARV'!$E$35,'ROI Number insert ARV'!$E$37,'ROI Number insert ARV'!$E$38:$E$43))+'PR ARV result'!C3*12</f>
        <v>#NUM!</v>
      </c>
      <c r="I35" s="593" t="e">
        <f t="shared" si="2"/>
        <v>#NUM!</v>
      </c>
      <c r="J35" s="592" t="e">
        <f t="shared" si="3"/>
        <v>#NUM!</v>
      </c>
    </row>
    <row r="36" spans="2:10" ht="15.6" x14ac:dyDescent="0.3">
      <c r="B36" s="594">
        <v>34</v>
      </c>
      <c r="C36" s="595">
        <f>FV('ROI Number insert'!$F$8,33,,-'ROI Number insert'!$F$27)-'ROI Number insert'!$F$30-FV('ROI Number insert'!$F$7,33,,-SUM('ROI Number insert'!$F$32,'ROI Number insert'!$F$34,'ROI Number insert'!$F$35,'ROI Number insert'!$F$37,'ROI Number insert'!$F$38:$F$43))+'PR Result'!C4*12</f>
        <v>37902.564772277081</v>
      </c>
      <c r="D36" s="593">
        <f t="shared" si="0"/>
        <v>0.12586360089087162</v>
      </c>
      <c r="E36" s="596">
        <f t="shared" si="1"/>
        <v>3158.5470643564236</v>
      </c>
      <c r="G36" s="591">
        <v>34</v>
      </c>
      <c r="H36" s="595" t="e">
        <f>FV('ROI Number insert ARV'!$E$8,33,,-'ROI Number insert ARV'!$E$27)-'ROI Number insert ARV'!$E$30-FV('ROI Number insert ARV'!$E$7,33,,-SUM('ROI Number insert ARV'!$E$32,'ROI Number insert ARV'!$E$34,'ROI Number insert ARV'!$E$35,'ROI Number insert ARV'!$E$37,'ROI Number insert ARV'!$E$38:$E$43))+'PR ARV result'!C3*12</f>
        <v>#NUM!</v>
      </c>
      <c r="I36" s="593" t="e">
        <f t="shared" si="2"/>
        <v>#NUM!</v>
      </c>
      <c r="J36" s="592" t="e">
        <f t="shared" si="3"/>
        <v>#NUM!</v>
      </c>
    </row>
    <row r="37" spans="2:10" ht="16.2" thickBot="1" x14ac:dyDescent="0.35">
      <c r="B37" s="607">
        <v>35</v>
      </c>
      <c r="C37" s="608">
        <f>FV('ROI Number insert'!$F$8,34,,-'ROI Number insert'!$F$27)-'ROI Number insert'!$F$30-FV('ROI Number insert'!$F$7,34,,-SUM('ROI Number insert'!$F$32,'ROI Number insert'!$F$34,'ROI Number insert'!$F$35,'ROI Number insert'!$F$37,'ROI Number insert'!$F$38:$F$43))+'PR Result'!C4*12</f>
        <v>37100.116046130206</v>
      </c>
      <c r="D37" s="609">
        <f>C37/$C$39</f>
        <v>0.12319889767593215</v>
      </c>
      <c r="E37" s="596">
        <f t="shared" si="1"/>
        <v>3091.6763371775173</v>
      </c>
      <c r="G37" s="591">
        <v>35</v>
      </c>
      <c r="H37" s="595" t="e">
        <f>FV('ROI Number insert ARV'!$E$8,34,,-'ROI Number insert ARV'!$E$27)-'ROI Number insert ARV'!$E$30-FV('ROI Number insert ARV'!$E$7,34,,-SUM('ROI Number insert ARV'!$E$32,'ROI Number insert ARV'!$E$34,'ROI Number insert ARV'!$E$35,'ROI Number insert ARV'!$E$37,'ROI Number insert ARV'!$E$38:$E$43))+'PR ARV result'!C3*12</f>
        <v>#NUM!</v>
      </c>
      <c r="I37" s="593" t="e">
        <f t="shared" si="2"/>
        <v>#NUM!</v>
      </c>
      <c r="J37" s="592" t="e">
        <f t="shared" si="3"/>
        <v>#NUM!</v>
      </c>
    </row>
    <row r="38" spans="2:10" ht="15.6" x14ac:dyDescent="0.3">
      <c r="B38" s="610" t="s">
        <v>152</v>
      </c>
      <c r="C38" s="611">
        <f>SUM(C3:C37)</f>
        <v>-831345.88328615692</v>
      </c>
      <c r="G38" s="612" t="s">
        <v>152</v>
      </c>
      <c r="H38" s="613" t="e">
        <f>SUM(H3:H37)</f>
        <v>#NUM!</v>
      </c>
    </row>
    <row r="39" spans="2:10" ht="15.6" x14ac:dyDescent="0.3">
      <c r="B39" s="614" t="s">
        <v>21</v>
      </c>
      <c r="C39" s="615">
        <f>'ROI details'!C11</f>
        <v>301140</v>
      </c>
      <c r="G39" s="616" t="s">
        <v>21</v>
      </c>
      <c r="H39" s="617">
        <f>'ROI Detail ARV'!C11</f>
        <v>1331540</v>
      </c>
    </row>
    <row r="40" spans="2:10" ht="15.6" x14ac:dyDescent="0.3">
      <c r="B40" s="614" t="s">
        <v>153</v>
      </c>
      <c r="C40" s="618">
        <f>C38/C39/35</f>
        <v>-7.8876069344695571E-2</v>
      </c>
      <c r="G40" s="616" t="s">
        <v>153</v>
      </c>
      <c r="H40" s="619" t="e">
        <f>H38/H39/35</f>
        <v>#NUM!</v>
      </c>
    </row>
    <row r="41" spans="2:10" s="622" customFormat="1" ht="31.8" thickBot="1" x14ac:dyDescent="0.35">
      <c r="B41" s="620" t="s">
        <v>154</v>
      </c>
      <c r="C41" s="621" t="e">
        <f>RATE(34,,-C3,C37)</f>
        <v>#NUM!</v>
      </c>
      <c r="E41" s="623"/>
      <c r="G41" s="624" t="s">
        <v>154</v>
      </c>
      <c r="H41" s="625" t="e">
        <f>RATE(34,,-H3,H37)</f>
        <v>#NUM!</v>
      </c>
    </row>
    <row r="42" spans="2:10" x14ac:dyDescent="0.3"/>
    <row r="43" spans="2:10" x14ac:dyDescent="0.3"/>
    <row r="44" spans="2:10" x14ac:dyDescent="0.3"/>
  </sheetData>
  <sheetProtection algorithmName="SHA-512" hashValue="+6P9YDVzEYcPlKs3bGg28NY4FBwqHGv1bUHB6gSZyVwhf/u39mk6zEDJhIXP8pNWFTkZdLfVhxlIG1wjxJhQCQ==" saltValue="UsgehIb0X4pT6ssU7dsIOQ==" spinCount="100000" sheet="1" objects="1" scenarios="1"/>
  <hyperlinks>
    <hyperlink ref="A1" location="'Table of contents'!A1" display="Table of contents" xr:uid="{847B7000-5387-4FB0-A4EB-4BDFAD96EF15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6CAC-223D-424F-B9A6-D12DCAE06D87}">
  <sheetPr codeName="Sheet14">
    <tabColor theme="2" tint="-0.249977111117893"/>
  </sheetPr>
  <dimension ref="A1:I36"/>
  <sheetViews>
    <sheetView workbookViewId="0"/>
  </sheetViews>
  <sheetFormatPr defaultColWidth="0" defaultRowHeight="14.4" zeroHeight="1" x14ac:dyDescent="0.3"/>
  <cols>
    <col min="1" max="1" width="8.77734375" style="707" customWidth="1"/>
    <col min="2" max="2" width="28.44140625" style="854" customWidth="1"/>
    <col min="3" max="3" width="17.88671875" style="855" customWidth="1"/>
    <col min="4" max="4" width="25.5546875" style="854" customWidth="1"/>
    <col min="5" max="5" width="16" style="855" customWidth="1"/>
    <col min="6" max="6" width="12.77734375" style="856" customWidth="1"/>
    <col min="7" max="7" width="13.5546875" style="856" customWidth="1"/>
    <col min="8" max="8" width="26.33203125" style="707" customWidth="1"/>
    <col min="9" max="9" width="17.21875" style="707" hidden="1" customWidth="1"/>
    <col min="10" max="16384" width="8.77734375" style="707" hidden="1"/>
  </cols>
  <sheetData>
    <row r="1" spans="1:8" x14ac:dyDescent="0.3">
      <c r="A1" s="853" t="s">
        <v>454</v>
      </c>
    </row>
    <row r="2" spans="1:8" x14ac:dyDescent="0.3">
      <c r="B2" s="854" t="s">
        <v>324</v>
      </c>
    </row>
    <row r="3" spans="1:8" ht="15" thickBot="1" x14ac:dyDescent="0.35"/>
    <row r="4" spans="1:8" s="857" customFormat="1" ht="29.4" thickBot="1" x14ac:dyDescent="0.35">
      <c r="B4" s="858" t="s">
        <v>385</v>
      </c>
      <c r="C4" s="859">
        <f>'Mortgage payment schedule'!C3</f>
        <v>6327.5575204682691</v>
      </c>
      <c r="D4" s="858"/>
      <c r="E4" s="859"/>
      <c r="F4" s="860" t="s">
        <v>445</v>
      </c>
      <c r="G4" s="861" t="s">
        <v>446</v>
      </c>
      <c r="H4" s="707"/>
    </row>
    <row r="5" spans="1:8" x14ac:dyDescent="0.3">
      <c r="B5" s="862" t="s">
        <v>384</v>
      </c>
      <c r="C5" s="863">
        <f>SUM('Mortgage payment schedule'!E9:E20)</f>
        <v>19751.663828784745</v>
      </c>
      <c r="D5" s="864" t="s">
        <v>415</v>
      </c>
      <c r="E5" s="863">
        <f>SUM('Mortgage payment schedule'!D9:D20)</f>
        <v>56179.02641683448</v>
      </c>
      <c r="F5" s="865">
        <f>C5/(C5+E5)</f>
        <v>0.26012754216894934</v>
      </c>
      <c r="G5" s="866">
        <f>C5/'ROI details'!$I$3</f>
        <v>6.5589638801835506E-2</v>
      </c>
    </row>
    <row r="6" spans="1:8" x14ac:dyDescent="0.3">
      <c r="B6" s="867" t="s">
        <v>386</v>
      </c>
      <c r="C6" s="868">
        <f>SUM('Mortgage payment schedule'!E21:E32)</f>
        <v>20865.812924420865</v>
      </c>
      <c r="D6" s="869" t="s">
        <v>416</v>
      </c>
      <c r="E6" s="868">
        <f>SUM('Mortgage payment schedule'!D21:D32)</f>
        <v>55064.877321198372</v>
      </c>
      <c r="F6" s="870">
        <f t="shared" ref="F6:F34" si="0">C6/(C6+E6)</f>
        <v>0.27480078025004789</v>
      </c>
      <c r="G6" s="871">
        <f>C6/'ROI details'!$I$3</f>
        <v>6.9289409990107145E-2</v>
      </c>
    </row>
    <row r="7" spans="1:8" x14ac:dyDescent="0.3">
      <c r="B7" s="867" t="s">
        <v>387</v>
      </c>
      <c r="C7" s="868">
        <f>SUM('Mortgage payment schedule'!E33:E44)</f>
        <v>22042.808786692309</v>
      </c>
      <c r="D7" s="869" t="s">
        <v>417</v>
      </c>
      <c r="E7" s="868">
        <f>SUM('Mortgage payment schedule'!D33:D44)</f>
        <v>53887.881458926917</v>
      </c>
      <c r="F7" s="870">
        <f t="shared" si="0"/>
        <v>0.29030170429622898</v>
      </c>
      <c r="G7" s="871">
        <f>C7/'ROI details'!$I$3</f>
        <v>7.3197877355025268E-2</v>
      </c>
    </row>
    <row r="8" spans="1:8" x14ac:dyDescent="0.3">
      <c r="B8" s="867" t="s">
        <v>388</v>
      </c>
      <c r="C8" s="868">
        <f>SUM('Mortgage payment schedule'!E45:E56)</f>
        <v>23286.196467237107</v>
      </c>
      <c r="D8" s="869" t="s">
        <v>418</v>
      </c>
      <c r="E8" s="868">
        <f>SUM('Mortgage payment schedule'!D45:D56)</f>
        <v>52644.493778382122</v>
      </c>
      <c r="F8" s="870">
        <f t="shared" si="0"/>
        <v>0.30667700230185369</v>
      </c>
      <c r="G8" s="871">
        <f>C8/'ROI details'!$I$3</f>
        <v>7.7326813001385095E-2</v>
      </c>
    </row>
    <row r="9" spans="1:8" x14ac:dyDescent="0.3">
      <c r="B9" s="867" t="s">
        <v>389</v>
      </c>
      <c r="C9" s="868">
        <f>SUM('Mortgage payment schedule'!E57:E68)</f>
        <v>24599.720986471155</v>
      </c>
      <c r="D9" s="869" t="s">
        <v>419</v>
      </c>
      <c r="E9" s="868">
        <f>SUM('Mortgage payment schedule'!D57:D68)</f>
        <v>51330.969259148071</v>
      </c>
      <c r="F9" s="870">
        <f t="shared" si="0"/>
        <v>0.32397599583115105</v>
      </c>
      <c r="G9" s="871">
        <f>C9/'ROI details'!$I$3</f>
        <v>8.1688653073225592E-2</v>
      </c>
    </row>
    <row r="10" spans="1:8" x14ac:dyDescent="0.3">
      <c r="B10" s="867" t="s">
        <v>390</v>
      </c>
      <c r="C10" s="868">
        <f>SUM('Mortgage payment schedule'!E69:E80)</f>
        <v>25987.338613399144</v>
      </c>
      <c r="D10" s="869" t="s">
        <v>420</v>
      </c>
      <c r="E10" s="868">
        <f>SUM('Mortgage payment schedule'!D69:D80)</f>
        <v>49943.351632220096</v>
      </c>
      <c r="F10" s="870">
        <f t="shared" si="0"/>
        <v>0.34225078857225932</v>
      </c>
      <c r="G10" s="871">
        <f>C10/'ROI details'!$I$3</f>
        <v>8.6296535210862543E-2</v>
      </c>
    </row>
    <row r="11" spans="1:8" x14ac:dyDescent="0.3">
      <c r="B11" s="867" t="s">
        <v>391</v>
      </c>
      <c r="C11" s="868">
        <f>SUM('Mortgage payment schedule'!E81:E92)</f>
        <v>27453.228781695383</v>
      </c>
      <c r="D11" s="869" t="s">
        <v>421</v>
      </c>
      <c r="E11" s="868">
        <f>SUM('Mortgage payment schedule'!D81:D92)</f>
        <v>48477.46146392385</v>
      </c>
      <c r="F11" s="870">
        <f t="shared" si="0"/>
        <v>0.36155642327088261</v>
      </c>
      <c r="G11" s="871">
        <f>C11/'ROI details'!$I$3</f>
        <v>9.1164338120792263E-2</v>
      </c>
    </row>
    <row r="12" spans="1:8" x14ac:dyDescent="0.3">
      <c r="B12" s="867" t="s">
        <v>392</v>
      </c>
      <c r="C12" s="868">
        <f>SUM('Mortgage payment schedule'!E93:E104)</f>
        <v>29001.806677945417</v>
      </c>
      <c r="D12" s="869" t="s">
        <v>422</v>
      </c>
      <c r="E12" s="868">
        <f>SUM('Mortgage payment schedule'!D93:D104)</f>
        <v>46928.883567673816</v>
      </c>
      <c r="F12" s="870">
        <f t="shared" si="0"/>
        <v>0.38195104751624004</v>
      </c>
      <c r="G12" s="871">
        <f>C12/'ROI details'!$I$3</f>
        <v>9.6306723377649658E-2</v>
      </c>
    </row>
    <row r="13" spans="1:8" x14ac:dyDescent="0.3">
      <c r="B13" s="867" t="s">
        <v>393</v>
      </c>
      <c r="C13" s="868">
        <f>SUM('Mortgage payment schedule'!E105:E116)</f>
        <v>30637.736539963244</v>
      </c>
      <c r="D13" s="869" t="s">
        <v>423</v>
      </c>
      <c r="E13" s="868">
        <f>SUM('Mortgage payment schedule'!D105:D116)</f>
        <v>45292.953705655986</v>
      </c>
      <c r="F13" s="870">
        <f t="shared" si="0"/>
        <v>0.40349608887864502</v>
      </c>
      <c r="G13" s="871">
        <f>C13/'ROI details'!$I$3</f>
        <v>0.10173917958412447</v>
      </c>
    </row>
    <row r="14" spans="1:8" x14ac:dyDescent="0.3">
      <c r="B14" s="867" t="s">
        <v>394</v>
      </c>
      <c r="C14" s="868">
        <f>SUM('Mortgage payment schedule'!E117:E128)</f>
        <v>32365.945705238293</v>
      </c>
      <c r="D14" s="869" t="s">
        <v>424</v>
      </c>
      <c r="E14" s="868">
        <f>SUM('Mortgage payment schedule'!D117:D128)</f>
        <v>43564.74454038094</v>
      </c>
      <c r="F14" s="870">
        <f t="shared" si="0"/>
        <v>0.42625643992622103</v>
      </c>
      <c r="G14" s="871">
        <f>C14/'ROI details'!$I$3</f>
        <v>0.10747806902184463</v>
      </c>
    </row>
    <row r="15" spans="1:8" x14ac:dyDescent="0.3">
      <c r="B15" s="867" t="s">
        <v>395</v>
      </c>
      <c r="C15" s="868">
        <f>SUM('Mortgage payment schedule'!E129:E140)</f>
        <v>34191.639451825184</v>
      </c>
      <c r="D15" s="869" t="s">
        <v>425</v>
      </c>
      <c r="E15" s="868">
        <f>SUM('Mortgage payment schedule'!D129:D140)</f>
        <v>41739.050793794042</v>
      </c>
      <c r="F15" s="870">
        <f t="shared" si="0"/>
        <v>0.45030065367801464</v>
      </c>
      <c r="G15" s="871">
        <f>C15/'ROI details'!$I$3</f>
        <v>0.11354067693373575</v>
      </c>
    </row>
    <row r="16" spans="1:8" x14ac:dyDescent="0.3">
      <c r="B16" s="867" t="s">
        <v>396</v>
      </c>
      <c r="C16" s="868">
        <f>SUM('Mortgage payment schedule'!E141:E152)</f>
        <v>36120.316676376307</v>
      </c>
      <c r="D16" s="869" t="s">
        <v>426</v>
      </c>
      <c r="E16" s="868">
        <f>SUM('Mortgage payment schedule'!D141:D152)</f>
        <v>39810.373569242933</v>
      </c>
      <c r="F16" s="870">
        <f t="shared" si="0"/>
        <v>0.47570115008219926</v>
      </c>
      <c r="G16" s="871">
        <f>C16/'ROI details'!$I$3</f>
        <v>0.11994526358629311</v>
      </c>
    </row>
    <row r="17" spans="2:7" x14ac:dyDescent="0.3">
      <c r="B17" s="867" t="s">
        <v>397</v>
      </c>
      <c r="C17" s="868">
        <f>SUM('Mortgage payment schedule'!E153:E164)</f>
        <v>38157.786456538663</v>
      </c>
      <c r="D17" s="869" t="s">
        <v>427</v>
      </c>
      <c r="E17" s="868">
        <f>SUM('Mortgage payment schedule'!D153:D164)</f>
        <v>37772.90378908057</v>
      </c>
      <c r="F17" s="870">
        <f t="shared" si="0"/>
        <v>0.50253443414127463</v>
      </c>
      <c r="G17" s="871">
        <f>C17/'ROI details'!$I$3</f>
        <v>0.12671111926857495</v>
      </c>
    </row>
    <row r="18" spans="2:7" x14ac:dyDescent="0.3">
      <c r="B18" s="867" t="s">
        <v>398</v>
      </c>
      <c r="C18" s="868">
        <f>SUM('Mortgage payment schedule'!E165:E176)</f>
        <v>40310.185547600166</v>
      </c>
      <c r="D18" s="869" t="s">
        <v>428</v>
      </c>
      <c r="E18" s="868">
        <f>SUM('Mortgage payment schedule'!D165:D176)</f>
        <v>35620.504698019067</v>
      </c>
      <c r="F18" s="870">
        <f t="shared" si="0"/>
        <v>0.53088132634123963</v>
      </c>
      <c r="G18" s="871">
        <f>C18/'ROI details'!$I$3</f>
        <v>0.13385862239357166</v>
      </c>
    </row>
    <row r="19" spans="2:7" x14ac:dyDescent="0.3">
      <c r="B19" s="867" t="s">
        <v>399</v>
      </c>
      <c r="C19" s="868">
        <f>SUM('Mortgage payment schedule'!E177:E188)</f>
        <v>42583.996866084242</v>
      </c>
      <c r="D19" s="869" t="s">
        <v>429</v>
      </c>
      <c r="E19" s="868">
        <f>SUM('Mortgage payment schedule'!D177:D188)</f>
        <v>33346.693379534991</v>
      </c>
      <c r="F19" s="870">
        <f t="shared" si="0"/>
        <v>0.56082720607878445</v>
      </c>
      <c r="G19" s="871">
        <f>C19/'ROI details'!$I$3</f>
        <v>0.14140930087694839</v>
      </c>
    </row>
    <row r="20" spans="2:7" x14ac:dyDescent="0.3">
      <c r="B20" s="867" t="s">
        <v>400</v>
      </c>
      <c r="C20" s="868">
        <f>SUM('Mortgage payment schedule'!E189:E200)</f>
        <v>44986.0690159644</v>
      </c>
      <c r="D20" s="869" t="s">
        <v>430</v>
      </c>
      <c r="E20" s="868">
        <f>SUM('Mortgage payment schedule'!D189:D200)</f>
        <v>30944.621229654826</v>
      </c>
      <c r="F20" s="870">
        <f t="shared" si="0"/>
        <v>0.59246226881968644</v>
      </c>
      <c r="G20" s="871">
        <f>C20/'ROI details'!$I$3</f>
        <v>0.14938589697803148</v>
      </c>
    </row>
    <row r="21" spans="2:7" x14ac:dyDescent="0.3">
      <c r="B21" s="867" t="s">
        <v>401</v>
      </c>
      <c r="C21" s="868">
        <f>SUM('Mortgage payment schedule'!E201:E212)</f>
        <v>47523.636916310985</v>
      </c>
      <c r="D21" s="869" t="s">
        <v>431</v>
      </c>
      <c r="E21" s="868">
        <f>SUM('Mortgage payment schedule'!D201:D212)</f>
        <v>28407.053329308248</v>
      </c>
      <c r="F21" s="870">
        <f t="shared" si="0"/>
        <v>0.62588179776296482</v>
      </c>
      <c r="G21" s="871">
        <f>C21/'ROI details'!$I$3</f>
        <v>0.15781243579833626</v>
      </c>
    </row>
    <row r="22" spans="2:7" x14ac:dyDescent="0.3">
      <c r="B22" s="867" t="s">
        <v>402</v>
      </c>
      <c r="C22" s="868">
        <f>SUM('Mortgage payment schedule'!E213:E224)</f>
        <v>50204.343592499135</v>
      </c>
      <c r="D22" s="869" t="s">
        <v>432</v>
      </c>
      <c r="E22" s="868">
        <f>SUM('Mortgage payment schedule'!D213:D224)</f>
        <v>25726.346653120101</v>
      </c>
      <c r="F22" s="870">
        <f t="shared" si="0"/>
        <v>0.66118645082902616</v>
      </c>
      <c r="G22" s="871">
        <f>C22/'ROI details'!$I$3</f>
        <v>0.1667142976439501</v>
      </c>
    </row>
    <row r="23" spans="2:7" x14ac:dyDescent="0.3">
      <c r="B23" s="867" t="s">
        <v>403</v>
      </c>
      <c r="C23" s="868">
        <f>SUM('Mortgage payment schedule'!E225:E236)</f>
        <v>53036.263196612257</v>
      </c>
      <c r="D23" s="869" t="s">
        <v>433</v>
      </c>
      <c r="E23" s="868">
        <f>SUM('Mortgage payment schedule'!D225:D236)</f>
        <v>22894.427049006965</v>
      </c>
      <c r="F23" s="870">
        <f t="shared" si="0"/>
        <v>0.69848256383619745</v>
      </c>
      <c r="G23" s="871">
        <f>C23/'ROI details'!$I$3</f>
        <v>0.17611829446972257</v>
      </c>
    </row>
    <row r="24" spans="2:7" x14ac:dyDescent="0.3">
      <c r="B24" s="867" t="s">
        <v>404</v>
      </c>
      <c r="C24" s="868">
        <f>SUM('Mortgage payment schedule'!E237:E248)</f>
        <v>56027.925326377277</v>
      </c>
      <c r="D24" s="869" t="s">
        <v>434</v>
      </c>
      <c r="E24" s="868">
        <f>SUM('Mortgage payment schedule'!D237:D248)</f>
        <v>19902.764919241949</v>
      </c>
      <c r="F24" s="870">
        <f t="shared" si="0"/>
        <v>0.73788247077880054</v>
      </c>
      <c r="G24" s="871">
        <f>C24/'ROI details'!$I$3</f>
        <v>0.18605275063550933</v>
      </c>
    </row>
    <row r="25" spans="2:7" x14ac:dyDescent="0.3">
      <c r="B25" s="867" t="s">
        <v>405</v>
      </c>
      <c r="C25" s="868">
        <f>SUM('Mortgage payment schedule'!E249:E260)</f>
        <v>59188.340715878767</v>
      </c>
      <c r="D25" s="869" t="s">
        <v>435</v>
      </c>
      <c r="E25" s="868">
        <f>SUM('Mortgage payment schedule'!D249:D260)</f>
        <v>16742.349529740459</v>
      </c>
      <c r="F25" s="870">
        <f t="shared" si="0"/>
        <v>0.77950484217142502</v>
      </c>
      <c r="G25" s="871">
        <f>C25/'ROI details'!$I$3</f>
        <v>0.19654758821770196</v>
      </c>
    </row>
    <row r="26" spans="2:7" x14ac:dyDescent="0.3">
      <c r="B26" s="867" t="s">
        <v>406</v>
      </c>
      <c r="C26" s="868">
        <f>SUM('Mortgage payment schedule'!E261:E272)</f>
        <v>62527.028375431553</v>
      </c>
      <c r="D26" s="869" t="s">
        <v>436</v>
      </c>
      <c r="E26" s="868">
        <f>SUM('Mortgage payment schedule'!D261:D272)</f>
        <v>13403.661870187672</v>
      </c>
      <c r="F26" s="870">
        <f t="shared" si="0"/>
        <v>0.82347504247847947</v>
      </c>
      <c r="G26" s="871">
        <f>C26/'ROI details'!$I$3</f>
        <v>0.20763441713299977</v>
      </c>
    </row>
    <row r="27" spans="2:7" x14ac:dyDescent="0.3">
      <c r="B27" s="867" t="s">
        <v>407</v>
      </c>
      <c r="C27" s="868">
        <f>SUM('Mortgage payment schedule'!E273:E284)</f>
        <v>66054.04426235531</v>
      </c>
      <c r="D27" s="869" t="s">
        <v>437</v>
      </c>
      <c r="E27" s="868">
        <f>SUM('Mortgage payment schedule'!D273:D284)</f>
        <v>9876.6459832639175</v>
      </c>
      <c r="F27" s="870">
        <f t="shared" si="0"/>
        <v>0.8699255077055783</v>
      </c>
      <c r="G27" s="871">
        <f>C27/'ROI details'!$I$3</f>
        <v>0.21934663034587007</v>
      </c>
    </row>
    <row r="28" spans="2:7" x14ac:dyDescent="0.3">
      <c r="B28" s="867" t="s">
        <v>408</v>
      </c>
      <c r="C28" s="868">
        <f>SUM('Mortgage payment schedule'!E285:E296)</f>
        <v>69780.011569006208</v>
      </c>
      <c r="D28" s="869" t="s">
        <v>438</v>
      </c>
      <c r="E28" s="868">
        <f>SUM('Mortgage payment schedule'!D285:D296)</f>
        <v>6150.6786766130062</v>
      </c>
      <c r="F28" s="870">
        <f t="shared" si="0"/>
        <v>0.9189961442900505</v>
      </c>
      <c r="G28" s="871">
        <f>C28/'ROI details'!$I$3</f>
        <v>0.2317195044464575</v>
      </c>
    </row>
    <row r="29" spans="2:7" x14ac:dyDescent="0.3">
      <c r="B29" s="867" t="s">
        <v>409</v>
      </c>
      <c r="C29" s="868">
        <f>SUM('Mortgage payment schedule'!E297:E308)</f>
        <v>73716.152719291553</v>
      </c>
      <c r="D29" s="869" t="s">
        <v>439</v>
      </c>
      <c r="E29" s="868">
        <f>SUM('Mortgage payment schedule'!D297:D308)</f>
        <v>2214.5375263274609</v>
      </c>
      <c r="F29" s="870">
        <f t="shared" si="0"/>
        <v>0.97083475049200896</v>
      </c>
      <c r="G29" s="871">
        <f>C29/'ROI details'!$I$3</f>
        <v>0.24479030590187803</v>
      </c>
    </row>
    <row r="30" spans="2:7" x14ac:dyDescent="0.3">
      <c r="B30" s="867" t="s">
        <v>410</v>
      </c>
      <c r="C30" s="868">
        <f>SUM('Mortgage payment schedule'!E309:E320)</f>
        <v>0</v>
      </c>
      <c r="D30" s="869" t="s">
        <v>440</v>
      </c>
      <c r="E30" s="868">
        <f>SUM('Mortgage payment schedule'!D309:D320)</f>
        <v>0</v>
      </c>
      <c r="F30" s="870" t="e">
        <f t="shared" si="0"/>
        <v>#DIV/0!</v>
      </c>
      <c r="G30" s="871">
        <f>C30/'ROI details'!$I$3</f>
        <v>0</v>
      </c>
    </row>
    <row r="31" spans="2:7" x14ac:dyDescent="0.3">
      <c r="B31" s="867" t="s">
        <v>411</v>
      </c>
      <c r="C31" s="868">
        <f>SUM('Mortgage payment schedule'!E321:E332)</f>
        <v>0</v>
      </c>
      <c r="D31" s="869" t="s">
        <v>441</v>
      </c>
      <c r="E31" s="868">
        <f>SUM('Mortgage payment schedule'!D321:D332)</f>
        <v>0</v>
      </c>
      <c r="F31" s="870" t="e">
        <f t="shared" si="0"/>
        <v>#DIV/0!</v>
      </c>
      <c r="G31" s="871">
        <f>C31/'ROI details'!$I$3</f>
        <v>0</v>
      </c>
    </row>
    <row r="32" spans="2:7" x14ac:dyDescent="0.3">
      <c r="B32" s="867" t="s">
        <v>412</v>
      </c>
      <c r="C32" s="868">
        <f>SUM('Mortgage payment schedule'!E333:E344)</f>
        <v>0</v>
      </c>
      <c r="D32" s="869" t="s">
        <v>442</v>
      </c>
      <c r="E32" s="868">
        <f>SUM('Mortgage payment schedule'!D333:D344)</f>
        <v>0</v>
      </c>
      <c r="F32" s="870" t="e">
        <f t="shared" si="0"/>
        <v>#DIV/0!</v>
      </c>
      <c r="G32" s="871">
        <f>C32/'ROI details'!$I$3</f>
        <v>0</v>
      </c>
    </row>
    <row r="33" spans="2:7" x14ac:dyDescent="0.3">
      <c r="B33" s="867" t="s">
        <v>413</v>
      </c>
      <c r="C33" s="868">
        <f>SUM('Mortgage payment schedule'!E345:E356)</f>
        <v>0</v>
      </c>
      <c r="D33" s="869" t="s">
        <v>443</v>
      </c>
      <c r="E33" s="868">
        <f>SUM('Mortgage payment schedule'!D345:D356)</f>
        <v>0</v>
      </c>
      <c r="F33" s="870" t="e">
        <f t="shared" si="0"/>
        <v>#DIV/0!</v>
      </c>
      <c r="G33" s="871">
        <f>C33/'ROI details'!$I$3</f>
        <v>0</v>
      </c>
    </row>
    <row r="34" spans="2:7" ht="15" thickBot="1" x14ac:dyDescent="0.35">
      <c r="B34" s="872" t="s">
        <v>414</v>
      </c>
      <c r="C34" s="873">
        <f>SUM('Mortgage payment schedule'!E357:E368)</f>
        <v>0</v>
      </c>
      <c r="D34" s="874" t="s">
        <v>444</v>
      </c>
      <c r="E34" s="873">
        <f>SUM('Mortgage payment schedule'!D357:D368)</f>
        <v>0</v>
      </c>
      <c r="F34" s="875" t="e">
        <f t="shared" si="0"/>
        <v>#DIV/0!</v>
      </c>
      <c r="G34" s="876">
        <f>C34/'ROI details'!$I$3</f>
        <v>0</v>
      </c>
    </row>
    <row r="35" spans="2:7" x14ac:dyDescent="0.3"/>
    <row r="36" spans="2:7" x14ac:dyDescent="0.3"/>
  </sheetData>
  <sheetProtection algorithmName="SHA-512" hashValue="gZ5xanTBPaaYi4QwB53WWWSsgdvDJ7NWdVoF6Gh8GZsM83jGy+pYsaZ6FbaM+sEaqJWI9g3Y3400+s3j1ssRIw==" saltValue="BcPVzMaJaKbT6GpvuMZx+w==" spinCount="100000" sheet="1" objects="1" scenarios="1"/>
  <phoneticPr fontId="74" type="noConversion"/>
  <hyperlinks>
    <hyperlink ref="A1" location="'Table of contents'!A1" display="Table of contents" xr:uid="{1AA6B7E9-0AF3-486F-A268-7224F0FBA6DD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2D2C-4CC2-46C7-841A-DCE0542292E5}">
  <sheetPr>
    <tabColor theme="5"/>
  </sheetPr>
  <dimension ref="A1:C22"/>
  <sheetViews>
    <sheetView workbookViewId="0">
      <selection activeCell="C12" sqref="C12"/>
    </sheetView>
  </sheetViews>
  <sheetFormatPr defaultRowHeight="14.4" x14ac:dyDescent="0.3"/>
  <cols>
    <col min="2" max="2" width="23.6640625" customWidth="1"/>
    <col min="3" max="3" width="22.44140625" customWidth="1"/>
  </cols>
  <sheetData>
    <row r="1" spans="1:3" ht="21" x14ac:dyDescent="0.4">
      <c r="A1" s="1014" t="s">
        <v>536</v>
      </c>
    </row>
    <row r="2" spans="1:3" x14ac:dyDescent="0.3">
      <c r="A2" t="s">
        <v>140</v>
      </c>
      <c r="B2" t="s">
        <v>537</v>
      </c>
      <c r="C2" t="s">
        <v>538</v>
      </c>
    </row>
    <row r="3" spans="1:3" x14ac:dyDescent="0.3">
      <c r="A3">
        <v>1</v>
      </c>
      <c r="B3" s="1015">
        <f>'ROI Number insert'!F41</f>
        <v>1272</v>
      </c>
      <c r="C3" s="1015"/>
    </row>
    <row r="4" spans="1:3" x14ac:dyDescent="0.3">
      <c r="A4">
        <v>2</v>
      </c>
      <c r="B4" s="1016">
        <f>FV('ROI Number insert'!$F$8,RepairMentenance!A4,,-RepairMentenance!$B$3)</f>
        <v>1323.3887999999999</v>
      </c>
      <c r="C4" s="1015">
        <f>B3+B4</f>
        <v>2595.3887999999997</v>
      </c>
    </row>
    <row r="5" spans="1:3" x14ac:dyDescent="0.3">
      <c r="A5">
        <v>3</v>
      </c>
      <c r="B5" s="1016">
        <f>FV('ROI Number insert'!$F$8,RepairMentenance!A5,,-RepairMentenance!$B$3)</f>
        <v>1349.8565759999999</v>
      </c>
      <c r="C5" s="1015">
        <f>C4+B5</f>
        <v>3945.2453759999999</v>
      </c>
    </row>
    <row r="6" spans="1:3" x14ac:dyDescent="0.3">
      <c r="A6">
        <v>4</v>
      </c>
      <c r="B6" s="1016">
        <f>FV('ROI Number insert'!$F$8,RepairMentenance!A6,,-RepairMentenance!$B$3)</f>
        <v>1376.8537075199999</v>
      </c>
      <c r="C6" s="1015">
        <f t="shared" ref="C6:C22" si="0">C5+B6</f>
        <v>5322.09908352</v>
      </c>
    </row>
    <row r="7" spans="1:3" x14ac:dyDescent="0.3">
      <c r="A7">
        <v>5</v>
      </c>
      <c r="B7" s="1016">
        <f>FV('ROI Number insert'!$F$8,RepairMentenance!A7,,-RepairMentenance!$B$3)</f>
        <v>1404.3907816704</v>
      </c>
      <c r="C7" s="1015">
        <f t="shared" si="0"/>
        <v>6726.4898651904005</v>
      </c>
    </row>
    <row r="8" spans="1:3" x14ac:dyDescent="0.3">
      <c r="A8">
        <v>6</v>
      </c>
      <c r="B8" s="1016">
        <f>FV('ROI Number insert'!$F$8,RepairMentenance!A8,,-RepairMentenance!$B$3)</f>
        <v>1432.4785973038081</v>
      </c>
      <c r="C8" s="1015">
        <f t="shared" si="0"/>
        <v>8158.9684624942083</v>
      </c>
    </row>
    <row r="9" spans="1:3" x14ac:dyDescent="0.3">
      <c r="A9">
        <v>7</v>
      </c>
      <c r="B9" s="1016">
        <f>FV('ROI Number insert'!$F$8,RepairMentenance!A9,,-RepairMentenance!$B$3)</f>
        <v>1461.128169249884</v>
      </c>
      <c r="C9" s="1015">
        <f t="shared" si="0"/>
        <v>9620.0966317440925</v>
      </c>
    </row>
    <row r="10" spans="1:3" x14ac:dyDescent="0.3">
      <c r="A10">
        <v>8</v>
      </c>
      <c r="B10" s="1016">
        <f>FV('ROI Number insert'!$F$8,RepairMentenance!A10,,-RepairMentenance!$B$3)</f>
        <v>1490.3507326348818</v>
      </c>
      <c r="C10" s="1015">
        <f t="shared" si="0"/>
        <v>11110.447364378975</v>
      </c>
    </row>
    <row r="11" spans="1:3" x14ac:dyDescent="0.3">
      <c r="A11">
        <v>9</v>
      </c>
      <c r="B11" s="1016">
        <f>FV('ROI Number insert'!$F$8,RepairMentenance!A11,,-RepairMentenance!$B$3)</f>
        <v>1520.1577472875795</v>
      </c>
      <c r="C11" s="1015">
        <f t="shared" si="0"/>
        <v>12630.605111666555</v>
      </c>
    </row>
    <row r="12" spans="1:3" x14ac:dyDescent="0.3">
      <c r="A12">
        <v>10</v>
      </c>
      <c r="B12" s="1016">
        <f>FV('ROI Number insert'!$F$8,RepairMentenance!A12,,-RepairMentenance!$B$3)</f>
        <v>1550.560902233331</v>
      </c>
      <c r="C12" s="1015">
        <f t="shared" si="0"/>
        <v>14181.166013899885</v>
      </c>
    </row>
    <row r="13" spans="1:3" x14ac:dyDescent="0.3">
      <c r="A13">
        <v>11</v>
      </c>
      <c r="B13" s="1016">
        <f>FV('ROI Number insert'!$F$8,RepairMentenance!A13,,-RepairMentenance!$B$3)</f>
        <v>1581.5721202779973</v>
      </c>
      <c r="C13" s="1015">
        <f t="shared" si="0"/>
        <v>15762.738134177882</v>
      </c>
    </row>
    <row r="14" spans="1:3" x14ac:dyDescent="0.3">
      <c r="A14">
        <v>12</v>
      </c>
      <c r="B14" s="1016">
        <f>FV('ROI Number insert'!$F$8,RepairMentenance!A14,,-RepairMentenance!$B$3)</f>
        <v>1613.2035626835575</v>
      </c>
      <c r="C14" s="1015">
        <f t="shared" si="0"/>
        <v>17375.941696861439</v>
      </c>
    </row>
    <row r="15" spans="1:3" x14ac:dyDescent="0.3">
      <c r="A15">
        <v>13</v>
      </c>
      <c r="B15" s="1016">
        <f>FV('ROI Number insert'!$F$8,RepairMentenance!A15,,-RepairMentenance!$B$3)</f>
        <v>1645.4676339372286</v>
      </c>
      <c r="C15" s="1015">
        <f t="shared" si="0"/>
        <v>19021.409330798666</v>
      </c>
    </row>
    <row r="16" spans="1:3" x14ac:dyDescent="0.3">
      <c r="A16">
        <v>14</v>
      </c>
      <c r="B16" s="1016">
        <f>FV('ROI Number insert'!$F$8,RepairMentenance!A16,,-RepairMentenance!$B$3)</f>
        <v>1678.3769866159735</v>
      </c>
      <c r="C16" s="1015">
        <f t="shared" si="0"/>
        <v>20699.786317414641</v>
      </c>
    </row>
    <row r="17" spans="1:3" x14ac:dyDescent="0.3">
      <c r="A17">
        <v>15</v>
      </c>
      <c r="B17" s="1016">
        <f>FV('ROI Number insert'!$F$8,RepairMentenance!A17,,-RepairMentenance!$B$3)</f>
        <v>1711.9445263482924</v>
      </c>
      <c r="C17" s="1015">
        <f t="shared" si="0"/>
        <v>22411.730843762933</v>
      </c>
    </row>
    <row r="18" spans="1:3" x14ac:dyDescent="0.3">
      <c r="A18">
        <v>16</v>
      </c>
      <c r="B18" s="1016">
        <f>FV('ROI Number insert'!$F$8,RepairMentenance!A18,,-RepairMentenance!$B$3)</f>
        <v>1746.1834168752584</v>
      </c>
      <c r="C18" s="1015">
        <f t="shared" si="0"/>
        <v>24157.91426063819</v>
      </c>
    </row>
    <row r="19" spans="1:3" x14ac:dyDescent="0.3">
      <c r="A19">
        <v>17</v>
      </c>
      <c r="B19" s="1016">
        <f>FV('ROI Number insert'!$F$8,RepairMentenance!A19,,-RepairMentenance!$B$3)</f>
        <v>1781.1070852127639</v>
      </c>
      <c r="C19" s="1015">
        <f t="shared" si="0"/>
        <v>25939.021345850953</v>
      </c>
    </row>
    <row r="20" spans="1:3" x14ac:dyDescent="0.3">
      <c r="A20">
        <v>18</v>
      </c>
      <c r="B20" s="1016">
        <f>FV('ROI Number insert'!$F$8,RepairMentenance!A20,,-RepairMentenance!$B$3)</f>
        <v>1816.7292269170189</v>
      </c>
      <c r="C20" s="1015">
        <f t="shared" si="0"/>
        <v>27755.750572767971</v>
      </c>
    </row>
    <row r="21" spans="1:3" x14ac:dyDescent="0.3">
      <c r="A21">
        <v>19</v>
      </c>
      <c r="B21" s="1016">
        <f>FV('ROI Number insert'!$F$8,RepairMentenance!A21,,-RepairMentenance!$B$3)</f>
        <v>1853.0638114553592</v>
      </c>
      <c r="C21" s="1015">
        <f t="shared" si="0"/>
        <v>29608.814384223329</v>
      </c>
    </row>
    <row r="22" spans="1:3" x14ac:dyDescent="0.3">
      <c r="A22">
        <v>20</v>
      </c>
      <c r="B22" s="1016">
        <f>FV('ROI Number insert'!$F$8,RepairMentenance!A22,,-RepairMentenance!$B$3)</f>
        <v>1890.1250876844665</v>
      </c>
      <c r="C22" s="1015">
        <f t="shared" si="0"/>
        <v>31498.939471907797</v>
      </c>
    </row>
  </sheetData>
  <phoneticPr fontId="7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FC8-2F47-401C-8524-EFE21D596808}">
  <sheetPr codeName="Sheet13">
    <tabColor theme="2" tint="-0.249977111117893"/>
  </sheetPr>
  <dimension ref="A1:I371"/>
  <sheetViews>
    <sheetView workbookViewId="0">
      <selection activeCell="G19" sqref="G19"/>
    </sheetView>
  </sheetViews>
  <sheetFormatPr defaultColWidth="0" defaultRowHeight="14.4" x14ac:dyDescent="0.3"/>
  <cols>
    <col min="1" max="1" width="13.77734375" style="581" customWidth="1"/>
    <col min="2" max="2" width="10.6640625" style="581" customWidth="1"/>
    <col min="3" max="3" width="12.21875" style="581" customWidth="1"/>
    <col min="4" max="4" width="16.21875" style="877" customWidth="1"/>
    <col min="5" max="5" width="16.6640625" style="877" customWidth="1"/>
    <col min="6" max="6" width="12.77734375" style="877" customWidth="1"/>
    <col min="7" max="7" width="16.109375" style="581" customWidth="1"/>
    <col min="8" max="8" width="8.77734375" style="581" customWidth="1"/>
    <col min="9" max="9" width="26.44140625" style="581" customWidth="1"/>
    <col min="10" max="16384" width="8.77734375" style="581" hidden="1"/>
  </cols>
  <sheetData>
    <row r="1" spans="1:9" x14ac:dyDescent="0.3">
      <c r="A1" s="626" t="s">
        <v>454</v>
      </c>
    </row>
    <row r="2" spans="1:9" ht="15.6" x14ac:dyDescent="0.3">
      <c r="A2" s="983" t="s">
        <v>109</v>
      </c>
      <c r="B2" s="983"/>
      <c r="C2" s="877">
        <f>'ROI Number insert'!F12</f>
        <v>1030400</v>
      </c>
    </row>
    <row r="3" spans="1:9" ht="15.6" x14ac:dyDescent="0.3">
      <c r="A3" s="983" t="s">
        <v>161</v>
      </c>
      <c r="B3" s="983"/>
      <c r="C3" s="877">
        <f>'Mortgage Caculator'!C11</f>
        <v>6327.5575204682691</v>
      </c>
      <c r="I3" s="1"/>
    </row>
    <row r="4" spans="1:9" ht="15.6" x14ac:dyDescent="0.3">
      <c r="A4" s="983" t="s">
        <v>167</v>
      </c>
      <c r="B4" s="983"/>
      <c r="C4" s="878">
        <f>'ROI Number insert'!F5</f>
        <v>5.5E-2</v>
      </c>
      <c r="I4" s="1"/>
    </row>
    <row r="5" spans="1:9" ht="15.6" x14ac:dyDescent="0.3">
      <c r="A5" s="983" t="s">
        <v>168</v>
      </c>
      <c r="B5" s="983"/>
      <c r="C5" s="581">
        <f>'ROI Number insert'!F4</f>
        <v>25</v>
      </c>
      <c r="I5" s="1"/>
    </row>
    <row r="6" spans="1:9" ht="15.6" x14ac:dyDescent="0.3">
      <c r="A6" s="983" t="s">
        <v>169</v>
      </c>
      <c r="B6" s="983"/>
      <c r="C6" s="581">
        <f>'Mortgage Caculator'!C6</f>
        <v>12</v>
      </c>
      <c r="I6" s="1"/>
    </row>
    <row r="7" spans="1:9" ht="18" x14ac:dyDescent="0.35">
      <c r="A7" s="982" t="s">
        <v>170</v>
      </c>
      <c r="B7" s="982"/>
      <c r="C7" s="982"/>
      <c r="D7" s="982"/>
      <c r="E7" s="982"/>
      <c r="F7" s="982"/>
      <c r="G7" s="982"/>
      <c r="I7" s="1"/>
    </row>
    <row r="8" spans="1:9" s="881" customFormat="1" ht="31.2" x14ac:dyDescent="0.3">
      <c r="A8" s="879" t="s">
        <v>171</v>
      </c>
      <c r="B8" s="879" t="s">
        <v>172</v>
      </c>
      <c r="C8" s="879" t="s">
        <v>173</v>
      </c>
      <c r="D8" s="880" t="s">
        <v>174</v>
      </c>
      <c r="E8" s="880" t="s">
        <v>175</v>
      </c>
      <c r="F8" s="880" t="s">
        <v>176</v>
      </c>
      <c r="G8" s="879" t="s">
        <v>177</v>
      </c>
      <c r="I8" s="1"/>
    </row>
    <row r="9" spans="1:9" x14ac:dyDescent="0.3">
      <c r="B9" s="581">
        <v>0</v>
      </c>
      <c r="C9" s="877">
        <f>IF($C$3&lt;G9+(G9*($C$4/$C$6)),$C$3,G9+(G9*($C$4/$C$6)))</f>
        <v>6327.5575204682691</v>
      </c>
      <c r="D9" s="877">
        <f>G9*$C$4/$C$6</f>
        <v>4722.666666666667</v>
      </c>
      <c r="E9" s="877">
        <f>C9-D9</f>
        <v>1604.8908538016021</v>
      </c>
      <c r="G9" s="877">
        <f>C2</f>
        <v>1030400</v>
      </c>
      <c r="I9" s="1"/>
    </row>
    <row r="10" spans="1:9" x14ac:dyDescent="0.3">
      <c r="B10" s="581">
        <v>1</v>
      </c>
      <c r="C10" s="877">
        <f t="shared" ref="C10:C73" si="0">IF($C$3&lt;G10+(G10*($C$4/$C$6)),$C$3,G10+(G10*($C$4/$C$6)))</f>
        <v>6327.5575204682691</v>
      </c>
      <c r="D10" s="877">
        <f t="shared" ref="D10:D73" si="1">G10*$C$4/$C$6</f>
        <v>4715.3109169200761</v>
      </c>
      <c r="E10" s="877">
        <f t="shared" ref="E10:E73" si="2">C10-D10</f>
        <v>1612.246603548193</v>
      </c>
      <c r="G10" s="877">
        <f>G9-E9-F9</f>
        <v>1028795.1091461984</v>
      </c>
      <c r="I10" s="1"/>
    </row>
    <row r="11" spans="1:9" x14ac:dyDescent="0.3">
      <c r="B11" s="581">
        <v>2</v>
      </c>
      <c r="C11" s="877">
        <f t="shared" si="0"/>
        <v>6327.5575204682691</v>
      </c>
      <c r="D11" s="877">
        <f t="shared" si="1"/>
        <v>4707.9214533204804</v>
      </c>
      <c r="E11" s="877">
        <f t="shared" si="2"/>
        <v>1619.6360671477887</v>
      </c>
      <c r="G11" s="877">
        <f t="shared" ref="G11:G74" si="3">G10-E10-F10</f>
        <v>1027182.8625426502</v>
      </c>
      <c r="I11" s="1"/>
    </row>
    <row r="12" spans="1:9" x14ac:dyDescent="0.3">
      <c r="B12" s="581">
        <v>3</v>
      </c>
      <c r="C12" s="877">
        <f t="shared" si="0"/>
        <v>6327.5575204682691</v>
      </c>
      <c r="D12" s="877">
        <f t="shared" si="1"/>
        <v>4700.4981213460524</v>
      </c>
      <c r="E12" s="877">
        <f t="shared" si="2"/>
        <v>1627.0593991222167</v>
      </c>
      <c r="G12" s="877">
        <f t="shared" si="3"/>
        <v>1025563.2264755024</v>
      </c>
      <c r="I12" s="1"/>
    </row>
    <row r="13" spans="1:9" x14ac:dyDescent="0.3">
      <c r="B13" s="581">
        <v>4</v>
      </c>
      <c r="C13" s="877">
        <f t="shared" si="0"/>
        <v>6327.5575204682691</v>
      </c>
      <c r="D13" s="877">
        <f t="shared" si="1"/>
        <v>4693.040765766742</v>
      </c>
      <c r="E13" s="877">
        <f t="shared" si="2"/>
        <v>1634.5167547015271</v>
      </c>
      <c r="G13" s="877">
        <f t="shared" si="3"/>
        <v>1023936.1670763801</v>
      </c>
      <c r="I13" s="1"/>
    </row>
    <row r="14" spans="1:9" x14ac:dyDescent="0.3">
      <c r="B14" s="581">
        <v>5</v>
      </c>
      <c r="C14" s="877">
        <f t="shared" si="0"/>
        <v>6327.5575204682691</v>
      </c>
      <c r="D14" s="877">
        <f t="shared" si="1"/>
        <v>4685.549230641027</v>
      </c>
      <c r="E14" s="877">
        <f t="shared" si="2"/>
        <v>1642.0082898272422</v>
      </c>
      <c r="G14" s="877">
        <f t="shared" si="3"/>
        <v>1022301.6503216786</v>
      </c>
      <c r="I14" s="1"/>
    </row>
    <row r="15" spans="1:9" x14ac:dyDescent="0.3">
      <c r="B15" s="581">
        <v>6</v>
      </c>
      <c r="C15" s="877">
        <f t="shared" si="0"/>
        <v>6327.5575204682691</v>
      </c>
      <c r="D15" s="877">
        <f t="shared" si="1"/>
        <v>4678.0233593126522</v>
      </c>
      <c r="E15" s="877">
        <f t="shared" si="2"/>
        <v>1649.5341611556169</v>
      </c>
      <c r="G15" s="877">
        <f t="shared" si="3"/>
        <v>1020659.6420318513</v>
      </c>
      <c r="I15" s="1"/>
    </row>
    <row r="16" spans="1:9" x14ac:dyDescent="0.3">
      <c r="B16" s="581">
        <v>7</v>
      </c>
      <c r="C16" s="877">
        <f t="shared" si="0"/>
        <v>6327.5575204682691</v>
      </c>
      <c r="D16" s="877">
        <f t="shared" si="1"/>
        <v>4670.4629944073558</v>
      </c>
      <c r="E16" s="877">
        <f t="shared" si="2"/>
        <v>1657.0945260609133</v>
      </c>
      <c r="G16" s="877">
        <f t="shared" si="3"/>
        <v>1019010.1078706958</v>
      </c>
      <c r="I16" s="1"/>
    </row>
    <row r="17" spans="2:9" x14ac:dyDescent="0.3">
      <c r="B17" s="581">
        <v>8</v>
      </c>
      <c r="C17" s="877">
        <f t="shared" si="0"/>
        <v>6327.5575204682691</v>
      </c>
      <c r="D17" s="877">
        <f t="shared" si="1"/>
        <v>4662.8679778295764</v>
      </c>
      <c r="E17" s="877">
        <f t="shared" si="2"/>
        <v>1664.6895426386927</v>
      </c>
      <c r="G17" s="877">
        <f t="shared" si="3"/>
        <v>1017353.0133446349</v>
      </c>
      <c r="I17" s="1"/>
    </row>
    <row r="18" spans="2:9" x14ac:dyDescent="0.3">
      <c r="B18" s="581">
        <v>9</v>
      </c>
      <c r="C18" s="877">
        <f t="shared" si="0"/>
        <v>6327.5575204682691</v>
      </c>
      <c r="D18" s="877">
        <f t="shared" si="1"/>
        <v>4655.238150759149</v>
      </c>
      <c r="E18" s="877">
        <f t="shared" si="2"/>
        <v>1672.3193697091201</v>
      </c>
      <c r="G18" s="877">
        <f t="shared" si="3"/>
        <v>1015688.3238019962</v>
      </c>
    </row>
    <row r="19" spans="2:9" x14ac:dyDescent="0.3">
      <c r="B19" s="581">
        <v>10</v>
      </c>
      <c r="C19" s="877">
        <f t="shared" si="0"/>
        <v>6327.5575204682691</v>
      </c>
      <c r="D19" s="877">
        <f t="shared" si="1"/>
        <v>4647.5733536479829</v>
      </c>
      <c r="E19" s="877">
        <f t="shared" si="2"/>
        <v>1679.9841668202862</v>
      </c>
      <c r="G19" s="877">
        <f t="shared" si="3"/>
        <v>1014016.0044322871</v>
      </c>
    </row>
    <row r="20" spans="2:9" x14ac:dyDescent="0.3">
      <c r="B20" s="581">
        <v>11</v>
      </c>
      <c r="C20" s="877">
        <f t="shared" si="0"/>
        <v>6327.5575204682691</v>
      </c>
      <c r="D20" s="877">
        <f t="shared" si="1"/>
        <v>4639.8734262167227</v>
      </c>
      <c r="E20" s="877">
        <f t="shared" si="2"/>
        <v>1687.6840942515464</v>
      </c>
      <c r="G20" s="877">
        <f t="shared" si="3"/>
        <v>1012336.0202654668</v>
      </c>
    </row>
    <row r="21" spans="2:9" x14ac:dyDescent="0.3">
      <c r="B21" s="581">
        <v>12</v>
      </c>
      <c r="C21" s="877">
        <f t="shared" si="0"/>
        <v>6327.5575204682691</v>
      </c>
      <c r="D21" s="877">
        <f t="shared" si="1"/>
        <v>4632.1382074514031</v>
      </c>
      <c r="E21" s="877">
        <f t="shared" si="2"/>
        <v>1695.419313016866</v>
      </c>
      <c r="G21" s="877">
        <f t="shared" si="3"/>
        <v>1010648.3361712152</v>
      </c>
    </row>
    <row r="22" spans="2:9" x14ac:dyDescent="0.3">
      <c r="B22" s="581">
        <v>13</v>
      </c>
      <c r="C22" s="877">
        <f t="shared" si="0"/>
        <v>6327.5575204682691</v>
      </c>
      <c r="D22" s="877">
        <f t="shared" si="1"/>
        <v>4624.3675356000758</v>
      </c>
      <c r="E22" s="877">
        <f t="shared" si="2"/>
        <v>1703.1899848681933</v>
      </c>
      <c r="G22" s="877">
        <f t="shared" si="3"/>
        <v>1008952.9168581984</v>
      </c>
    </row>
    <row r="23" spans="2:9" x14ac:dyDescent="0.3">
      <c r="B23" s="581">
        <v>14</v>
      </c>
      <c r="C23" s="877">
        <f t="shared" si="0"/>
        <v>6327.5575204682691</v>
      </c>
      <c r="D23" s="877">
        <f t="shared" si="1"/>
        <v>4616.5612481694307</v>
      </c>
      <c r="E23" s="877">
        <f t="shared" si="2"/>
        <v>1710.9962722988384</v>
      </c>
      <c r="G23" s="877">
        <f t="shared" si="3"/>
        <v>1007249.7268733302</v>
      </c>
    </row>
    <row r="24" spans="2:9" x14ac:dyDescent="0.3">
      <c r="B24" s="581">
        <v>15</v>
      </c>
      <c r="C24" s="877">
        <f t="shared" si="0"/>
        <v>6327.5575204682691</v>
      </c>
      <c r="D24" s="877">
        <f t="shared" si="1"/>
        <v>4608.719181921394</v>
      </c>
      <c r="E24" s="877">
        <f t="shared" si="2"/>
        <v>1718.8383385468751</v>
      </c>
      <c r="G24" s="877">
        <f t="shared" si="3"/>
        <v>1005538.7306010313</v>
      </c>
    </row>
    <row r="25" spans="2:9" x14ac:dyDescent="0.3">
      <c r="B25" s="581">
        <v>16</v>
      </c>
      <c r="C25" s="877">
        <f t="shared" si="0"/>
        <v>6327.5575204682691</v>
      </c>
      <c r="D25" s="877">
        <f t="shared" si="1"/>
        <v>4600.8411728697201</v>
      </c>
      <c r="E25" s="877">
        <f t="shared" si="2"/>
        <v>1726.716347598549</v>
      </c>
      <c r="G25" s="877">
        <f t="shared" si="3"/>
        <v>1003819.8922624844</v>
      </c>
    </row>
    <row r="26" spans="2:9" x14ac:dyDescent="0.3">
      <c r="B26" s="581">
        <v>17</v>
      </c>
      <c r="C26" s="877">
        <f t="shared" si="0"/>
        <v>6327.5575204682691</v>
      </c>
      <c r="D26" s="877">
        <f t="shared" si="1"/>
        <v>4592.9270562765605</v>
      </c>
      <c r="E26" s="877">
        <f t="shared" si="2"/>
        <v>1734.6304641917086</v>
      </c>
      <c r="G26" s="877">
        <f t="shared" si="3"/>
        <v>1002093.1759148858</v>
      </c>
    </row>
    <row r="27" spans="2:9" x14ac:dyDescent="0.3">
      <c r="B27" s="581">
        <v>18</v>
      </c>
      <c r="C27" s="877">
        <f t="shared" si="0"/>
        <v>6327.5575204682691</v>
      </c>
      <c r="D27" s="877">
        <f t="shared" si="1"/>
        <v>4584.976666649015</v>
      </c>
      <c r="E27" s="877">
        <f t="shared" si="2"/>
        <v>1742.5808538192541</v>
      </c>
      <c r="G27" s="877">
        <f t="shared" si="3"/>
        <v>1000358.5454506942</v>
      </c>
    </row>
    <row r="28" spans="2:9" x14ac:dyDescent="0.3">
      <c r="B28" s="581">
        <v>19</v>
      </c>
      <c r="C28" s="877">
        <f t="shared" si="0"/>
        <v>6327.5575204682691</v>
      </c>
      <c r="D28" s="877">
        <f t="shared" si="1"/>
        <v>4576.9898377356767</v>
      </c>
      <c r="E28" s="877">
        <f t="shared" si="2"/>
        <v>1750.5676827325924</v>
      </c>
      <c r="G28" s="877">
        <f t="shared" si="3"/>
        <v>998615.9645968749</v>
      </c>
    </row>
    <row r="29" spans="2:9" x14ac:dyDescent="0.3">
      <c r="B29" s="581">
        <v>20</v>
      </c>
      <c r="C29" s="877">
        <f t="shared" si="0"/>
        <v>6327.5575204682691</v>
      </c>
      <c r="D29" s="877">
        <f t="shared" si="1"/>
        <v>4568.9664025231523</v>
      </c>
      <c r="E29" s="877">
        <f t="shared" si="2"/>
        <v>1758.5911179451168</v>
      </c>
      <c r="G29" s="877">
        <f t="shared" si="3"/>
        <v>996865.3969141423</v>
      </c>
    </row>
    <row r="30" spans="2:9" x14ac:dyDescent="0.3">
      <c r="B30" s="581">
        <v>21</v>
      </c>
      <c r="C30" s="877">
        <f t="shared" si="0"/>
        <v>6327.5575204682691</v>
      </c>
      <c r="D30" s="877">
        <f t="shared" si="1"/>
        <v>4560.9061932325703</v>
      </c>
      <c r="E30" s="877">
        <f t="shared" si="2"/>
        <v>1766.6513272356988</v>
      </c>
      <c r="G30" s="877">
        <f t="shared" si="3"/>
        <v>995106.80579619715</v>
      </c>
    </row>
    <row r="31" spans="2:9" x14ac:dyDescent="0.3">
      <c r="B31" s="581">
        <v>22</v>
      </c>
      <c r="C31" s="877">
        <f t="shared" si="0"/>
        <v>6327.5575204682691</v>
      </c>
      <c r="D31" s="877">
        <f t="shared" si="1"/>
        <v>4552.8090413160726</v>
      </c>
      <c r="E31" s="877">
        <f t="shared" si="2"/>
        <v>1774.7484791521965</v>
      </c>
      <c r="G31" s="877">
        <f t="shared" si="3"/>
        <v>993340.15446896141</v>
      </c>
    </row>
    <row r="32" spans="2:9" x14ac:dyDescent="0.3">
      <c r="B32" s="581">
        <v>23</v>
      </c>
      <c r="C32" s="877">
        <f t="shared" si="0"/>
        <v>6327.5575204682691</v>
      </c>
      <c r="D32" s="877">
        <f t="shared" si="1"/>
        <v>4544.6747774532923</v>
      </c>
      <c r="E32" s="877">
        <f t="shared" si="2"/>
        <v>1782.8827430149768</v>
      </c>
      <c r="G32" s="877">
        <f t="shared" si="3"/>
        <v>991565.40598980919</v>
      </c>
    </row>
    <row r="33" spans="2:7" x14ac:dyDescent="0.3">
      <c r="B33" s="581">
        <v>24</v>
      </c>
      <c r="C33" s="877">
        <f t="shared" si="0"/>
        <v>6327.5575204682691</v>
      </c>
      <c r="D33" s="877">
        <f t="shared" si="1"/>
        <v>4536.5032315478065</v>
      </c>
      <c r="E33" s="877">
        <f t="shared" si="2"/>
        <v>1791.0542889204626</v>
      </c>
      <c r="G33" s="877">
        <f t="shared" si="3"/>
        <v>989782.52324679424</v>
      </c>
    </row>
    <row r="34" spans="2:7" x14ac:dyDescent="0.3">
      <c r="B34" s="581">
        <v>25</v>
      </c>
      <c r="C34" s="877">
        <f t="shared" si="0"/>
        <v>6327.5575204682691</v>
      </c>
      <c r="D34" s="877">
        <f t="shared" si="1"/>
        <v>4528.2942327235878</v>
      </c>
      <c r="E34" s="877">
        <f t="shared" si="2"/>
        <v>1799.2632877446813</v>
      </c>
      <c r="G34" s="877">
        <f t="shared" si="3"/>
        <v>987991.46895787376</v>
      </c>
    </row>
    <row r="35" spans="2:7" x14ac:dyDescent="0.3">
      <c r="B35" s="581">
        <v>26</v>
      </c>
      <c r="C35" s="877">
        <f t="shared" si="0"/>
        <v>6327.5575204682691</v>
      </c>
      <c r="D35" s="877">
        <f t="shared" si="1"/>
        <v>4520.0476093214247</v>
      </c>
      <c r="E35" s="877">
        <f t="shared" si="2"/>
        <v>1807.5099111468444</v>
      </c>
      <c r="G35" s="877">
        <f t="shared" si="3"/>
        <v>986192.20567012904</v>
      </c>
    </row>
    <row r="36" spans="2:7" x14ac:dyDescent="0.3">
      <c r="B36" s="581">
        <v>27</v>
      </c>
      <c r="C36" s="877">
        <f t="shared" si="0"/>
        <v>6327.5575204682691</v>
      </c>
      <c r="D36" s="877">
        <f t="shared" si="1"/>
        <v>4511.7631888953356</v>
      </c>
      <c r="E36" s="877">
        <f t="shared" si="2"/>
        <v>1815.7943315729335</v>
      </c>
      <c r="G36" s="877">
        <f t="shared" si="3"/>
        <v>984384.69575898221</v>
      </c>
    </row>
    <row r="37" spans="2:7" x14ac:dyDescent="0.3">
      <c r="B37" s="581">
        <v>28</v>
      </c>
      <c r="C37" s="877">
        <f t="shared" si="0"/>
        <v>6327.5575204682691</v>
      </c>
      <c r="D37" s="877">
        <f t="shared" si="1"/>
        <v>4503.4407982089588</v>
      </c>
      <c r="E37" s="877">
        <f t="shared" si="2"/>
        <v>1824.1167222593103</v>
      </c>
      <c r="G37" s="877">
        <f t="shared" si="3"/>
        <v>982568.90142740926</v>
      </c>
    </row>
    <row r="38" spans="2:7" x14ac:dyDescent="0.3">
      <c r="B38" s="581">
        <v>29</v>
      </c>
      <c r="C38" s="877">
        <f t="shared" si="0"/>
        <v>6327.5575204682691</v>
      </c>
      <c r="D38" s="877">
        <f t="shared" si="1"/>
        <v>4495.0802632319374</v>
      </c>
      <c r="E38" s="877">
        <f t="shared" si="2"/>
        <v>1832.4772572363318</v>
      </c>
      <c r="G38" s="877">
        <f t="shared" si="3"/>
        <v>980744.78470514994</v>
      </c>
    </row>
    <row r="39" spans="2:7" x14ac:dyDescent="0.3">
      <c r="B39" s="581">
        <v>30</v>
      </c>
      <c r="C39" s="877">
        <f t="shared" si="0"/>
        <v>6327.5575204682691</v>
      </c>
      <c r="D39" s="877">
        <f t="shared" si="1"/>
        <v>4486.6814091362703</v>
      </c>
      <c r="E39" s="877">
        <f t="shared" si="2"/>
        <v>1840.8761113319988</v>
      </c>
      <c r="G39" s="877">
        <f t="shared" si="3"/>
        <v>978912.30744791357</v>
      </c>
    </row>
    <row r="40" spans="2:7" x14ac:dyDescent="0.3">
      <c r="B40" s="581">
        <v>31</v>
      </c>
      <c r="C40" s="877">
        <f t="shared" si="0"/>
        <v>6327.5575204682691</v>
      </c>
      <c r="D40" s="877">
        <f t="shared" si="1"/>
        <v>4478.2440602926654</v>
      </c>
      <c r="E40" s="877">
        <f t="shared" si="2"/>
        <v>1849.3134601756037</v>
      </c>
      <c r="G40" s="877">
        <f t="shared" si="3"/>
        <v>977071.43133658159</v>
      </c>
    </row>
    <row r="41" spans="2:7" x14ac:dyDescent="0.3">
      <c r="B41" s="581">
        <v>32</v>
      </c>
      <c r="C41" s="877">
        <f t="shared" si="0"/>
        <v>6327.5575204682691</v>
      </c>
      <c r="D41" s="877">
        <f t="shared" si="1"/>
        <v>4469.7680402668602</v>
      </c>
      <c r="E41" s="877">
        <f t="shared" si="2"/>
        <v>1857.7894802014089</v>
      </c>
      <c r="G41" s="877">
        <f t="shared" si="3"/>
        <v>975222.11787640594</v>
      </c>
    </row>
    <row r="42" spans="2:7" x14ac:dyDescent="0.3">
      <c r="B42" s="581">
        <v>33</v>
      </c>
      <c r="C42" s="877">
        <f t="shared" si="0"/>
        <v>6327.5575204682691</v>
      </c>
      <c r="D42" s="877">
        <f t="shared" si="1"/>
        <v>4461.2531718159371</v>
      </c>
      <c r="E42" s="877">
        <f t="shared" si="2"/>
        <v>1866.304348652332</v>
      </c>
      <c r="G42" s="877">
        <f t="shared" si="3"/>
        <v>973364.32839620451</v>
      </c>
    </row>
    <row r="43" spans="2:7" x14ac:dyDescent="0.3">
      <c r="B43" s="581">
        <v>34</v>
      </c>
      <c r="C43" s="877">
        <f t="shared" si="0"/>
        <v>6327.5575204682691</v>
      </c>
      <c r="D43" s="877">
        <f t="shared" si="1"/>
        <v>4452.6992768846139</v>
      </c>
      <c r="E43" s="877">
        <f t="shared" si="2"/>
        <v>1874.8582435836552</v>
      </c>
      <c r="G43" s="877">
        <f t="shared" si="3"/>
        <v>971498.02404755214</v>
      </c>
    </row>
    <row r="44" spans="2:7" x14ac:dyDescent="0.3">
      <c r="B44" s="581">
        <v>35</v>
      </c>
      <c r="C44" s="877">
        <f t="shared" si="0"/>
        <v>6327.5575204682691</v>
      </c>
      <c r="D44" s="877">
        <f t="shared" si="1"/>
        <v>4444.1061766015218</v>
      </c>
      <c r="E44" s="877">
        <f t="shared" si="2"/>
        <v>1883.4513438667473</v>
      </c>
      <c r="G44" s="877">
        <f t="shared" si="3"/>
        <v>969623.16580396844</v>
      </c>
    </row>
    <row r="45" spans="2:7" x14ac:dyDescent="0.3">
      <c r="B45" s="581">
        <v>36</v>
      </c>
      <c r="C45" s="877">
        <f t="shared" si="0"/>
        <v>6327.5575204682691</v>
      </c>
      <c r="D45" s="877">
        <f t="shared" si="1"/>
        <v>4435.4736912754661</v>
      </c>
      <c r="E45" s="877">
        <f t="shared" si="2"/>
        <v>1892.083829192803</v>
      </c>
      <c r="G45" s="877">
        <f t="shared" si="3"/>
        <v>967739.71446010168</v>
      </c>
    </row>
    <row r="46" spans="2:7" x14ac:dyDescent="0.3">
      <c r="B46" s="581">
        <v>37</v>
      </c>
      <c r="C46" s="877">
        <f t="shared" si="0"/>
        <v>6327.5575204682691</v>
      </c>
      <c r="D46" s="877">
        <f t="shared" si="1"/>
        <v>4426.8016403916654</v>
      </c>
      <c r="E46" s="877">
        <f t="shared" si="2"/>
        <v>1900.7558800766037</v>
      </c>
      <c r="G46" s="877">
        <f t="shared" si="3"/>
        <v>965847.63063090888</v>
      </c>
    </row>
    <row r="47" spans="2:7" x14ac:dyDescent="0.3">
      <c r="B47" s="581">
        <v>38</v>
      </c>
      <c r="C47" s="877">
        <f t="shared" si="0"/>
        <v>6327.5575204682691</v>
      </c>
      <c r="D47" s="877">
        <f t="shared" si="1"/>
        <v>4418.0898426079812</v>
      </c>
      <c r="E47" s="877">
        <f t="shared" si="2"/>
        <v>1909.4676778602879</v>
      </c>
      <c r="G47" s="877">
        <f t="shared" si="3"/>
        <v>963946.87475083233</v>
      </c>
    </row>
    <row r="48" spans="2:7" x14ac:dyDescent="0.3">
      <c r="B48" s="581">
        <v>39</v>
      </c>
      <c r="C48" s="877">
        <f t="shared" si="0"/>
        <v>6327.5575204682691</v>
      </c>
      <c r="D48" s="877">
        <f t="shared" si="1"/>
        <v>4409.3381157511221</v>
      </c>
      <c r="E48" s="877">
        <f t="shared" si="2"/>
        <v>1918.219404717147</v>
      </c>
      <c r="G48" s="877">
        <f t="shared" si="3"/>
        <v>962037.40707297204</v>
      </c>
    </row>
    <row r="49" spans="2:7" x14ac:dyDescent="0.3">
      <c r="B49" s="581">
        <v>40</v>
      </c>
      <c r="C49" s="877">
        <f t="shared" si="0"/>
        <v>6327.5575204682691</v>
      </c>
      <c r="D49" s="877">
        <f t="shared" si="1"/>
        <v>4400.5462768128355</v>
      </c>
      <c r="E49" s="877">
        <f t="shared" si="2"/>
        <v>1927.0112436554336</v>
      </c>
      <c r="G49" s="877">
        <f t="shared" si="3"/>
        <v>960119.18766825495</v>
      </c>
    </row>
    <row r="50" spans="2:7" x14ac:dyDescent="0.3">
      <c r="B50" s="581">
        <v>41</v>
      </c>
      <c r="C50" s="877">
        <f t="shared" si="0"/>
        <v>6327.5575204682691</v>
      </c>
      <c r="D50" s="877">
        <f t="shared" si="1"/>
        <v>4391.7141419460813</v>
      </c>
      <c r="E50" s="877">
        <f t="shared" si="2"/>
        <v>1935.8433785221878</v>
      </c>
      <c r="G50" s="877">
        <f t="shared" si="3"/>
        <v>958192.17642459949</v>
      </c>
    </row>
    <row r="51" spans="2:7" x14ac:dyDescent="0.3">
      <c r="B51" s="581">
        <v>42</v>
      </c>
      <c r="C51" s="877">
        <f t="shared" si="0"/>
        <v>6327.5575204682691</v>
      </c>
      <c r="D51" s="877">
        <f t="shared" si="1"/>
        <v>4382.8415264611876</v>
      </c>
      <c r="E51" s="877">
        <f t="shared" si="2"/>
        <v>1944.7159940070815</v>
      </c>
      <c r="G51" s="877">
        <f t="shared" si="3"/>
        <v>956256.33304607728</v>
      </c>
    </row>
    <row r="52" spans="2:7" x14ac:dyDescent="0.3">
      <c r="B52" s="581">
        <v>43</v>
      </c>
      <c r="C52" s="877">
        <f t="shared" si="0"/>
        <v>6327.5575204682691</v>
      </c>
      <c r="D52" s="877">
        <f t="shared" si="1"/>
        <v>4373.9282448219883</v>
      </c>
      <c r="E52" s="877">
        <f t="shared" si="2"/>
        <v>1953.6292756462808</v>
      </c>
      <c r="G52" s="877">
        <f t="shared" si="3"/>
        <v>954311.61705207021</v>
      </c>
    </row>
    <row r="53" spans="2:7" x14ac:dyDescent="0.3">
      <c r="B53" s="581">
        <v>44</v>
      </c>
      <c r="C53" s="877">
        <f t="shared" si="0"/>
        <v>6327.5575204682691</v>
      </c>
      <c r="D53" s="877">
        <f t="shared" si="1"/>
        <v>4364.9741106419433</v>
      </c>
      <c r="E53" s="877">
        <f t="shared" si="2"/>
        <v>1962.5834098263258</v>
      </c>
      <c r="G53" s="877">
        <f t="shared" si="3"/>
        <v>952357.98777642392</v>
      </c>
    </row>
    <row r="54" spans="2:7" x14ac:dyDescent="0.3">
      <c r="B54" s="581">
        <v>45</v>
      </c>
      <c r="C54" s="877">
        <f t="shared" si="0"/>
        <v>6327.5575204682691</v>
      </c>
      <c r="D54" s="877">
        <f t="shared" si="1"/>
        <v>4355.9789366802388</v>
      </c>
      <c r="E54" s="877">
        <f t="shared" si="2"/>
        <v>1971.5785837880303</v>
      </c>
      <c r="G54" s="877">
        <f t="shared" si="3"/>
        <v>950395.40436659765</v>
      </c>
    </row>
    <row r="55" spans="2:7" x14ac:dyDescent="0.3">
      <c r="B55" s="581">
        <v>46</v>
      </c>
      <c r="C55" s="877">
        <f t="shared" si="0"/>
        <v>6327.5575204682691</v>
      </c>
      <c r="D55" s="877">
        <f t="shared" si="1"/>
        <v>4346.9425348378772</v>
      </c>
      <c r="E55" s="877">
        <f t="shared" si="2"/>
        <v>1980.6149856303919</v>
      </c>
      <c r="G55" s="877">
        <f t="shared" si="3"/>
        <v>948423.82578280964</v>
      </c>
    </row>
    <row r="56" spans="2:7" x14ac:dyDescent="0.3">
      <c r="B56" s="581">
        <v>47</v>
      </c>
      <c r="C56" s="877">
        <f t="shared" si="0"/>
        <v>6327.5575204682691</v>
      </c>
      <c r="D56" s="877">
        <f t="shared" si="1"/>
        <v>4337.8647161537383</v>
      </c>
      <c r="E56" s="877">
        <f t="shared" si="2"/>
        <v>1989.6928043145308</v>
      </c>
      <c r="G56" s="877">
        <f t="shared" si="3"/>
        <v>946443.21079717926</v>
      </c>
    </row>
    <row r="57" spans="2:7" x14ac:dyDescent="0.3">
      <c r="B57" s="581">
        <v>48</v>
      </c>
      <c r="C57" s="877">
        <f t="shared" si="0"/>
        <v>6327.5575204682691</v>
      </c>
      <c r="D57" s="877">
        <f t="shared" si="1"/>
        <v>4328.7452908006298</v>
      </c>
      <c r="E57" s="877">
        <f t="shared" si="2"/>
        <v>1998.8122296676393</v>
      </c>
      <c r="G57" s="877">
        <f t="shared" si="3"/>
        <v>944453.51799286471</v>
      </c>
    </row>
    <row r="58" spans="2:7" x14ac:dyDescent="0.3">
      <c r="B58" s="581">
        <v>49</v>
      </c>
      <c r="C58" s="877">
        <f t="shared" si="0"/>
        <v>6327.5575204682691</v>
      </c>
      <c r="D58" s="877">
        <f t="shared" si="1"/>
        <v>4319.5840680813199</v>
      </c>
      <c r="E58" s="877">
        <f t="shared" si="2"/>
        <v>2007.9734523869492</v>
      </c>
      <c r="G58" s="877">
        <f t="shared" si="3"/>
        <v>942454.70576319704</v>
      </c>
    </row>
    <row r="59" spans="2:7" x14ac:dyDescent="0.3">
      <c r="B59" s="581">
        <v>50</v>
      </c>
      <c r="C59" s="877">
        <f t="shared" si="0"/>
        <v>6327.5575204682691</v>
      </c>
      <c r="D59" s="877">
        <f t="shared" si="1"/>
        <v>4310.3808564245464</v>
      </c>
      <c r="E59" s="877">
        <f t="shared" si="2"/>
        <v>2017.1766640437227</v>
      </c>
      <c r="G59" s="877">
        <f t="shared" si="3"/>
        <v>940446.73231081013</v>
      </c>
    </row>
    <row r="60" spans="2:7" x14ac:dyDescent="0.3">
      <c r="B60" s="581">
        <v>51</v>
      </c>
      <c r="C60" s="877">
        <f t="shared" si="0"/>
        <v>6327.5575204682691</v>
      </c>
      <c r="D60" s="877">
        <f t="shared" si="1"/>
        <v>4301.1354633810124</v>
      </c>
      <c r="E60" s="877">
        <f t="shared" si="2"/>
        <v>2026.4220570872567</v>
      </c>
      <c r="G60" s="877">
        <f t="shared" si="3"/>
        <v>938429.55564676644</v>
      </c>
    </row>
    <row r="61" spans="2:7" x14ac:dyDescent="0.3">
      <c r="B61" s="581">
        <v>52</v>
      </c>
      <c r="C61" s="877">
        <f t="shared" si="0"/>
        <v>6327.5575204682691</v>
      </c>
      <c r="D61" s="877">
        <f t="shared" si="1"/>
        <v>4291.8476956193626</v>
      </c>
      <c r="E61" s="877">
        <f t="shared" si="2"/>
        <v>2035.7098248489065</v>
      </c>
      <c r="G61" s="877">
        <f t="shared" si="3"/>
        <v>936403.13358967914</v>
      </c>
    </row>
    <row r="62" spans="2:7" x14ac:dyDescent="0.3">
      <c r="B62" s="581">
        <v>53</v>
      </c>
      <c r="C62" s="877">
        <f t="shared" si="0"/>
        <v>6327.5575204682691</v>
      </c>
      <c r="D62" s="877">
        <f t="shared" si="1"/>
        <v>4282.5173589221386</v>
      </c>
      <c r="E62" s="877">
        <f t="shared" si="2"/>
        <v>2045.0401615461305</v>
      </c>
      <c r="G62" s="877">
        <f t="shared" si="3"/>
        <v>934367.42376483022</v>
      </c>
    </row>
    <row r="63" spans="2:7" x14ac:dyDescent="0.3">
      <c r="B63" s="581">
        <v>54</v>
      </c>
      <c r="C63" s="877">
        <f t="shared" si="0"/>
        <v>6327.5575204682691</v>
      </c>
      <c r="D63" s="877">
        <f t="shared" si="1"/>
        <v>4273.1442581817191</v>
      </c>
      <c r="E63" s="877">
        <f t="shared" si="2"/>
        <v>2054.41326228655</v>
      </c>
      <c r="G63" s="877">
        <f t="shared" si="3"/>
        <v>932322.38360328414</v>
      </c>
    </row>
    <row r="64" spans="2:7" x14ac:dyDescent="0.3">
      <c r="B64" s="581">
        <v>55</v>
      </c>
      <c r="C64" s="877">
        <f t="shared" si="0"/>
        <v>6327.5575204682691</v>
      </c>
      <c r="D64" s="877">
        <f t="shared" si="1"/>
        <v>4263.728197396239</v>
      </c>
      <c r="E64" s="877">
        <f t="shared" si="2"/>
        <v>2063.8293230720301</v>
      </c>
      <c r="G64" s="877">
        <f t="shared" si="3"/>
        <v>930267.97034099756</v>
      </c>
    </row>
    <row r="65" spans="2:7" x14ac:dyDescent="0.3">
      <c r="B65" s="581">
        <v>56</v>
      </c>
      <c r="C65" s="877">
        <f t="shared" si="0"/>
        <v>6327.5575204682691</v>
      </c>
      <c r="D65" s="877">
        <f t="shared" si="1"/>
        <v>4254.2689796654922</v>
      </c>
      <c r="E65" s="877">
        <f t="shared" si="2"/>
        <v>2073.2885408027769</v>
      </c>
      <c r="G65" s="877">
        <f t="shared" si="3"/>
        <v>928204.14101792558</v>
      </c>
    </row>
    <row r="66" spans="2:7" x14ac:dyDescent="0.3">
      <c r="B66" s="581">
        <v>57</v>
      </c>
      <c r="C66" s="877">
        <f t="shared" si="0"/>
        <v>6327.5575204682691</v>
      </c>
      <c r="D66" s="877">
        <f t="shared" si="1"/>
        <v>4244.766407186813</v>
      </c>
      <c r="E66" s="877">
        <f t="shared" si="2"/>
        <v>2082.7911132814561</v>
      </c>
      <c r="G66" s="877">
        <f t="shared" si="3"/>
        <v>926130.8524771228</v>
      </c>
    </row>
    <row r="67" spans="2:7" x14ac:dyDescent="0.3">
      <c r="B67" s="581">
        <v>58</v>
      </c>
      <c r="C67" s="877">
        <f t="shared" si="0"/>
        <v>6327.5575204682691</v>
      </c>
      <c r="D67" s="877">
        <f t="shared" si="1"/>
        <v>4235.2202812509395</v>
      </c>
      <c r="E67" s="877">
        <f t="shared" si="2"/>
        <v>2092.3372392173296</v>
      </c>
      <c r="G67" s="877">
        <f t="shared" si="3"/>
        <v>924048.06136384129</v>
      </c>
    </row>
    <row r="68" spans="2:7" x14ac:dyDescent="0.3">
      <c r="B68" s="581">
        <v>59</v>
      </c>
      <c r="C68" s="877">
        <f t="shared" si="0"/>
        <v>6327.5575204682691</v>
      </c>
      <c r="D68" s="877">
        <f t="shared" si="1"/>
        <v>4225.6304022378599</v>
      </c>
      <c r="E68" s="877">
        <f t="shared" si="2"/>
        <v>2101.9271182304092</v>
      </c>
      <c r="G68" s="877">
        <f t="shared" si="3"/>
        <v>921955.72412462393</v>
      </c>
    </row>
    <row r="69" spans="2:7" x14ac:dyDescent="0.3">
      <c r="B69" s="581">
        <v>60</v>
      </c>
      <c r="C69" s="877">
        <f t="shared" si="0"/>
        <v>6327.5575204682691</v>
      </c>
      <c r="D69" s="877">
        <f t="shared" si="1"/>
        <v>4215.9965696126374</v>
      </c>
      <c r="E69" s="877">
        <f t="shared" si="2"/>
        <v>2111.5609508556317</v>
      </c>
      <c r="G69" s="877">
        <f t="shared" si="3"/>
        <v>919853.79700639355</v>
      </c>
    </row>
    <row r="70" spans="2:7" x14ac:dyDescent="0.3">
      <c r="B70" s="581">
        <v>61</v>
      </c>
      <c r="C70" s="877">
        <f t="shared" si="0"/>
        <v>6327.5575204682691</v>
      </c>
      <c r="D70" s="877">
        <f t="shared" si="1"/>
        <v>4206.3185819212158</v>
      </c>
      <c r="E70" s="877">
        <f t="shared" si="2"/>
        <v>2121.2389385470533</v>
      </c>
      <c r="G70" s="877">
        <f t="shared" si="3"/>
        <v>917742.23605553794</v>
      </c>
    </row>
    <row r="71" spans="2:7" x14ac:dyDescent="0.3">
      <c r="B71" s="581">
        <v>62</v>
      </c>
      <c r="C71" s="877">
        <f t="shared" si="0"/>
        <v>6327.5575204682691</v>
      </c>
      <c r="D71" s="877">
        <f t="shared" si="1"/>
        <v>4196.5962367862076</v>
      </c>
      <c r="E71" s="877">
        <f t="shared" si="2"/>
        <v>2130.9612836820615</v>
      </c>
      <c r="G71" s="877">
        <f t="shared" si="3"/>
        <v>915620.99711699085</v>
      </c>
    </row>
    <row r="72" spans="2:7" x14ac:dyDescent="0.3">
      <c r="B72" s="581">
        <v>63</v>
      </c>
      <c r="C72" s="877">
        <f t="shared" si="0"/>
        <v>6327.5575204682691</v>
      </c>
      <c r="D72" s="877">
        <f t="shared" si="1"/>
        <v>4186.8293309026658</v>
      </c>
      <c r="E72" s="877">
        <f t="shared" si="2"/>
        <v>2140.7281895656033</v>
      </c>
      <c r="G72" s="877">
        <f t="shared" si="3"/>
        <v>913490.03583330882</v>
      </c>
    </row>
    <row r="73" spans="2:7" x14ac:dyDescent="0.3">
      <c r="B73" s="581">
        <v>64</v>
      </c>
      <c r="C73" s="877">
        <f t="shared" si="0"/>
        <v>6327.5575204682691</v>
      </c>
      <c r="D73" s="877">
        <f t="shared" si="1"/>
        <v>4177.0176600338227</v>
      </c>
      <c r="E73" s="877">
        <f t="shared" si="2"/>
        <v>2150.5398604344464</v>
      </c>
      <c r="G73" s="877">
        <f t="shared" si="3"/>
        <v>911349.30764374323</v>
      </c>
    </row>
    <row r="74" spans="2:7" x14ac:dyDescent="0.3">
      <c r="B74" s="581">
        <v>65</v>
      </c>
      <c r="C74" s="877">
        <f t="shared" ref="C74:C137" si="4">IF($C$3&lt;G74+(G74*($C$4/$C$6)),$C$3,G74+(G74*($C$4/$C$6)))</f>
        <v>6327.5575204682691</v>
      </c>
      <c r="D74" s="877">
        <f t="shared" ref="D74:D137" si="5">G74*$C$4/$C$6</f>
        <v>4167.1610190068322</v>
      </c>
      <c r="E74" s="877">
        <f t="shared" ref="E74:E137" si="6">C74-D74</f>
        <v>2160.3965014614369</v>
      </c>
      <c r="G74" s="877">
        <f t="shared" si="3"/>
        <v>909198.76778330875</v>
      </c>
    </row>
    <row r="75" spans="2:7" x14ac:dyDescent="0.3">
      <c r="B75" s="581">
        <v>66</v>
      </c>
      <c r="C75" s="877">
        <f t="shared" si="4"/>
        <v>6327.5575204682691</v>
      </c>
      <c r="D75" s="877">
        <f t="shared" si="5"/>
        <v>4157.2592017084671</v>
      </c>
      <c r="E75" s="877">
        <f t="shared" si="6"/>
        <v>2170.298318759802</v>
      </c>
      <c r="G75" s="877">
        <f t="shared" ref="G75:G138" si="7">G74-E74-F74</f>
        <v>907038.37128184736</v>
      </c>
    </row>
    <row r="76" spans="2:7" x14ac:dyDescent="0.3">
      <c r="B76" s="581">
        <v>67</v>
      </c>
      <c r="C76" s="877">
        <f t="shared" si="4"/>
        <v>6327.5575204682691</v>
      </c>
      <c r="D76" s="877">
        <f t="shared" si="5"/>
        <v>4147.3120010808179</v>
      </c>
      <c r="E76" s="877">
        <f t="shared" si="6"/>
        <v>2180.2455193874512</v>
      </c>
      <c r="G76" s="877">
        <f t="shared" si="7"/>
        <v>904868.07296308759</v>
      </c>
    </row>
    <row r="77" spans="2:7" x14ac:dyDescent="0.3">
      <c r="B77" s="581">
        <v>68</v>
      </c>
      <c r="C77" s="877">
        <f t="shared" si="4"/>
        <v>6327.5575204682691</v>
      </c>
      <c r="D77" s="877">
        <f t="shared" si="5"/>
        <v>4137.3192091169594</v>
      </c>
      <c r="E77" s="877">
        <f t="shared" si="6"/>
        <v>2190.2383113513097</v>
      </c>
      <c r="G77" s="877">
        <f t="shared" si="7"/>
        <v>902687.82744370017</v>
      </c>
    </row>
    <row r="78" spans="2:7" x14ac:dyDescent="0.3">
      <c r="B78" s="581">
        <v>69</v>
      </c>
      <c r="C78" s="877">
        <f t="shared" si="4"/>
        <v>6327.5575204682691</v>
      </c>
      <c r="D78" s="877">
        <f t="shared" si="5"/>
        <v>4127.2806168565994</v>
      </c>
      <c r="E78" s="877">
        <f t="shared" si="6"/>
        <v>2200.2769036116697</v>
      </c>
      <c r="G78" s="877">
        <f t="shared" si="7"/>
        <v>900497.58913234889</v>
      </c>
    </row>
    <row r="79" spans="2:7" x14ac:dyDescent="0.3">
      <c r="B79" s="581">
        <v>70</v>
      </c>
      <c r="C79" s="877">
        <f t="shared" si="4"/>
        <v>6327.5575204682691</v>
      </c>
      <c r="D79" s="877">
        <f t="shared" si="5"/>
        <v>4117.1960143817123</v>
      </c>
      <c r="E79" s="877">
        <f t="shared" si="6"/>
        <v>2210.3615060865568</v>
      </c>
      <c r="G79" s="877">
        <f t="shared" si="7"/>
        <v>898297.31222873717</v>
      </c>
    </row>
    <row r="80" spans="2:7" x14ac:dyDescent="0.3">
      <c r="B80" s="581">
        <v>71</v>
      </c>
      <c r="C80" s="877">
        <f t="shared" si="4"/>
        <v>6327.5575204682691</v>
      </c>
      <c r="D80" s="877">
        <f t="shared" si="5"/>
        <v>4107.065190812149</v>
      </c>
      <c r="E80" s="877">
        <f t="shared" si="6"/>
        <v>2220.4923296561201</v>
      </c>
      <c r="G80" s="877">
        <f t="shared" si="7"/>
        <v>896086.95072265062</v>
      </c>
    </row>
    <row r="81" spans="2:7" x14ac:dyDescent="0.3">
      <c r="B81" s="581">
        <v>72</v>
      </c>
      <c r="C81" s="877">
        <f t="shared" si="4"/>
        <v>6327.5575204682691</v>
      </c>
      <c r="D81" s="877">
        <f t="shared" si="5"/>
        <v>4096.887934301225</v>
      </c>
      <c r="E81" s="877">
        <f t="shared" si="6"/>
        <v>2230.6695861670441</v>
      </c>
      <c r="G81" s="877">
        <f t="shared" si="7"/>
        <v>893866.45839299448</v>
      </c>
    </row>
    <row r="82" spans="2:7" x14ac:dyDescent="0.3">
      <c r="B82" s="581">
        <v>73</v>
      </c>
      <c r="C82" s="877">
        <f t="shared" si="4"/>
        <v>6327.5575204682691</v>
      </c>
      <c r="D82" s="877">
        <f t="shared" si="5"/>
        <v>4086.6640320312922</v>
      </c>
      <c r="E82" s="877">
        <f t="shared" si="6"/>
        <v>2240.8934884369769</v>
      </c>
      <c r="G82" s="877">
        <f t="shared" si="7"/>
        <v>891635.78880682739</v>
      </c>
    </row>
    <row r="83" spans="2:7" x14ac:dyDescent="0.3">
      <c r="B83" s="581">
        <v>74</v>
      </c>
      <c r="C83" s="877">
        <f t="shared" si="4"/>
        <v>6327.5575204682691</v>
      </c>
      <c r="D83" s="877">
        <f t="shared" si="5"/>
        <v>4076.3932702092898</v>
      </c>
      <c r="E83" s="877">
        <f t="shared" si="6"/>
        <v>2251.1642502589793</v>
      </c>
      <c r="G83" s="877">
        <f t="shared" si="7"/>
        <v>889394.89531839045</v>
      </c>
    </row>
    <row r="84" spans="2:7" x14ac:dyDescent="0.3">
      <c r="B84" s="581">
        <v>75</v>
      </c>
      <c r="C84" s="877">
        <f t="shared" si="4"/>
        <v>6327.5575204682691</v>
      </c>
      <c r="D84" s="877">
        <f t="shared" si="5"/>
        <v>4066.0754340622693</v>
      </c>
      <c r="E84" s="877">
        <f t="shared" si="6"/>
        <v>2261.4820864059998</v>
      </c>
      <c r="G84" s="877">
        <f t="shared" si="7"/>
        <v>887143.73106813151</v>
      </c>
    </row>
    <row r="85" spans="2:7" x14ac:dyDescent="0.3">
      <c r="B85" s="581">
        <v>76</v>
      </c>
      <c r="C85" s="877">
        <f t="shared" si="4"/>
        <v>6327.5575204682691</v>
      </c>
      <c r="D85" s="877">
        <f t="shared" si="5"/>
        <v>4055.7103078329087</v>
      </c>
      <c r="E85" s="877">
        <f t="shared" si="6"/>
        <v>2271.8472126353604</v>
      </c>
      <c r="G85" s="877">
        <f t="shared" si="7"/>
        <v>884882.24898172554</v>
      </c>
    </row>
    <row r="86" spans="2:7" x14ac:dyDescent="0.3">
      <c r="B86" s="581">
        <v>77</v>
      </c>
      <c r="C86" s="877">
        <f t="shared" si="4"/>
        <v>6327.5575204682691</v>
      </c>
      <c r="D86" s="877">
        <f t="shared" si="5"/>
        <v>4045.2976747749967</v>
      </c>
      <c r="E86" s="877">
        <f t="shared" si="6"/>
        <v>2282.2598456932724</v>
      </c>
      <c r="G86" s="877">
        <f t="shared" si="7"/>
        <v>882610.40176909021</v>
      </c>
    </row>
    <row r="87" spans="2:7" x14ac:dyDescent="0.3">
      <c r="B87" s="581">
        <v>78</v>
      </c>
      <c r="C87" s="877">
        <f t="shared" si="4"/>
        <v>6327.5575204682691</v>
      </c>
      <c r="D87" s="877">
        <f t="shared" si="5"/>
        <v>4034.8373171489025</v>
      </c>
      <c r="E87" s="877">
        <f t="shared" si="6"/>
        <v>2292.7202033193666</v>
      </c>
      <c r="G87" s="877">
        <f t="shared" si="7"/>
        <v>880328.14192339696</v>
      </c>
    </row>
    <row r="88" spans="2:7" x14ac:dyDescent="0.3">
      <c r="B88" s="581">
        <v>79</v>
      </c>
      <c r="C88" s="877">
        <f t="shared" si="4"/>
        <v>6327.5575204682691</v>
      </c>
      <c r="D88" s="877">
        <f t="shared" si="5"/>
        <v>4024.3290162170229</v>
      </c>
      <c r="E88" s="877">
        <f t="shared" si="6"/>
        <v>2303.2285042512462</v>
      </c>
      <c r="G88" s="877">
        <f t="shared" si="7"/>
        <v>878035.42172007763</v>
      </c>
    </row>
    <row r="89" spans="2:7" x14ac:dyDescent="0.3">
      <c r="B89" s="581">
        <v>80</v>
      </c>
      <c r="C89" s="877">
        <f t="shared" si="4"/>
        <v>6327.5575204682691</v>
      </c>
      <c r="D89" s="877">
        <f t="shared" si="5"/>
        <v>4013.7725522392043</v>
      </c>
      <c r="E89" s="877">
        <f t="shared" si="6"/>
        <v>2313.7849682290648</v>
      </c>
      <c r="G89" s="877">
        <f t="shared" si="7"/>
        <v>875732.19321582641</v>
      </c>
    </row>
    <row r="90" spans="2:7" x14ac:dyDescent="0.3">
      <c r="B90" s="581">
        <v>81</v>
      </c>
      <c r="C90" s="877">
        <f t="shared" si="4"/>
        <v>6327.5575204682691</v>
      </c>
      <c r="D90" s="877">
        <f t="shared" si="5"/>
        <v>4003.1677044681546</v>
      </c>
      <c r="E90" s="877">
        <f t="shared" si="6"/>
        <v>2324.3898160001145</v>
      </c>
      <c r="G90" s="877">
        <f t="shared" si="7"/>
        <v>873418.4082475974</v>
      </c>
    </row>
    <row r="91" spans="2:7" x14ac:dyDescent="0.3">
      <c r="B91" s="581">
        <v>82</v>
      </c>
      <c r="C91" s="877">
        <f t="shared" si="4"/>
        <v>6327.5575204682691</v>
      </c>
      <c r="D91" s="877">
        <f t="shared" si="5"/>
        <v>3992.5142511448207</v>
      </c>
      <c r="E91" s="877">
        <f t="shared" si="6"/>
        <v>2335.0432693234484</v>
      </c>
      <c r="G91" s="877">
        <f t="shared" si="7"/>
        <v>871094.01843159727</v>
      </c>
    </row>
    <row r="92" spans="2:7" x14ac:dyDescent="0.3">
      <c r="B92" s="581">
        <v>83</v>
      </c>
      <c r="C92" s="877">
        <f t="shared" si="4"/>
        <v>6327.5575204682691</v>
      </c>
      <c r="D92" s="877">
        <f t="shared" si="5"/>
        <v>3981.8119694937554</v>
      </c>
      <c r="E92" s="877">
        <f t="shared" si="6"/>
        <v>2345.7455509745137</v>
      </c>
      <c r="G92" s="877">
        <f t="shared" si="7"/>
        <v>868758.97516227385</v>
      </c>
    </row>
    <row r="93" spans="2:7" x14ac:dyDescent="0.3">
      <c r="B93" s="581">
        <v>84</v>
      </c>
      <c r="C93" s="877">
        <f t="shared" si="4"/>
        <v>6327.5575204682691</v>
      </c>
      <c r="D93" s="877">
        <f t="shared" si="5"/>
        <v>3971.0606357184552</v>
      </c>
      <c r="E93" s="877">
        <f t="shared" si="6"/>
        <v>2356.4968847498139</v>
      </c>
      <c r="G93" s="877">
        <f t="shared" si="7"/>
        <v>866413.22961129935</v>
      </c>
    </row>
    <row r="94" spans="2:7" x14ac:dyDescent="0.3">
      <c r="B94" s="581">
        <v>85</v>
      </c>
      <c r="C94" s="877">
        <f t="shared" si="4"/>
        <v>6327.5575204682691</v>
      </c>
      <c r="D94" s="877">
        <f t="shared" si="5"/>
        <v>3960.2600249966854</v>
      </c>
      <c r="E94" s="877">
        <f t="shared" si="6"/>
        <v>2367.2974954715837</v>
      </c>
      <c r="G94" s="877">
        <f t="shared" si="7"/>
        <v>864056.7327265495</v>
      </c>
    </row>
    <row r="95" spans="2:7" x14ac:dyDescent="0.3">
      <c r="B95" s="581">
        <v>86</v>
      </c>
      <c r="C95" s="877">
        <f t="shared" si="4"/>
        <v>6327.5575204682691</v>
      </c>
      <c r="D95" s="877">
        <f t="shared" si="5"/>
        <v>3949.4099114757737</v>
      </c>
      <c r="E95" s="877">
        <f t="shared" si="6"/>
        <v>2378.1476089924954</v>
      </c>
      <c r="G95" s="877">
        <f t="shared" si="7"/>
        <v>861689.43523107795</v>
      </c>
    </row>
    <row r="96" spans="2:7" x14ac:dyDescent="0.3">
      <c r="B96" s="581">
        <v>87</v>
      </c>
      <c r="C96" s="877">
        <f t="shared" si="4"/>
        <v>6327.5575204682691</v>
      </c>
      <c r="D96" s="877">
        <f t="shared" si="5"/>
        <v>3938.5100682678913</v>
      </c>
      <c r="E96" s="877">
        <f t="shared" si="6"/>
        <v>2389.0474522003778</v>
      </c>
      <c r="G96" s="877">
        <f t="shared" si="7"/>
        <v>859311.28762208542</v>
      </c>
    </row>
    <row r="97" spans="2:7" x14ac:dyDescent="0.3">
      <c r="B97" s="581">
        <v>88</v>
      </c>
      <c r="C97" s="877">
        <f t="shared" si="4"/>
        <v>6327.5575204682691</v>
      </c>
      <c r="D97" s="877">
        <f t="shared" si="5"/>
        <v>3927.5602674453071</v>
      </c>
      <c r="E97" s="877">
        <f t="shared" si="6"/>
        <v>2399.997253022962</v>
      </c>
      <c r="G97" s="877">
        <f t="shared" si="7"/>
        <v>856922.2401698851</v>
      </c>
    </row>
    <row r="98" spans="2:7" x14ac:dyDescent="0.3">
      <c r="B98" s="581">
        <v>89</v>
      </c>
      <c r="C98" s="877">
        <f t="shared" si="4"/>
        <v>6327.5575204682691</v>
      </c>
      <c r="D98" s="877">
        <f t="shared" si="5"/>
        <v>3916.5602800356178</v>
      </c>
      <c r="E98" s="877">
        <f t="shared" si="6"/>
        <v>2410.9972404326513</v>
      </c>
      <c r="G98" s="877">
        <f t="shared" si="7"/>
        <v>854522.24291686213</v>
      </c>
    </row>
    <row r="99" spans="2:7" x14ac:dyDescent="0.3">
      <c r="B99" s="581">
        <v>90</v>
      </c>
      <c r="C99" s="877">
        <f t="shared" si="4"/>
        <v>6327.5575204682691</v>
      </c>
      <c r="D99" s="877">
        <f t="shared" si="5"/>
        <v>3905.5098760169681</v>
      </c>
      <c r="E99" s="877">
        <f t="shared" si="6"/>
        <v>2422.047644451301</v>
      </c>
      <c r="G99" s="877">
        <f t="shared" si="7"/>
        <v>852111.24567642948</v>
      </c>
    </row>
    <row r="100" spans="2:7" x14ac:dyDescent="0.3">
      <c r="B100" s="581">
        <v>91</v>
      </c>
      <c r="C100" s="877">
        <f t="shared" si="4"/>
        <v>6327.5575204682691</v>
      </c>
      <c r="D100" s="877">
        <f t="shared" si="5"/>
        <v>3894.4088243132337</v>
      </c>
      <c r="E100" s="877">
        <f t="shared" si="6"/>
        <v>2433.1486961550354</v>
      </c>
      <c r="G100" s="877">
        <f t="shared" si="7"/>
        <v>849689.19803197822</v>
      </c>
    </row>
    <row r="101" spans="2:7" x14ac:dyDescent="0.3">
      <c r="B101" s="581">
        <v>92</v>
      </c>
      <c r="C101" s="877">
        <f t="shared" si="4"/>
        <v>6327.5575204682691</v>
      </c>
      <c r="D101" s="877">
        <f t="shared" si="5"/>
        <v>3883.2568927891898</v>
      </c>
      <c r="E101" s="877">
        <f t="shared" si="6"/>
        <v>2444.3006276790793</v>
      </c>
      <c r="G101" s="877">
        <f t="shared" si="7"/>
        <v>847256.04933582316</v>
      </c>
    </row>
    <row r="102" spans="2:7" x14ac:dyDescent="0.3">
      <c r="B102" s="581">
        <v>93</v>
      </c>
      <c r="C102" s="877">
        <f t="shared" si="4"/>
        <v>6327.5575204682691</v>
      </c>
      <c r="D102" s="877">
        <f t="shared" si="5"/>
        <v>3872.05384824566</v>
      </c>
      <c r="E102" s="877">
        <f t="shared" si="6"/>
        <v>2455.5036722226091</v>
      </c>
      <c r="G102" s="877">
        <f t="shared" si="7"/>
        <v>844811.74870814406</v>
      </c>
    </row>
    <row r="103" spans="2:7" x14ac:dyDescent="0.3">
      <c r="B103" s="581">
        <v>94</v>
      </c>
      <c r="C103" s="877">
        <f t="shared" si="4"/>
        <v>6327.5575204682691</v>
      </c>
      <c r="D103" s="877">
        <f t="shared" si="5"/>
        <v>3860.7994564146397</v>
      </c>
      <c r="E103" s="877">
        <f t="shared" si="6"/>
        <v>2466.7580640536294</v>
      </c>
      <c r="G103" s="877">
        <f t="shared" si="7"/>
        <v>842356.24503592146</v>
      </c>
    </row>
    <row r="104" spans="2:7" x14ac:dyDescent="0.3">
      <c r="B104" s="581">
        <v>95</v>
      </c>
      <c r="C104" s="877">
        <f t="shared" si="4"/>
        <v>6327.5575204682691</v>
      </c>
      <c r="D104" s="877">
        <f t="shared" si="5"/>
        <v>3849.4934819543942</v>
      </c>
      <c r="E104" s="877">
        <f t="shared" si="6"/>
        <v>2478.0640385138749</v>
      </c>
      <c r="G104" s="877">
        <f t="shared" si="7"/>
        <v>839889.48697186785</v>
      </c>
    </row>
    <row r="105" spans="2:7" x14ac:dyDescent="0.3">
      <c r="B105" s="581">
        <v>96</v>
      </c>
      <c r="C105" s="877">
        <f t="shared" si="4"/>
        <v>6327.5575204682691</v>
      </c>
      <c r="D105" s="877">
        <f t="shared" si="5"/>
        <v>3838.135688444539</v>
      </c>
      <c r="E105" s="877">
        <f t="shared" si="6"/>
        <v>2489.4218320237301</v>
      </c>
      <c r="G105" s="877">
        <f t="shared" si="7"/>
        <v>837411.42293335393</v>
      </c>
    </row>
    <row r="106" spans="2:7" x14ac:dyDescent="0.3">
      <c r="B106" s="581">
        <v>97</v>
      </c>
      <c r="C106" s="877">
        <f t="shared" si="4"/>
        <v>6327.5575204682691</v>
      </c>
      <c r="D106" s="877">
        <f t="shared" si="5"/>
        <v>3826.7258383810968</v>
      </c>
      <c r="E106" s="877">
        <f t="shared" si="6"/>
        <v>2500.8316820871723</v>
      </c>
      <c r="G106" s="877">
        <f t="shared" si="7"/>
        <v>834922.00110133016</v>
      </c>
    </row>
    <row r="107" spans="2:7" x14ac:dyDescent="0.3">
      <c r="B107" s="581">
        <v>98</v>
      </c>
      <c r="C107" s="877">
        <f t="shared" si="4"/>
        <v>6327.5575204682691</v>
      </c>
      <c r="D107" s="877">
        <f t="shared" si="5"/>
        <v>3815.2636931715301</v>
      </c>
      <c r="E107" s="877">
        <f t="shared" si="6"/>
        <v>2512.293827296739</v>
      </c>
      <c r="G107" s="877">
        <f t="shared" si="7"/>
        <v>832421.169419243</v>
      </c>
    </row>
    <row r="108" spans="2:7" x14ac:dyDescent="0.3">
      <c r="B108" s="581">
        <v>99</v>
      </c>
      <c r="C108" s="877">
        <f t="shared" si="4"/>
        <v>6327.5575204682691</v>
      </c>
      <c r="D108" s="877">
        <f t="shared" si="5"/>
        <v>3803.7490131297541</v>
      </c>
      <c r="E108" s="877">
        <f t="shared" si="6"/>
        <v>2523.808507338515</v>
      </c>
      <c r="G108" s="877">
        <f t="shared" si="7"/>
        <v>829908.8755919463</v>
      </c>
    </row>
    <row r="109" spans="2:7" x14ac:dyDescent="0.3">
      <c r="B109" s="581">
        <v>100</v>
      </c>
      <c r="C109" s="877">
        <f t="shared" si="4"/>
        <v>6327.5575204682691</v>
      </c>
      <c r="D109" s="877">
        <f t="shared" si="5"/>
        <v>3792.1815574711186</v>
      </c>
      <c r="E109" s="877">
        <f t="shared" si="6"/>
        <v>2535.3759629971505</v>
      </c>
      <c r="G109" s="877">
        <f t="shared" si="7"/>
        <v>827385.06708460778</v>
      </c>
    </row>
    <row r="110" spans="2:7" x14ac:dyDescent="0.3">
      <c r="B110" s="581">
        <v>101</v>
      </c>
      <c r="C110" s="877">
        <f t="shared" si="4"/>
        <v>6327.5575204682691</v>
      </c>
      <c r="D110" s="877">
        <f t="shared" si="5"/>
        <v>3780.5610843073814</v>
      </c>
      <c r="E110" s="877">
        <f t="shared" si="6"/>
        <v>2546.9964361608877</v>
      </c>
      <c r="G110" s="877">
        <f t="shared" si="7"/>
        <v>824849.69112161058</v>
      </c>
    </row>
    <row r="111" spans="2:7" x14ac:dyDescent="0.3">
      <c r="B111" s="581">
        <v>102</v>
      </c>
      <c r="C111" s="877">
        <f t="shared" si="4"/>
        <v>6327.5575204682691</v>
      </c>
      <c r="D111" s="877">
        <f t="shared" si="5"/>
        <v>3768.8873506416444</v>
      </c>
      <c r="E111" s="877">
        <f t="shared" si="6"/>
        <v>2558.6701698266247</v>
      </c>
      <c r="G111" s="877">
        <f t="shared" si="7"/>
        <v>822302.69468544971</v>
      </c>
    </row>
    <row r="112" spans="2:7" x14ac:dyDescent="0.3">
      <c r="B112" s="581">
        <v>103</v>
      </c>
      <c r="C112" s="877">
        <f t="shared" si="4"/>
        <v>6327.5575204682691</v>
      </c>
      <c r="D112" s="877">
        <f t="shared" si="5"/>
        <v>3757.1601123632722</v>
      </c>
      <c r="E112" s="877">
        <f t="shared" si="6"/>
        <v>2570.3974081049969</v>
      </c>
      <c r="G112" s="877">
        <f t="shared" si="7"/>
        <v>819744.02451562311</v>
      </c>
    </row>
    <row r="113" spans="2:7" x14ac:dyDescent="0.3">
      <c r="B113" s="581">
        <v>104</v>
      </c>
      <c r="C113" s="877">
        <f t="shared" si="4"/>
        <v>6327.5575204682691</v>
      </c>
      <c r="D113" s="877">
        <f t="shared" si="5"/>
        <v>3745.3791242427919</v>
      </c>
      <c r="E113" s="877">
        <f t="shared" si="6"/>
        <v>2582.1783962254772</v>
      </c>
      <c r="G113" s="877">
        <f t="shared" si="7"/>
        <v>817173.62710751814</v>
      </c>
    </row>
    <row r="114" spans="2:7" x14ac:dyDescent="0.3">
      <c r="B114" s="581">
        <v>105</v>
      </c>
      <c r="C114" s="877">
        <f t="shared" si="4"/>
        <v>6327.5575204682691</v>
      </c>
      <c r="D114" s="877">
        <f t="shared" si="5"/>
        <v>3733.5441399267584</v>
      </c>
      <c r="E114" s="877">
        <f t="shared" si="6"/>
        <v>2594.0133805415107</v>
      </c>
      <c r="G114" s="877">
        <f t="shared" si="7"/>
        <v>814591.4487112927</v>
      </c>
    </row>
    <row r="115" spans="2:7" x14ac:dyDescent="0.3">
      <c r="B115" s="581">
        <v>106</v>
      </c>
      <c r="C115" s="877">
        <f t="shared" si="4"/>
        <v>6327.5575204682691</v>
      </c>
      <c r="D115" s="877">
        <f t="shared" si="5"/>
        <v>3721.65491193261</v>
      </c>
      <c r="E115" s="877">
        <f t="shared" si="6"/>
        <v>2605.9026085356591</v>
      </c>
      <c r="G115" s="877">
        <f t="shared" si="7"/>
        <v>811997.43533075124</v>
      </c>
    </row>
    <row r="116" spans="2:7" x14ac:dyDescent="0.3">
      <c r="B116" s="581">
        <v>107</v>
      </c>
      <c r="C116" s="877">
        <f t="shared" si="4"/>
        <v>6327.5575204682691</v>
      </c>
      <c r="D116" s="877">
        <f t="shared" si="5"/>
        <v>3709.7111916434883</v>
      </c>
      <c r="E116" s="877">
        <f t="shared" si="6"/>
        <v>2617.8463288247808</v>
      </c>
      <c r="G116" s="877">
        <f t="shared" si="7"/>
        <v>809391.53272221563</v>
      </c>
    </row>
    <row r="117" spans="2:7" x14ac:dyDescent="0.3">
      <c r="B117" s="581">
        <v>108</v>
      </c>
      <c r="C117" s="877">
        <f t="shared" si="4"/>
        <v>6327.5575204682691</v>
      </c>
      <c r="D117" s="877">
        <f t="shared" si="5"/>
        <v>3697.7127293030412</v>
      </c>
      <c r="E117" s="877">
        <f t="shared" si="6"/>
        <v>2629.8447911652279</v>
      </c>
      <c r="G117" s="877">
        <f t="shared" si="7"/>
        <v>806773.68639339088</v>
      </c>
    </row>
    <row r="118" spans="2:7" x14ac:dyDescent="0.3">
      <c r="B118" s="581">
        <v>109</v>
      </c>
      <c r="C118" s="877">
        <f t="shared" si="4"/>
        <v>6327.5575204682691</v>
      </c>
      <c r="D118" s="877">
        <f t="shared" si="5"/>
        <v>3685.659274010201</v>
      </c>
      <c r="E118" s="877">
        <f t="shared" si="6"/>
        <v>2641.8982464580681</v>
      </c>
      <c r="G118" s="877">
        <f t="shared" si="7"/>
        <v>804143.84160222567</v>
      </c>
    </row>
    <row r="119" spans="2:7" x14ac:dyDescent="0.3">
      <c r="B119" s="581">
        <v>110</v>
      </c>
      <c r="C119" s="877">
        <f t="shared" si="4"/>
        <v>6327.5575204682691</v>
      </c>
      <c r="D119" s="877">
        <f t="shared" si="5"/>
        <v>3673.5505737139351</v>
      </c>
      <c r="E119" s="877">
        <f t="shared" si="6"/>
        <v>2654.006946754334</v>
      </c>
      <c r="G119" s="877">
        <f t="shared" si="7"/>
        <v>801501.94335576764</v>
      </c>
    </row>
    <row r="120" spans="2:7" x14ac:dyDescent="0.3">
      <c r="B120" s="581">
        <v>111</v>
      </c>
      <c r="C120" s="877">
        <f t="shared" si="4"/>
        <v>6327.5575204682691</v>
      </c>
      <c r="D120" s="877">
        <f t="shared" si="5"/>
        <v>3661.3863752079778</v>
      </c>
      <c r="E120" s="877">
        <f t="shared" si="6"/>
        <v>2666.1711452602913</v>
      </c>
      <c r="G120" s="877">
        <f t="shared" si="7"/>
        <v>798847.93640901335</v>
      </c>
    </row>
    <row r="121" spans="2:7" x14ac:dyDescent="0.3">
      <c r="B121" s="581">
        <v>112</v>
      </c>
      <c r="C121" s="877">
        <f t="shared" si="4"/>
        <v>6327.5575204682691</v>
      </c>
      <c r="D121" s="877">
        <f t="shared" si="5"/>
        <v>3649.1664241255348</v>
      </c>
      <c r="E121" s="877">
        <f t="shared" si="6"/>
        <v>2678.3910963427343</v>
      </c>
      <c r="G121" s="877">
        <f t="shared" si="7"/>
        <v>796181.76526375301</v>
      </c>
    </row>
    <row r="122" spans="2:7" x14ac:dyDescent="0.3">
      <c r="B122" s="581">
        <v>113</v>
      </c>
      <c r="C122" s="877">
        <f t="shared" si="4"/>
        <v>6327.5575204682691</v>
      </c>
      <c r="D122" s="877">
        <f t="shared" si="5"/>
        <v>3636.8904649339638</v>
      </c>
      <c r="E122" s="877">
        <f t="shared" si="6"/>
        <v>2690.6670555343053</v>
      </c>
      <c r="G122" s="877">
        <f t="shared" si="7"/>
        <v>793503.37416741031</v>
      </c>
    </row>
    <row r="123" spans="2:7" x14ac:dyDescent="0.3">
      <c r="B123" s="581">
        <v>114</v>
      </c>
      <c r="C123" s="877">
        <f t="shared" si="4"/>
        <v>6327.5575204682691</v>
      </c>
      <c r="D123" s="877">
        <f t="shared" si="5"/>
        <v>3624.5582409294316</v>
      </c>
      <c r="E123" s="877">
        <f t="shared" si="6"/>
        <v>2702.9992795388375</v>
      </c>
      <c r="G123" s="877">
        <f t="shared" si="7"/>
        <v>790812.70711187599</v>
      </c>
    </row>
    <row r="124" spans="2:7" x14ac:dyDescent="0.3">
      <c r="B124" s="581">
        <v>115</v>
      </c>
      <c r="C124" s="877">
        <f t="shared" si="4"/>
        <v>6327.5575204682691</v>
      </c>
      <c r="D124" s="877">
        <f t="shared" si="5"/>
        <v>3612.1694942315448</v>
      </c>
      <c r="E124" s="877">
        <f t="shared" si="6"/>
        <v>2715.3880262367243</v>
      </c>
      <c r="G124" s="877">
        <f t="shared" si="7"/>
        <v>788109.70783233712</v>
      </c>
    </row>
    <row r="125" spans="2:7" x14ac:dyDescent="0.3">
      <c r="B125" s="581">
        <v>116</v>
      </c>
      <c r="C125" s="877">
        <f t="shared" si="4"/>
        <v>6327.5575204682691</v>
      </c>
      <c r="D125" s="877">
        <f t="shared" si="5"/>
        <v>3599.7239657779605</v>
      </c>
      <c r="E125" s="877">
        <f t="shared" si="6"/>
        <v>2727.8335546903086</v>
      </c>
      <c r="G125" s="877">
        <f t="shared" si="7"/>
        <v>785394.31980610045</v>
      </c>
    </row>
    <row r="126" spans="2:7" x14ac:dyDescent="0.3">
      <c r="B126" s="581">
        <v>117</v>
      </c>
      <c r="C126" s="877">
        <f t="shared" si="4"/>
        <v>6327.5575204682691</v>
      </c>
      <c r="D126" s="877">
        <f t="shared" si="5"/>
        <v>3587.2213953189625</v>
      </c>
      <c r="E126" s="877">
        <f t="shared" si="6"/>
        <v>2740.3361251493066</v>
      </c>
      <c r="G126" s="877">
        <f t="shared" si="7"/>
        <v>782666.4862514101</v>
      </c>
    </row>
    <row r="127" spans="2:7" x14ac:dyDescent="0.3">
      <c r="B127" s="581">
        <v>118</v>
      </c>
      <c r="C127" s="877">
        <f t="shared" si="4"/>
        <v>6327.5575204682691</v>
      </c>
      <c r="D127" s="877">
        <f t="shared" si="5"/>
        <v>3574.6615214120288</v>
      </c>
      <c r="E127" s="877">
        <f t="shared" si="6"/>
        <v>2752.8959990562403</v>
      </c>
      <c r="G127" s="877">
        <f t="shared" si="7"/>
        <v>779926.15012626082</v>
      </c>
    </row>
    <row r="128" spans="2:7" x14ac:dyDescent="0.3">
      <c r="B128" s="581">
        <v>119</v>
      </c>
      <c r="C128" s="877">
        <f t="shared" si="4"/>
        <v>6327.5575204682691</v>
      </c>
      <c r="D128" s="877">
        <f t="shared" si="5"/>
        <v>3562.0440814163539</v>
      </c>
      <c r="E128" s="877">
        <f t="shared" si="6"/>
        <v>2765.5134390519152</v>
      </c>
      <c r="G128" s="877">
        <f t="shared" si="7"/>
        <v>777173.25412720453</v>
      </c>
    </row>
    <row r="129" spans="2:7" x14ac:dyDescent="0.3">
      <c r="B129" s="581">
        <v>120</v>
      </c>
      <c r="C129" s="877">
        <f t="shared" si="4"/>
        <v>6327.5575204682691</v>
      </c>
      <c r="D129" s="877">
        <f t="shared" si="5"/>
        <v>3549.3688114873662</v>
      </c>
      <c r="E129" s="877">
        <f t="shared" si="6"/>
        <v>2778.1887089809029</v>
      </c>
      <c r="G129" s="877">
        <f t="shared" si="7"/>
        <v>774407.74068815261</v>
      </c>
    </row>
    <row r="130" spans="2:7" x14ac:dyDescent="0.3">
      <c r="B130" s="581">
        <v>121</v>
      </c>
      <c r="C130" s="877">
        <f t="shared" si="4"/>
        <v>6327.5575204682691</v>
      </c>
      <c r="D130" s="877">
        <f t="shared" si="5"/>
        <v>3536.6354465712034</v>
      </c>
      <c r="E130" s="877">
        <f t="shared" si="6"/>
        <v>2790.9220738970657</v>
      </c>
      <c r="G130" s="877">
        <f t="shared" si="7"/>
        <v>771629.55197917169</v>
      </c>
    </row>
    <row r="131" spans="2:7" x14ac:dyDescent="0.3">
      <c r="B131" s="581">
        <v>122</v>
      </c>
      <c r="C131" s="877">
        <f t="shared" si="4"/>
        <v>6327.5575204682691</v>
      </c>
      <c r="D131" s="877">
        <f t="shared" si="5"/>
        <v>3523.8437203991757</v>
      </c>
      <c r="E131" s="877">
        <f t="shared" si="6"/>
        <v>2803.7138000690934</v>
      </c>
      <c r="G131" s="877">
        <f t="shared" si="7"/>
        <v>768838.6299052746</v>
      </c>
    </row>
    <row r="132" spans="2:7" x14ac:dyDescent="0.3">
      <c r="B132" s="581">
        <v>123</v>
      </c>
      <c r="C132" s="877">
        <f t="shared" si="4"/>
        <v>6327.5575204682691</v>
      </c>
      <c r="D132" s="877">
        <f t="shared" si="5"/>
        <v>3510.9933654821921</v>
      </c>
      <c r="E132" s="877">
        <f t="shared" si="6"/>
        <v>2816.564154986077</v>
      </c>
      <c r="G132" s="877">
        <f t="shared" si="7"/>
        <v>766034.91610520554</v>
      </c>
    </row>
    <row r="133" spans="2:7" x14ac:dyDescent="0.3">
      <c r="B133" s="581">
        <v>124</v>
      </c>
      <c r="C133" s="877">
        <f t="shared" si="4"/>
        <v>6327.5575204682691</v>
      </c>
      <c r="D133" s="877">
        <f t="shared" si="5"/>
        <v>3498.0841131051729</v>
      </c>
      <c r="E133" s="877">
        <f t="shared" si="6"/>
        <v>2829.4734073630962</v>
      </c>
      <c r="G133" s="877">
        <f t="shared" si="7"/>
        <v>763218.35195021948</v>
      </c>
    </row>
    <row r="134" spans="2:7" x14ac:dyDescent="0.3">
      <c r="B134" s="581">
        <v>125</v>
      </c>
      <c r="C134" s="877">
        <f t="shared" si="4"/>
        <v>6327.5575204682691</v>
      </c>
      <c r="D134" s="877">
        <f t="shared" si="5"/>
        <v>3485.1156933214256</v>
      </c>
      <c r="E134" s="877">
        <f t="shared" si="6"/>
        <v>2842.4418271468435</v>
      </c>
      <c r="G134" s="877">
        <f t="shared" si="7"/>
        <v>760388.87854285643</v>
      </c>
    </row>
    <row r="135" spans="2:7" x14ac:dyDescent="0.3">
      <c r="B135" s="581">
        <v>126</v>
      </c>
      <c r="C135" s="877">
        <f t="shared" si="4"/>
        <v>6327.5575204682691</v>
      </c>
      <c r="D135" s="877">
        <f t="shared" si="5"/>
        <v>3472.0878349470022</v>
      </c>
      <c r="E135" s="877">
        <f t="shared" si="6"/>
        <v>2855.4696855212669</v>
      </c>
      <c r="G135" s="877">
        <f t="shared" si="7"/>
        <v>757546.43671570963</v>
      </c>
    </row>
    <row r="136" spans="2:7" x14ac:dyDescent="0.3">
      <c r="B136" s="581">
        <v>127</v>
      </c>
      <c r="C136" s="877">
        <f t="shared" si="4"/>
        <v>6327.5575204682691</v>
      </c>
      <c r="D136" s="877">
        <f t="shared" si="5"/>
        <v>3459.0002655550302</v>
      </c>
      <c r="E136" s="877">
        <f t="shared" si="6"/>
        <v>2868.5572549132389</v>
      </c>
      <c r="G136" s="877">
        <f t="shared" si="7"/>
        <v>754690.96703018842</v>
      </c>
    </row>
    <row r="137" spans="2:7" x14ac:dyDescent="0.3">
      <c r="B137" s="581">
        <v>128</v>
      </c>
      <c r="C137" s="877">
        <f t="shared" si="4"/>
        <v>6327.5575204682691</v>
      </c>
      <c r="D137" s="877">
        <f t="shared" si="5"/>
        <v>3445.8527114700114</v>
      </c>
      <c r="E137" s="877">
        <f t="shared" si="6"/>
        <v>2881.7048089982577</v>
      </c>
      <c r="G137" s="877">
        <f t="shared" si="7"/>
        <v>751822.40977527515</v>
      </c>
    </row>
    <row r="138" spans="2:7" x14ac:dyDescent="0.3">
      <c r="B138" s="581">
        <v>129</v>
      </c>
      <c r="C138" s="877">
        <f t="shared" ref="C138:C201" si="8">IF($C$3&lt;G138+(G138*($C$4/$C$6)),$C$3,G138+(G138*($C$4/$C$6)))</f>
        <v>6327.5575204682691</v>
      </c>
      <c r="D138" s="877">
        <f t="shared" ref="D138:D201" si="9">G138*$C$4/$C$6</f>
        <v>3432.6448977621021</v>
      </c>
      <c r="E138" s="877">
        <f t="shared" ref="E138:E201" si="10">C138-D138</f>
        <v>2894.912622706167</v>
      </c>
      <c r="G138" s="877">
        <f t="shared" si="7"/>
        <v>748940.70496627688</v>
      </c>
    </row>
    <row r="139" spans="2:7" x14ac:dyDescent="0.3">
      <c r="B139" s="581">
        <v>130</v>
      </c>
      <c r="C139" s="877">
        <f t="shared" si="8"/>
        <v>6327.5575204682691</v>
      </c>
      <c r="D139" s="877">
        <f t="shared" si="9"/>
        <v>3419.376548241366</v>
      </c>
      <c r="E139" s="877">
        <f t="shared" si="10"/>
        <v>2908.1809722269031</v>
      </c>
      <c r="G139" s="877">
        <f t="shared" ref="G139:G202" si="11">G138-E138-F138</f>
        <v>746045.79234357073</v>
      </c>
    </row>
    <row r="140" spans="2:7" x14ac:dyDescent="0.3">
      <c r="B140" s="581">
        <v>131</v>
      </c>
      <c r="C140" s="877">
        <f t="shared" si="8"/>
        <v>6327.5575204682691</v>
      </c>
      <c r="D140" s="877">
        <f t="shared" si="9"/>
        <v>3406.0473854519928</v>
      </c>
      <c r="E140" s="877">
        <f t="shared" si="10"/>
        <v>2921.5101350162763</v>
      </c>
      <c r="G140" s="877">
        <f t="shared" si="11"/>
        <v>743137.61137134384</v>
      </c>
    </row>
    <row r="141" spans="2:7" x14ac:dyDescent="0.3">
      <c r="B141" s="581">
        <v>132</v>
      </c>
      <c r="C141" s="877">
        <f t="shared" si="8"/>
        <v>6327.5575204682691</v>
      </c>
      <c r="D141" s="877">
        <f t="shared" si="9"/>
        <v>3392.6571306665014</v>
      </c>
      <c r="E141" s="877">
        <f t="shared" si="10"/>
        <v>2934.9003898017677</v>
      </c>
      <c r="G141" s="877">
        <f t="shared" si="11"/>
        <v>740216.10123632755</v>
      </c>
    </row>
    <row r="142" spans="2:7" x14ac:dyDescent="0.3">
      <c r="B142" s="581">
        <v>133</v>
      </c>
      <c r="C142" s="877">
        <f t="shared" si="8"/>
        <v>6327.5575204682691</v>
      </c>
      <c r="D142" s="877">
        <f t="shared" si="9"/>
        <v>3379.2055038799099</v>
      </c>
      <c r="E142" s="877">
        <f t="shared" si="10"/>
        <v>2948.3520165883592</v>
      </c>
      <c r="G142" s="877">
        <f t="shared" si="11"/>
        <v>737281.20084652584</v>
      </c>
    </row>
    <row r="143" spans="2:7" x14ac:dyDescent="0.3">
      <c r="B143" s="581">
        <v>134</v>
      </c>
      <c r="C143" s="877">
        <f t="shared" si="8"/>
        <v>6327.5575204682691</v>
      </c>
      <c r="D143" s="877">
        <f t="shared" si="9"/>
        <v>3365.6922238038806</v>
      </c>
      <c r="E143" s="877">
        <f t="shared" si="10"/>
        <v>2961.8652966643886</v>
      </c>
      <c r="G143" s="877">
        <f t="shared" si="11"/>
        <v>734332.84882993752</v>
      </c>
    </row>
    <row r="144" spans="2:7" x14ac:dyDescent="0.3">
      <c r="B144" s="581">
        <v>135</v>
      </c>
      <c r="C144" s="877">
        <f t="shared" si="8"/>
        <v>6327.5575204682691</v>
      </c>
      <c r="D144" s="877">
        <f t="shared" si="9"/>
        <v>3352.1170078608352</v>
      </c>
      <c r="E144" s="877">
        <f t="shared" si="10"/>
        <v>2975.4405126074339</v>
      </c>
      <c r="G144" s="877">
        <f t="shared" si="11"/>
        <v>731370.9835332731</v>
      </c>
    </row>
    <row r="145" spans="2:7" x14ac:dyDescent="0.3">
      <c r="B145" s="581">
        <v>136</v>
      </c>
      <c r="C145" s="877">
        <f t="shared" si="8"/>
        <v>6327.5575204682691</v>
      </c>
      <c r="D145" s="877">
        <f t="shared" si="9"/>
        <v>3338.4795721780506</v>
      </c>
      <c r="E145" s="877">
        <f t="shared" si="10"/>
        <v>2989.0779482902185</v>
      </c>
      <c r="G145" s="877">
        <f t="shared" si="11"/>
        <v>728395.54302066565</v>
      </c>
    </row>
    <row r="146" spans="2:7" x14ac:dyDescent="0.3">
      <c r="B146" s="581">
        <v>137</v>
      </c>
      <c r="C146" s="877">
        <f t="shared" si="8"/>
        <v>6327.5575204682691</v>
      </c>
      <c r="D146" s="877">
        <f t="shared" si="9"/>
        <v>3324.7796315817209</v>
      </c>
      <c r="E146" s="877">
        <f t="shared" si="10"/>
        <v>3002.7778888865482</v>
      </c>
      <c r="G146" s="877">
        <f t="shared" si="11"/>
        <v>725406.46507237537</v>
      </c>
    </row>
    <row r="147" spans="2:7" x14ac:dyDescent="0.3">
      <c r="B147" s="581">
        <v>138</v>
      </c>
      <c r="C147" s="877">
        <f t="shared" si="8"/>
        <v>6327.5575204682691</v>
      </c>
      <c r="D147" s="877">
        <f t="shared" si="9"/>
        <v>3311.0168995909903</v>
      </c>
      <c r="E147" s="877">
        <f t="shared" si="10"/>
        <v>3016.5406208772788</v>
      </c>
      <c r="G147" s="877">
        <f t="shared" si="11"/>
        <v>722403.68718348886</v>
      </c>
    </row>
    <row r="148" spans="2:7" x14ac:dyDescent="0.3">
      <c r="B148" s="581">
        <v>139</v>
      </c>
      <c r="C148" s="877">
        <f t="shared" si="8"/>
        <v>6327.5575204682691</v>
      </c>
      <c r="D148" s="877">
        <f t="shared" si="9"/>
        <v>3297.1910884119698</v>
      </c>
      <c r="E148" s="877">
        <f t="shared" si="10"/>
        <v>3030.3664320562993</v>
      </c>
      <c r="G148" s="877">
        <f t="shared" si="11"/>
        <v>719387.14656261157</v>
      </c>
    </row>
    <row r="149" spans="2:7" x14ac:dyDescent="0.3">
      <c r="B149" s="581">
        <v>140</v>
      </c>
      <c r="C149" s="877">
        <f t="shared" si="8"/>
        <v>6327.5575204682691</v>
      </c>
      <c r="D149" s="877">
        <f t="shared" si="9"/>
        <v>3283.3019089317118</v>
      </c>
      <c r="E149" s="877">
        <f t="shared" si="10"/>
        <v>3044.2556115365574</v>
      </c>
      <c r="G149" s="877">
        <f t="shared" si="11"/>
        <v>716356.78013055527</v>
      </c>
    </row>
    <row r="150" spans="2:7" x14ac:dyDescent="0.3">
      <c r="B150" s="581">
        <v>141</v>
      </c>
      <c r="C150" s="877">
        <f t="shared" si="8"/>
        <v>6327.5575204682691</v>
      </c>
      <c r="D150" s="877">
        <f t="shared" si="9"/>
        <v>3269.3490707121691</v>
      </c>
      <c r="E150" s="877">
        <f t="shared" si="10"/>
        <v>3058.2084497561</v>
      </c>
      <c r="G150" s="877">
        <f t="shared" si="11"/>
        <v>713312.52451901871</v>
      </c>
    </row>
    <row r="151" spans="2:7" x14ac:dyDescent="0.3">
      <c r="B151" s="581">
        <v>142</v>
      </c>
      <c r="C151" s="877">
        <f t="shared" si="8"/>
        <v>6327.5575204682691</v>
      </c>
      <c r="D151" s="877">
        <f t="shared" si="9"/>
        <v>3255.3322819841201</v>
      </c>
      <c r="E151" s="877">
        <f t="shared" si="10"/>
        <v>3072.225238484149</v>
      </c>
      <c r="G151" s="877">
        <f t="shared" si="11"/>
        <v>710254.31606926257</v>
      </c>
    </row>
    <row r="152" spans="2:7" x14ac:dyDescent="0.3">
      <c r="B152" s="581">
        <v>143</v>
      </c>
      <c r="C152" s="877">
        <f t="shared" si="8"/>
        <v>6327.5575204682691</v>
      </c>
      <c r="D152" s="877">
        <f t="shared" si="9"/>
        <v>3241.2512496410677</v>
      </c>
      <c r="E152" s="877">
        <f t="shared" si="10"/>
        <v>3086.3062708272014</v>
      </c>
      <c r="G152" s="877">
        <f t="shared" si="11"/>
        <v>707182.09083077847</v>
      </c>
    </row>
    <row r="153" spans="2:7" x14ac:dyDescent="0.3">
      <c r="B153" s="581">
        <v>144</v>
      </c>
      <c r="C153" s="877">
        <f t="shared" si="8"/>
        <v>6327.5575204682691</v>
      </c>
      <c r="D153" s="877">
        <f t="shared" si="9"/>
        <v>3227.1056792331096</v>
      </c>
      <c r="E153" s="877">
        <f t="shared" si="10"/>
        <v>3100.4518412351595</v>
      </c>
      <c r="G153" s="877">
        <f t="shared" si="11"/>
        <v>704095.78455995128</v>
      </c>
    </row>
    <row r="154" spans="2:7" x14ac:dyDescent="0.3">
      <c r="B154" s="581">
        <v>145</v>
      </c>
      <c r="C154" s="877">
        <f t="shared" si="8"/>
        <v>6327.5575204682691</v>
      </c>
      <c r="D154" s="877">
        <f t="shared" si="9"/>
        <v>3212.895274960782</v>
      </c>
      <c r="E154" s="877">
        <f t="shared" si="10"/>
        <v>3114.6622455074871</v>
      </c>
      <c r="G154" s="877">
        <f t="shared" si="11"/>
        <v>700995.33271871612</v>
      </c>
    </row>
    <row r="155" spans="2:7" x14ac:dyDescent="0.3">
      <c r="B155" s="581">
        <v>146</v>
      </c>
      <c r="C155" s="877">
        <f t="shared" si="8"/>
        <v>6327.5575204682691</v>
      </c>
      <c r="D155" s="877">
        <f t="shared" si="9"/>
        <v>3198.6197396688731</v>
      </c>
      <c r="E155" s="877">
        <f t="shared" si="10"/>
        <v>3128.937780799396</v>
      </c>
      <c r="G155" s="877">
        <f t="shared" si="11"/>
        <v>697880.67047320865</v>
      </c>
    </row>
    <row r="156" spans="2:7" x14ac:dyDescent="0.3">
      <c r="B156" s="581">
        <v>147</v>
      </c>
      <c r="C156" s="877">
        <f t="shared" si="8"/>
        <v>6327.5575204682691</v>
      </c>
      <c r="D156" s="877">
        <f t="shared" si="9"/>
        <v>3184.2787748402093</v>
      </c>
      <c r="E156" s="877">
        <f t="shared" si="10"/>
        <v>3143.2787456280598</v>
      </c>
      <c r="G156" s="877">
        <f t="shared" si="11"/>
        <v>694751.73269240931</v>
      </c>
    </row>
    <row r="157" spans="2:7" x14ac:dyDescent="0.3">
      <c r="B157" s="581">
        <v>148</v>
      </c>
      <c r="C157" s="877">
        <f t="shared" si="8"/>
        <v>6327.5575204682691</v>
      </c>
      <c r="D157" s="877">
        <f t="shared" si="9"/>
        <v>3169.8720805894141</v>
      </c>
      <c r="E157" s="877">
        <f t="shared" si="10"/>
        <v>3157.685439878855</v>
      </c>
      <c r="G157" s="877">
        <f t="shared" si="11"/>
        <v>691608.45394678123</v>
      </c>
    </row>
    <row r="158" spans="2:7" x14ac:dyDescent="0.3">
      <c r="B158" s="581">
        <v>149</v>
      </c>
      <c r="C158" s="877">
        <f t="shared" si="8"/>
        <v>6327.5575204682691</v>
      </c>
      <c r="D158" s="877">
        <f t="shared" si="9"/>
        <v>3155.3993556566361</v>
      </c>
      <c r="E158" s="877">
        <f t="shared" si="10"/>
        <v>3172.158164811633</v>
      </c>
      <c r="G158" s="877">
        <f t="shared" si="11"/>
        <v>688450.76850690239</v>
      </c>
    </row>
    <row r="159" spans="2:7" x14ac:dyDescent="0.3">
      <c r="B159" s="581">
        <v>150</v>
      </c>
      <c r="C159" s="877">
        <f t="shared" si="8"/>
        <v>6327.5575204682691</v>
      </c>
      <c r="D159" s="877">
        <f t="shared" si="9"/>
        <v>3140.8602974012488</v>
      </c>
      <c r="E159" s="877">
        <f t="shared" si="10"/>
        <v>3186.6972230670203</v>
      </c>
      <c r="G159" s="877">
        <f t="shared" si="11"/>
        <v>685278.61034209072</v>
      </c>
    </row>
    <row r="160" spans="2:7" x14ac:dyDescent="0.3">
      <c r="B160" s="581">
        <v>151</v>
      </c>
      <c r="C160" s="877">
        <f t="shared" si="8"/>
        <v>6327.5575204682691</v>
      </c>
      <c r="D160" s="877">
        <f t="shared" si="9"/>
        <v>3126.2546017955251</v>
      </c>
      <c r="E160" s="877">
        <f t="shared" si="10"/>
        <v>3201.302918672744</v>
      </c>
      <c r="G160" s="877">
        <f t="shared" si="11"/>
        <v>682091.91311902367</v>
      </c>
    </row>
    <row r="161" spans="2:7" x14ac:dyDescent="0.3">
      <c r="B161" s="581">
        <v>152</v>
      </c>
      <c r="C161" s="877">
        <f t="shared" si="8"/>
        <v>6327.5575204682691</v>
      </c>
      <c r="D161" s="877">
        <f t="shared" si="9"/>
        <v>3111.5819634182749</v>
      </c>
      <c r="E161" s="877">
        <f t="shared" si="10"/>
        <v>3215.9755570499942</v>
      </c>
      <c r="G161" s="877">
        <f t="shared" si="11"/>
        <v>678890.61020035087</v>
      </c>
    </row>
    <row r="162" spans="2:7" x14ac:dyDescent="0.3">
      <c r="B162" s="581">
        <v>153</v>
      </c>
      <c r="C162" s="877">
        <f t="shared" si="8"/>
        <v>6327.5575204682691</v>
      </c>
      <c r="D162" s="877">
        <f t="shared" si="9"/>
        <v>3096.8420754484628</v>
      </c>
      <c r="E162" s="877">
        <f t="shared" si="10"/>
        <v>3230.7154450198063</v>
      </c>
      <c r="G162" s="877">
        <f t="shared" si="11"/>
        <v>675674.6346433009</v>
      </c>
    </row>
    <row r="163" spans="2:7" x14ac:dyDescent="0.3">
      <c r="B163" s="581">
        <v>154</v>
      </c>
      <c r="C163" s="877">
        <f t="shared" si="8"/>
        <v>6327.5575204682691</v>
      </c>
      <c r="D163" s="877">
        <f t="shared" si="9"/>
        <v>3082.0346296587886</v>
      </c>
      <c r="E163" s="877">
        <f t="shared" si="10"/>
        <v>3245.5228908094805</v>
      </c>
      <c r="G163" s="877">
        <f t="shared" si="11"/>
        <v>672443.91919828113</v>
      </c>
    </row>
    <row r="164" spans="2:7" x14ac:dyDescent="0.3">
      <c r="B164" s="581">
        <v>155</v>
      </c>
      <c r="C164" s="877">
        <f t="shared" si="8"/>
        <v>6327.5575204682691</v>
      </c>
      <c r="D164" s="877">
        <f t="shared" si="9"/>
        <v>3067.1593164092451</v>
      </c>
      <c r="E164" s="877">
        <f t="shared" si="10"/>
        <v>3260.398204059024</v>
      </c>
      <c r="G164" s="877">
        <f t="shared" si="11"/>
        <v>669198.39630747167</v>
      </c>
    </row>
    <row r="165" spans="2:7" x14ac:dyDescent="0.3">
      <c r="B165" s="581">
        <v>156</v>
      </c>
      <c r="C165" s="877">
        <f t="shared" si="8"/>
        <v>6327.5575204682691</v>
      </c>
      <c r="D165" s="877">
        <f t="shared" si="9"/>
        <v>3052.2158246406416</v>
      </c>
      <c r="E165" s="877">
        <f t="shared" si="10"/>
        <v>3275.3416958276275</v>
      </c>
      <c r="G165" s="877">
        <f t="shared" si="11"/>
        <v>665937.99810341268</v>
      </c>
    </row>
    <row r="166" spans="2:7" x14ac:dyDescent="0.3">
      <c r="B166" s="581">
        <v>157</v>
      </c>
      <c r="C166" s="877">
        <f t="shared" si="8"/>
        <v>6327.5575204682691</v>
      </c>
      <c r="D166" s="877">
        <f t="shared" si="9"/>
        <v>3037.2038418680982</v>
      </c>
      <c r="E166" s="877">
        <f t="shared" si="10"/>
        <v>3290.353678600171</v>
      </c>
      <c r="G166" s="877">
        <f t="shared" si="11"/>
        <v>662662.65640758502</v>
      </c>
    </row>
    <row r="167" spans="2:7" x14ac:dyDescent="0.3">
      <c r="B167" s="581">
        <v>158</v>
      </c>
      <c r="C167" s="877">
        <f t="shared" si="8"/>
        <v>6327.5575204682691</v>
      </c>
      <c r="D167" s="877">
        <f t="shared" si="9"/>
        <v>3022.123054174514</v>
      </c>
      <c r="E167" s="877">
        <f t="shared" si="10"/>
        <v>3305.4344662937551</v>
      </c>
      <c r="G167" s="877">
        <f t="shared" si="11"/>
        <v>659372.30272898485</v>
      </c>
    </row>
    <row r="168" spans="2:7" x14ac:dyDescent="0.3">
      <c r="B168" s="581">
        <v>159</v>
      </c>
      <c r="C168" s="877">
        <f t="shared" si="8"/>
        <v>6327.5575204682691</v>
      </c>
      <c r="D168" s="877">
        <f t="shared" si="9"/>
        <v>3006.9731462040004</v>
      </c>
      <c r="E168" s="877">
        <f t="shared" si="10"/>
        <v>3320.5843742642687</v>
      </c>
      <c r="G168" s="877">
        <f t="shared" si="11"/>
        <v>656066.86826269107</v>
      </c>
    </row>
    <row r="169" spans="2:7" x14ac:dyDescent="0.3">
      <c r="B169" s="581">
        <v>160</v>
      </c>
      <c r="C169" s="877">
        <f t="shared" si="8"/>
        <v>6327.5575204682691</v>
      </c>
      <c r="D169" s="877">
        <f t="shared" si="9"/>
        <v>2991.7538011552897</v>
      </c>
      <c r="E169" s="877">
        <f t="shared" si="10"/>
        <v>3335.8037193129794</v>
      </c>
      <c r="G169" s="877">
        <f t="shared" si="11"/>
        <v>652746.28388842684</v>
      </c>
    </row>
    <row r="170" spans="2:7" x14ac:dyDescent="0.3">
      <c r="B170" s="581">
        <v>161</v>
      </c>
      <c r="C170" s="877">
        <f t="shared" si="8"/>
        <v>6327.5575204682691</v>
      </c>
      <c r="D170" s="877">
        <f t="shared" si="9"/>
        <v>2976.464700775105</v>
      </c>
      <c r="E170" s="877">
        <f t="shared" si="10"/>
        <v>3351.0928196931641</v>
      </c>
      <c r="G170" s="877">
        <f t="shared" si="11"/>
        <v>649410.48016911384</v>
      </c>
    </row>
    <row r="171" spans="2:7" x14ac:dyDescent="0.3">
      <c r="B171" s="581">
        <v>162</v>
      </c>
      <c r="C171" s="877">
        <f t="shared" si="8"/>
        <v>6327.5575204682691</v>
      </c>
      <c r="D171" s="877">
        <f t="shared" si="9"/>
        <v>2961.1055253515115</v>
      </c>
      <c r="E171" s="877">
        <f t="shared" si="10"/>
        <v>3366.4519951167576</v>
      </c>
      <c r="G171" s="877">
        <f t="shared" si="11"/>
        <v>646059.38734942069</v>
      </c>
    </row>
    <row r="172" spans="2:7" x14ac:dyDescent="0.3">
      <c r="B172" s="581">
        <v>163</v>
      </c>
      <c r="C172" s="877">
        <f t="shared" si="8"/>
        <v>6327.5575204682691</v>
      </c>
      <c r="D172" s="877">
        <f t="shared" si="9"/>
        <v>2945.6759537072262</v>
      </c>
      <c r="E172" s="877">
        <f t="shared" si="10"/>
        <v>3381.8815667610429</v>
      </c>
      <c r="G172" s="877">
        <f t="shared" si="11"/>
        <v>642692.93535430392</v>
      </c>
    </row>
    <row r="173" spans="2:7" x14ac:dyDescent="0.3">
      <c r="B173" s="581">
        <v>164</v>
      </c>
      <c r="C173" s="877">
        <f t="shared" si="8"/>
        <v>6327.5575204682691</v>
      </c>
      <c r="D173" s="877">
        <f t="shared" si="9"/>
        <v>2930.1756631929052</v>
      </c>
      <c r="E173" s="877">
        <f t="shared" si="10"/>
        <v>3397.3818572753639</v>
      </c>
      <c r="G173" s="877">
        <f t="shared" si="11"/>
        <v>639311.05378754286</v>
      </c>
    </row>
    <row r="174" spans="2:7" x14ac:dyDescent="0.3">
      <c r="B174" s="581">
        <v>165</v>
      </c>
      <c r="C174" s="877">
        <f t="shared" si="8"/>
        <v>6327.5575204682691</v>
      </c>
      <c r="D174" s="877">
        <f t="shared" si="9"/>
        <v>2914.6043296803928</v>
      </c>
      <c r="E174" s="877">
        <f t="shared" si="10"/>
        <v>3412.9531907878763</v>
      </c>
      <c r="G174" s="877">
        <f t="shared" si="11"/>
        <v>635913.67193026748</v>
      </c>
    </row>
    <row r="175" spans="2:7" x14ac:dyDescent="0.3">
      <c r="B175" s="581">
        <v>166</v>
      </c>
      <c r="C175" s="877">
        <f t="shared" si="8"/>
        <v>6327.5575204682691</v>
      </c>
      <c r="D175" s="877">
        <f t="shared" si="9"/>
        <v>2898.9616275559479</v>
      </c>
      <c r="E175" s="877">
        <f t="shared" si="10"/>
        <v>3428.5958929123212</v>
      </c>
      <c r="G175" s="877">
        <f t="shared" si="11"/>
        <v>632500.71873947955</v>
      </c>
    </row>
    <row r="176" spans="2:7" x14ac:dyDescent="0.3">
      <c r="B176" s="581">
        <v>167</v>
      </c>
      <c r="C176" s="877">
        <f t="shared" si="8"/>
        <v>6327.5575204682691</v>
      </c>
      <c r="D176" s="877">
        <f t="shared" si="9"/>
        <v>2883.2472297134332</v>
      </c>
      <c r="E176" s="877">
        <f t="shared" si="10"/>
        <v>3444.3102907548359</v>
      </c>
      <c r="G176" s="877">
        <f t="shared" si="11"/>
        <v>629072.12284656719</v>
      </c>
    </row>
    <row r="177" spans="2:7" x14ac:dyDescent="0.3">
      <c r="B177" s="581">
        <v>168</v>
      </c>
      <c r="C177" s="877">
        <f t="shared" si="8"/>
        <v>6327.5575204682691</v>
      </c>
      <c r="D177" s="877">
        <f t="shared" si="9"/>
        <v>2867.460807547473</v>
      </c>
      <c r="E177" s="877">
        <f t="shared" si="10"/>
        <v>3460.0967129207961</v>
      </c>
      <c r="G177" s="877">
        <f t="shared" si="11"/>
        <v>625627.8125558123</v>
      </c>
    </row>
    <row r="178" spans="2:7" x14ac:dyDescent="0.3">
      <c r="B178" s="581">
        <v>169</v>
      </c>
      <c r="C178" s="877">
        <f t="shared" si="8"/>
        <v>6327.5575204682691</v>
      </c>
      <c r="D178" s="877">
        <f t="shared" si="9"/>
        <v>2851.6020309465857</v>
      </c>
      <c r="E178" s="877">
        <f t="shared" si="10"/>
        <v>3475.9554895216834</v>
      </c>
      <c r="G178" s="877">
        <f t="shared" si="11"/>
        <v>622167.71584289148</v>
      </c>
    </row>
    <row r="179" spans="2:7" x14ac:dyDescent="0.3">
      <c r="B179" s="581">
        <v>170</v>
      </c>
      <c r="C179" s="877">
        <f t="shared" si="8"/>
        <v>6327.5575204682691</v>
      </c>
      <c r="D179" s="877">
        <f t="shared" si="9"/>
        <v>2835.670568286278</v>
      </c>
      <c r="E179" s="877">
        <f t="shared" si="10"/>
        <v>3491.8869521819911</v>
      </c>
      <c r="G179" s="877">
        <f t="shared" si="11"/>
        <v>618691.76035336975</v>
      </c>
    </row>
    <row r="180" spans="2:7" x14ac:dyDescent="0.3">
      <c r="B180" s="581">
        <v>171</v>
      </c>
      <c r="C180" s="877">
        <f t="shared" si="8"/>
        <v>6327.5575204682691</v>
      </c>
      <c r="D180" s="877">
        <f t="shared" si="9"/>
        <v>2819.6660864221103</v>
      </c>
      <c r="E180" s="877">
        <f t="shared" si="10"/>
        <v>3507.8914340461588</v>
      </c>
      <c r="G180" s="877">
        <f t="shared" si="11"/>
        <v>615199.87340118771</v>
      </c>
    </row>
    <row r="181" spans="2:7" x14ac:dyDescent="0.3">
      <c r="B181" s="581">
        <v>172</v>
      </c>
      <c r="C181" s="877">
        <f t="shared" si="8"/>
        <v>6327.5575204682691</v>
      </c>
      <c r="D181" s="877">
        <f t="shared" si="9"/>
        <v>2803.5882506827315</v>
      </c>
      <c r="E181" s="877">
        <f t="shared" si="10"/>
        <v>3523.9692697855376</v>
      </c>
      <c r="G181" s="877">
        <f t="shared" si="11"/>
        <v>611691.9819671415</v>
      </c>
    </row>
    <row r="182" spans="2:7" x14ac:dyDescent="0.3">
      <c r="B182" s="581">
        <v>173</v>
      </c>
      <c r="C182" s="877">
        <f t="shared" si="8"/>
        <v>6327.5575204682691</v>
      </c>
      <c r="D182" s="877">
        <f t="shared" si="9"/>
        <v>2787.436724862881</v>
      </c>
      <c r="E182" s="877">
        <f t="shared" si="10"/>
        <v>3540.1207956053881</v>
      </c>
      <c r="G182" s="877">
        <f t="shared" si="11"/>
        <v>608168.01269735594</v>
      </c>
    </row>
    <row r="183" spans="2:7" x14ac:dyDescent="0.3">
      <c r="B183" s="581">
        <v>174</v>
      </c>
      <c r="C183" s="877">
        <f t="shared" si="8"/>
        <v>6327.5575204682691</v>
      </c>
      <c r="D183" s="877">
        <f t="shared" si="9"/>
        <v>2771.2111712163569</v>
      </c>
      <c r="E183" s="877">
        <f t="shared" si="10"/>
        <v>3556.3463492519122</v>
      </c>
      <c r="G183" s="877">
        <f t="shared" si="11"/>
        <v>604627.89190175058</v>
      </c>
    </row>
    <row r="184" spans="2:7" x14ac:dyDescent="0.3">
      <c r="B184" s="581">
        <v>175</v>
      </c>
      <c r="C184" s="877">
        <f t="shared" si="8"/>
        <v>6327.5575204682691</v>
      </c>
      <c r="D184" s="877">
        <f t="shared" si="9"/>
        <v>2754.9112504489526</v>
      </c>
      <c r="E184" s="877">
        <f t="shared" si="10"/>
        <v>3572.6462700193165</v>
      </c>
      <c r="G184" s="877">
        <f t="shared" si="11"/>
        <v>601071.54555249866</v>
      </c>
    </row>
    <row r="185" spans="2:7" x14ac:dyDescent="0.3">
      <c r="B185" s="581">
        <v>176</v>
      </c>
      <c r="C185" s="877">
        <f t="shared" si="8"/>
        <v>6327.5575204682691</v>
      </c>
      <c r="D185" s="877">
        <f t="shared" si="9"/>
        <v>2738.5366217113638</v>
      </c>
      <c r="E185" s="877">
        <f t="shared" si="10"/>
        <v>3589.0208987569054</v>
      </c>
      <c r="G185" s="877">
        <f t="shared" si="11"/>
        <v>597498.89928247931</v>
      </c>
    </row>
    <row r="186" spans="2:7" x14ac:dyDescent="0.3">
      <c r="B186" s="581">
        <v>177</v>
      </c>
      <c r="C186" s="877">
        <f t="shared" si="8"/>
        <v>6327.5575204682691</v>
      </c>
      <c r="D186" s="877">
        <f t="shared" si="9"/>
        <v>2722.086942592061</v>
      </c>
      <c r="E186" s="877">
        <f t="shared" si="10"/>
        <v>3605.4705778762082</v>
      </c>
      <c r="G186" s="877">
        <f t="shared" si="11"/>
        <v>593909.87838372239</v>
      </c>
    </row>
    <row r="187" spans="2:7" x14ac:dyDescent="0.3">
      <c r="B187" s="581">
        <v>178</v>
      </c>
      <c r="C187" s="877">
        <f t="shared" si="8"/>
        <v>6327.5575204682691</v>
      </c>
      <c r="D187" s="877">
        <f t="shared" si="9"/>
        <v>2705.5618691101286</v>
      </c>
      <c r="E187" s="877">
        <f t="shared" si="10"/>
        <v>3621.9956513581405</v>
      </c>
      <c r="G187" s="877">
        <f t="shared" si="11"/>
        <v>590304.40780584619</v>
      </c>
    </row>
    <row r="188" spans="2:7" x14ac:dyDescent="0.3">
      <c r="B188" s="581">
        <v>179</v>
      </c>
      <c r="C188" s="877">
        <f t="shared" si="8"/>
        <v>6327.5575204682691</v>
      </c>
      <c r="D188" s="877">
        <f t="shared" si="9"/>
        <v>2688.96105570807</v>
      </c>
      <c r="E188" s="877">
        <f t="shared" si="10"/>
        <v>3638.5964647601991</v>
      </c>
      <c r="G188" s="877">
        <f t="shared" si="11"/>
        <v>586682.41215448803</v>
      </c>
    </row>
    <row r="189" spans="2:7" x14ac:dyDescent="0.3">
      <c r="B189" s="581">
        <v>180</v>
      </c>
      <c r="C189" s="877">
        <f t="shared" si="8"/>
        <v>6327.5575204682691</v>
      </c>
      <c r="D189" s="877">
        <f t="shared" si="9"/>
        <v>2672.2841552445857</v>
      </c>
      <c r="E189" s="877">
        <f t="shared" si="10"/>
        <v>3655.2733652236834</v>
      </c>
      <c r="G189" s="877">
        <f t="shared" si="11"/>
        <v>583043.81568972778</v>
      </c>
    </row>
    <row r="190" spans="2:7" x14ac:dyDescent="0.3">
      <c r="B190" s="581">
        <v>181</v>
      </c>
      <c r="C190" s="877">
        <f t="shared" si="8"/>
        <v>6327.5575204682691</v>
      </c>
      <c r="D190" s="877">
        <f t="shared" si="9"/>
        <v>2655.5308189873108</v>
      </c>
      <c r="E190" s="877">
        <f t="shared" si="10"/>
        <v>3672.0267014809583</v>
      </c>
      <c r="G190" s="877">
        <f t="shared" si="11"/>
        <v>579388.54232450412</v>
      </c>
    </row>
    <row r="191" spans="2:7" x14ac:dyDescent="0.3">
      <c r="B191" s="581">
        <v>182</v>
      </c>
      <c r="C191" s="877">
        <f t="shared" si="8"/>
        <v>6327.5575204682691</v>
      </c>
      <c r="D191" s="877">
        <f t="shared" si="9"/>
        <v>2638.7006966055228</v>
      </c>
      <c r="E191" s="877">
        <f t="shared" si="10"/>
        <v>3688.8568238627463</v>
      </c>
      <c r="G191" s="877">
        <f t="shared" si="11"/>
        <v>575716.51562302315</v>
      </c>
    </row>
    <row r="192" spans="2:7" x14ac:dyDescent="0.3">
      <c r="B192" s="581">
        <v>183</v>
      </c>
      <c r="C192" s="877">
        <f t="shared" si="8"/>
        <v>6327.5575204682691</v>
      </c>
      <c r="D192" s="877">
        <f t="shared" si="9"/>
        <v>2621.7934361628186</v>
      </c>
      <c r="E192" s="877">
        <f t="shared" si="10"/>
        <v>3705.7640843054505</v>
      </c>
      <c r="G192" s="877">
        <f t="shared" si="11"/>
        <v>572027.65879916039</v>
      </c>
    </row>
    <row r="193" spans="2:7" x14ac:dyDescent="0.3">
      <c r="B193" s="581">
        <v>184</v>
      </c>
      <c r="C193" s="877">
        <f t="shared" si="8"/>
        <v>6327.5575204682691</v>
      </c>
      <c r="D193" s="877">
        <f t="shared" si="9"/>
        <v>2604.8086841097515</v>
      </c>
      <c r="E193" s="877">
        <f t="shared" si="10"/>
        <v>3722.7488363585176</v>
      </c>
      <c r="G193" s="877">
        <f t="shared" si="11"/>
        <v>568321.89471485489</v>
      </c>
    </row>
    <row r="194" spans="2:7" x14ac:dyDescent="0.3">
      <c r="B194" s="581">
        <v>185</v>
      </c>
      <c r="C194" s="877">
        <f t="shared" si="8"/>
        <v>6327.5575204682691</v>
      </c>
      <c r="D194" s="877">
        <f t="shared" si="9"/>
        <v>2587.7460852764416</v>
      </c>
      <c r="E194" s="877">
        <f t="shared" si="10"/>
        <v>3739.8114351918275</v>
      </c>
      <c r="G194" s="877">
        <f t="shared" si="11"/>
        <v>564599.14587849635</v>
      </c>
    </row>
    <row r="195" spans="2:7" x14ac:dyDescent="0.3">
      <c r="B195" s="581">
        <v>186</v>
      </c>
      <c r="C195" s="877">
        <f t="shared" si="8"/>
        <v>6327.5575204682691</v>
      </c>
      <c r="D195" s="877">
        <f t="shared" si="9"/>
        <v>2570.6052828651459</v>
      </c>
      <c r="E195" s="877">
        <f t="shared" si="10"/>
        <v>3756.9522376031232</v>
      </c>
      <c r="G195" s="877">
        <f t="shared" si="11"/>
        <v>560859.33444330457</v>
      </c>
    </row>
    <row r="196" spans="2:7" x14ac:dyDescent="0.3">
      <c r="B196" s="581">
        <v>187</v>
      </c>
      <c r="C196" s="877">
        <f t="shared" si="8"/>
        <v>6327.5575204682691</v>
      </c>
      <c r="D196" s="877">
        <f t="shared" si="9"/>
        <v>2553.3859184427984</v>
      </c>
      <c r="E196" s="877">
        <f t="shared" si="10"/>
        <v>3774.1716020254707</v>
      </c>
      <c r="G196" s="877">
        <f t="shared" si="11"/>
        <v>557102.38220570143</v>
      </c>
    </row>
    <row r="197" spans="2:7" x14ac:dyDescent="0.3">
      <c r="B197" s="581">
        <v>188</v>
      </c>
      <c r="C197" s="877">
        <f t="shared" si="8"/>
        <v>6327.5575204682691</v>
      </c>
      <c r="D197" s="877">
        <f t="shared" si="9"/>
        <v>2536.0876319335148</v>
      </c>
      <c r="E197" s="877">
        <f t="shared" si="10"/>
        <v>3791.4698885347543</v>
      </c>
      <c r="G197" s="877">
        <f t="shared" si="11"/>
        <v>553328.21060367592</v>
      </c>
    </row>
    <row r="198" spans="2:7" x14ac:dyDescent="0.3">
      <c r="B198" s="581">
        <v>189</v>
      </c>
      <c r="C198" s="877">
        <f t="shared" si="8"/>
        <v>6327.5575204682691</v>
      </c>
      <c r="D198" s="877">
        <f t="shared" si="9"/>
        <v>2518.7100616110638</v>
      </c>
      <c r="E198" s="877">
        <f t="shared" si="10"/>
        <v>3808.8474588572053</v>
      </c>
      <c r="G198" s="877">
        <f t="shared" si="11"/>
        <v>549536.74071514118</v>
      </c>
    </row>
    <row r="199" spans="2:7" x14ac:dyDescent="0.3">
      <c r="B199" s="581">
        <v>190</v>
      </c>
      <c r="C199" s="877">
        <f t="shared" si="8"/>
        <v>6327.5575204682691</v>
      </c>
      <c r="D199" s="877">
        <f t="shared" si="9"/>
        <v>2501.2528440913015</v>
      </c>
      <c r="E199" s="877">
        <f t="shared" si="10"/>
        <v>3826.3046763769676</v>
      </c>
      <c r="G199" s="877">
        <f t="shared" si="11"/>
        <v>545727.89325628395</v>
      </c>
    </row>
    <row r="200" spans="2:7" x14ac:dyDescent="0.3">
      <c r="B200" s="581">
        <v>191</v>
      </c>
      <c r="C200" s="877">
        <f t="shared" si="8"/>
        <v>6327.5575204682691</v>
      </c>
      <c r="D200" s="877">
        <f t="shared" si="9"/>
        <v>2483.7156143245734</v>
      </c>
      <c r="E200" s="877">
        <f t="shared" si="10"/>
        <v>3843.8419061436957</v>
      </c>
      <c r="G200" s="877">
        <f t="shared" si="11"/>
        <v>541901.58857990697</v>
      </c>
    </row>
    <row r="201" spans="2:7" x14ac:dyDescent="0.3">
      <c r="B201" s="581">
        <v>192</v>
      </c>
      <c r="C201" s="877">
        <f t="shared" si="8"/>
        <v>6327.5575204682691</v>
      </c>
      <c r="D201" s="877">
        <f t="shared" si="9"/>
        <v>2466.0980055880814</v>
      </c>
      <c r="E201" s="877">
        <f t="shared" si="10"/>
        <v>3861.4595148801877</v>
      </c>
      <c r="G201" s="877">
        <f t="shared" si="11"/>
        <v>538057.74667376326</v>
      </c>
    </row>
    <row r="202" spans="2:7" x14ac:dyDescent="0.3">
      <c r="B202" s="581">
        <v>193</v>
      </c>
      <c r="C202" s="877">
        <f t="shared" ref="C202:C265" si="12">IF($C$3&lt;G202+(G202*($C$4/$C$6)),$C$3,G202+(G202*($C$4/$C$6)))</f>
        <v>6327.5575204682691</v>
      </c>
      <c r="D202" s="877">
        <f t="shared" ref="D202:D265" si="13">G202*$C$4/$C$6</f>
        <v>2448.3996494782141</v>
      </c>
      <c r="E202" s="877">
        <f t="shared" ref="E202:E265" si="14">C202-D202</f>
        <v>3879.157870990055</v>
      </c>
      <c r="G202" s="877">
        <f t="shared" si="11"/>
        <v>534196.28715888306</v>
      </c>
    </row>
    <row r="203" spans="2:7" x14ac:dyDescent="0.3">
      <c r="B203" s="581">
        <v>194</v>
      </c>
      <c r="C203" s="877">
        <f t="shared" si="12"/>
        <v>6327.5575204682691</v>
      </c>
      <c r="D203" s="877">
        <f t="shared" si="13"/>
        <v>2430.6201759028427</v>
      </c>
      <c r="E203" s="877">
        <f t="shared" si="14"/>
        <v>3896.9373445654264</v>
      </c>
      <c r="G203" s="877">
        <f t="shared" ref="G203:G266" si="15">G202-E202-F202</f>
        <v>530317.12928789295</v>
      </c>
    </row>
    <row r="204" spans="2:7" x14ac:dyDescent="0.3">
      <c r="B204" s="581">
        <v>195</v>
      </c>
      <c r="C204" s="877">
        <f t="shared" si="12"/>
        <v>6327.5575204682691</v>
      </c>
      <c r="D204" s="877">
        <f t="shared" si="13"/>
        <v>2412.7592130735843</v>
      </c>
      <c r="E204" s="877">
        <f t="shared" si="14"/>
        <v>3914.7983073946848</v>
      </c>
      <c r="G204" s="877">
        <f t="shared" si="15"/>
        <v>526420.19194332755</v>
      </c>
    </row>
    <row r="205" spans="2:7" x14ac:dyDescent="0.3">
      <c r="B205" s="581">
        <v>196</v>
      </c>
      <c r="C205" s="877">
        <f t="shared" si="12"/>
        <v>6327.5575204682691</v>
      </c>
      <c r="D205" s="877">
        <f t="shared" si="13"/>
        <v>2394.816387498026</v>
      </c>
      <c r="E205" s="877">
        <f t="shared" si="14"/>
        <v>3932.7411329702431</v>
      </c>
      <c r="G205" s="877">
        <f t="shared" si="15"/>
        <v>522505.39363593288</v>
      </c>
    </row>
    <row r="206" spans="2:7" x14ac:dyDescent="0.3">
      <c r="B206" s="581">
        <v>197</v>
      </c>
      <c r="C206" s="877">
        <f t="shared" si="12"/>
        <v>6327.5575204682691</v>
      </c>
      <c r="D206" s="877">
        <f t="shared" si="13"/>
        <v>2376.7913239719119</v>
      </c>
      <c r="E206" s="877">
        <f t="shared" si="14"/>
        <v>3950.7661964963572</v>
      </c>
      <c r="G206" s="877">
        <f t="shared" si="15"/>
        <v>518572.65250296262</v>
      </c>
    </row>
    <row r="207" spans="2:7" x14ac:dyDescent="0.3">
      <c r="B207" s="581">
        <v>198</v>
      </c>
      <c r="C207" s="877">
        <f t="shared" si="12"/>
        <v>6327.5575204682691</v>
      </c>
      <c r="D207" s="877">
        <f t="shared" si="13"/>
        <v>2358.6836455713037</v>
      </c>
      <c r="E207" s="877">
        <f t="shared" si="14"/>
        <v>3968.8738748969654</v>
      </c>
      <c r="G207" s="877">
        <f t="shared" si="15"/>
        <v>514621.88630646624</v>
      </c>
    </row>
    <row r="208" spans="2:7" x14ac:dyDescent="0.3">
      <c r="B208" s="581">
        <v>199</v>
      </c>
      <c r="C208" s="877">
        <f t="shared" si="12"/>
        <v>6327.5575204682691</v>
      </c>
      <c r="D208" s="877">
        <f t="shared" si="13"/>
        <v>2340.4929736446925</v>
      </c>
      <c r="E208" s="877">
        <f t="shared" si="14"/>
        <v>3987.0645468235766</v>
      </c>
      <c r="G208" s="877">
        <f t="shared" si="15"/>
        <v>510653.01243156928</v>
      </c>
    </row>
    <row r="209" spans="2:7" x14ac:dyDescent="0.3">
      <c r="B209" s="581">
        <v>200</v>
      </c>
      <c r="C209" s="877">
        <f t="shared" si="12"/>
        <v>6327.5575204682691</v>
      </c>
      <c r="D209" s="877">
        <f t="shared" si="13"/>
        <v>2322.2189278050846</v>
      </c>
      <c r="E209" s="877">
        <f t="shared" si="14"/>
        <v>4005.3385926631845</v>
      </c>
      <c r="G209" s="877">
        <f t="shared" si="15"/>
        <v>506665.94788474572</v>
      </c>
    </row>
    <row r="210" spans="2:7" x14ac:dyDescent="0.3">
      <c r="B210" s="581">
        <v>201</v>
      </c>
      <c r="C210" s="877">
        <f t="shared" si="12"/>
        <v>6327.5575204682691</v>
      </c>
      <c r="D210" s="877">
        <f t="shared" si="13"/>
        <v>2303.8611259220447</v>
      </c>
      <c r="E210" s="877">
        <f t="shared" si="14"/>
        <v>4023.6963945462244</v>
      </c>
      <c r="G210" s="877">
        <f t="shared" si="15"/>
        <v>502660.60929208255</v>
      </c>
    </row>
    <row r="211" spans="2:7" x14ac:dyDescent="0.3">
      <c r="B211" s="581">
        <v>202</v>
      </c>
      <c r="C211" s="877">
        <f t="shared" si="12"/>
        <v>6327.5575204682691</v>
      </c>
      <c r="D211" s="877">
        <f t="shared" si="13"/>
        <v>2285.4191841137081</v>
      </c>
      <c r="E211" s="877">
        <f t="shared" si="14"/>
        <v>4042.138336354561</v>
      </c>
      <c r="G211" s="877">
        <f t="shared" si="15"/>
        <v>498636.9128975363</v>
      </c>
    </row>
    <row r="212" spans="2:7" x14ac:dyDescent="0.3">
      <c r="B212" s="581">
        <v>203</v>
      </c>
      <c r="C212" s="877">
        <f t="shared" si="12"/>
        <v>6327.5575204682691</v>
      </c>
      <c r="D212" s="877">
        <f t="shared" si="13"/>
        <v>2266.8927167387496</v>
      </c>
      <c r="E212" s="877">
        <f t="shared" si="14"/>
        <v>4060.6648037295195</v>
      </c>
      <c r="G212" s="877">
        <f t="shared" si="15"/>
        <v>494594.77456118172</v>
      </c>
    </row>
    <row r="213" spans="2:7" x14ac:dyDescent="0.3">
      <c r="B213" s="581">
        <v>204</v>
      </c>
      <c r="C213" s="877">
        <f t="shared" si="12"/>
        <v>6327.5575204682691</v>
      </c>
      <c r="D213" s="877">
        <f t="shared" si="13"/>
        <v>2248.2813363883229</v>
      </c>
      <c r="E213" s="877">
        <f t="shared" si="14"/>
        <v>4079.2761840799462</v>
      </c>
      <c r="G213" s="877">
        <f t="shared" si="15"/>
        <v>490534.10975745221</v>
      </c>
    </row>
    <row r="214" spans="2:7" x14ac:dyDescent="0.3">
      <c r="B214" s="581">
        <v>205</v>
      </c>
      <c r="C214" s="877">
        <f t="shared" si="12"/>
        <v>6327.5575204682691</v>
      </c>
      <c r="D214" s="877">
        <f t="shared" si="13"/>
        <v>2229.5846538779565</v>
      </c>
      <c r="E214" s="877">
        <f t="shared" si="14"/>
        <v>4097.9728665903131</v>
      </c>
      <c r="G214" s="877">
        <f t="shared" si="15"/>
        <v>486454.83357337228</v>
      </c>
    </row>
    <row r="215" spans="2:7" x14ac:dyDescent="0.3">
      <c r="B215" s="581">
        <v>206</v>
      </c>
      <c r="C215" s="877">
        <f t="shared" si="12"/>
        <v>6327.5575204682691</v>
      </c>
      <c r="D215" s="877">
        <f t="shared" si="13"/>
        <v>2210.8022782394173</v>
      </c>
      <c r="E215" s="877">
        <f t="shared" si="14"/>
        <v>4116.7552422288518</v>
      </c>
      <c r="G215" s="877">
        <f t="shared" si="15"/>
        <v>482356.86070678197</v>
      </c>
    </row>
    <row r="216" spans="2:7" x14ac:dyDescent="0.3">
      <c r="B216" s="581">
        <v>207</v>
      </c>
      <c r="C216" s="877">
        <f t="shared" si="12"/>
        <v>6327.5575204682691</v>
      </c>
      <c r="D216" s="877">
        <f t="shared" si="13"/>
        <v>2191.9338167125352</v>
      </c>
      <c r="E216" s="877">
        <f t="shared" si="14"/>
        <v>4135.6237037557339</v>
      </c>
      <c r="G216" s="877">
        <f t="shared" si="15"/>
        <v>478240.10546455311</v>
      </c>
    </row>
    <row r="217" spans="2:7" x14ac:dyDescent="0.3">
      <c r="B217" s="581">
        <v>208</v>
      </c>
      <c r="C217" s="877">
        <f t="shared" si="12"/>
        <v>6327.5575204682691</v>
      </c>
      <c r="D217" s="877">
        <f t="shared" si="13"/>
        <v>2172.978874736988</v>
      </c>
      <c r="E217" s="877">
        <f t="shared" si="14"/>
        <v>4154.5786457312806</v>
      </c>
      <c r="G217" s="877">
        <f t="shared" si="15"/>
        <v>474104.48176079738</v>
      </c>
    </row>
    <row r="218" spans="2:7" x14ac:dyDescent="0.3">
      <c r="B218" s="581">
        <v>209</v>
      </c>
      <c r="C218" s="877">
        <f t="shared" si="12"/>
        <v>6327.5575204682691</v>
      </c>
      <c r="D218" s="877">
        <f t="shared" si="13"/>
        <v>2153.9370559440531</v>
      </c>
      <c r="E218" s="877">
        <f t="shared" si="14"/>
        <v>4173.620464524216</v>
      </c>
      <c r="G218" s="877">
        <f t="shared" si="15"/>
        <v>469949.90311506612</v>
      </c>
    </row>
    <row r="219" spans="2:7" x14ac:dyDescent="0.3">
      <c r="B219" s="581">
        <v>210</v>
      </c>
      <c r="C219" s="877">
        <f t="shared" si="12"/>
        <v>6327.5575204682691</v>
      </c>
      <c r="D219" s="877">
        <f t="shared" si="13"/>
        <v>2134.8079621483171</v>
      </c>
      <c r="E219" s="877">
        <f t="shared" si="14"/>
        <v>4192.7495583199525</v>
      </c>
      <c r="G219" s="877">
        <f t="shared" si="15"/>
        <v>465776.28265054192</v>
      </c>
    </row>
    <row r="220" spans="2:7" x14ac:dyDescent="0.3">
      <c r="B220" s="581">
        <v>211</v>
      </c>
      <c r="C220" s="877">
        <f t="shared" si="12"/>
        <v>6327.5575204682691</v>
      </c>
      <c r="D220" s="877">
        <f t="shared" si="13"/>
        <v>2115.5911933393504</v>
      </c>
      <c r="E220" s="877">
        <f t="shared" si="14"/>
        <v>4211.9663271289191</v>
      </c>
      <c r="G220" s="877">
        <f t="shared" si="15"/>
        <v>461583.53309222194</v>
      </c>
    </row>
    <row r="221" spans="2:7" x14ac:dyDescent="0.3">
      <c r="B221" s="581">
        <v>212</v>
      </c>
      <c r="C221" s="877">
        <f t="shared" si="12"/>
        <v>6327.5575204682691</v>
      </c>
      <c r="D221" s="877">
        <f t="shared" si="13"/>
        <v>2096.2863476733432</v>
      </c>
      <c r="E221" s="877">
        <f t="shared" si="14"/>
        <v>4231.2711727949263</v>
      </c>
      <c r="G221" s="877">
        <f t="shared" si="15"/>
        <v>457371.56676509301</v>
      </c>
    </row>
    <row r="222" spans="2:7" x14ac:dyDescent="0.3">
      <c r="B222" s="581">
        <v>213</v>
      </c>
      <c r="C222" s="877">
        <f t="shared" si="12"/>
        <v>6327.5575204682691</v>
      </c>
      <c r="D222" s="877">
        <f t="shared" si="13"/>
        <v>2076.8930214646994</v>
      </c>
      <c r="E222" s="877">
        <f t="shared" si="14"/>
        <v>4250.6644990035693</v>
      </c>
      <c r="G222" s="877">
        <f t="shared" si="15"/>
        <v>453140.29559229809</v>
      </c>
    </row>
    <row r="223" spans="2:7" x14ac:dyDescent="0.3">
      <c r="B223" s="581">
        <v>214</v>
      </c>
      <c r="C223" s="877">
        <f t="shared" si="12"/>
        <v>6327.5575204682691</v>
      </c>
      <c r="D223" s="877">
        <f t="shared" si="13"/>
        <v>2057.4108091776002</v>
      </c>
      <c r="E223" s="877">
        <f t="shared" si="14"/>
        <v>4270.1467112906685</v>
      </c>
      <c r="G223" s="877">
        <f t="shared" si="15"/>
        <v>448889.63109329453</v>
      </c>
    </row>
    <row r="224" spans="2:7" x14ac:dyDescent="0.3">
      <c r="B224" s="581">
        <v>215</v>
      </c>
      <c r="C224" s="877">
        <f t="shared" si="12"/>
        <v>6327.5575204682691</v>
      </c>
      <c r="D224" s="877">
        <f t="shared" si="13"/>
        <v>2037.8393034175178</v>
      </c>
      <c r="E224" s="877">
        <f t="shared" si="14"/>
        <v>4289.7182170507513</v>
      </c>
      <c r="G224" s="877">
        <f t="shared" si="15"/>
        <v>444619.4843820039</v>
      </c>
    </row>
    <row r="225" spans="2:7" x14ac:dyDescent="0.3">
      <c r="B225" s="581">
        <v>216</v>
      </c>
      <c r="C225" s="877">
        <f t="shared" si="12"/>
        <v>6327.5575204682691</v>
      </c>
      <c r="D225" s="877">
        <f t="shared" si="13"/>
        <v>2018.178094922702</v>
      </c>
      <c r="E225" s="877">
        <f t="shared" si="14"/>
        <v>4309.3794255455668</v>
      </c>
      <c r="G225" s="877">
        <f t="shared" si="15"/>
        <v>440329.76616495312</v>
      </c>
    </row>
    <row r="226" spans="2:7" x14ac:dyDescent="0.3">
      <c r="B226" s="581">
        <v>217</v>
      </c>
      <c r="C226" s="877">
        <f t="shared" si="12"/>
        <v>6327.5575204682691</v>
      </c>
      <c r="D226" s="877">
        <f t="shared" si="13"/>
        <v>1998.4267725556181</v>
      </c>
      <c r="E226" s="877">
        <f t="shared" si="14"/>
        <v>4329.1307479126508</v>
      </c>
      <c r="G226" s="877">
        <f t="shared" si="15"/>
        <v>436020.38673940755</v>
      </c>
    </row>
    <row r="227" spans="2:7" x14ac:dyDescent="0.3">
      <c r="B227" s="581">
        <v>218</v>
      </c>
      <c r="C227" s="877">
        <f t="shared" si="12"/>
        <v>6327.5575204682691</v>
      </c>
      <c r="D227" s="877">
        <f t="shared" si="13"/>
        <v>1978.5849232943517</v>
      </c>
      <c r="E227" s="877">
        <f t="shared" si="14"/>
        <v>4348.9725971739172</v>
      </c>
      <c r="G227" s="877">
        <f t="shared" si="15"/>
        <v>431691.25599149492</v>
      </c>
    </row>
    <row r="228" spans="2:7" x14ac:dyDescent="0.3">
      <c r="B228" s="581">
        <v>219</v>
      </c>
      <c r="C228" s="877">
        <f t="shared" si="12"/>
        <v>6327.5575204682691</v>
      </c>
      <c r="D228" s="877">
        <f t="shared" si="13"/>
        <v>1958.6521322239712</v>
      </c>
      <c r="E228" s="877">
        <f t="shared" si="14"/>
        <v>4368.9053882442977</v>
      </c>
      <c r="G228" s="877">
        <f t="shared" si="15"/>
        <v>427342.28339432098</v>
      </c>
    </row>
    <row r="229" spans="2:7" x14ac:dyDescent="0.3">
      <c r="B229" s="581">
        <v>220</v>
      </c>
      <c r="C229" s="877">
        <f t="shared" si="12"/>
        <v>6327.5575204682691</v>
      </c>
      <c r="D229" s="877">
        <f t="shared" si="13"/>
        <v>1938.6279825278514</v>
      </c>
      <c r="E229" s="877">
        <f t="shared" si="14"/>
        <v>4388.9295379404175</v>
      </c>
      <c r="G229" s="877">
        <f t="shared" si="15"/>
        <v>422973.37800607667</v>
      </c>
    </row>
    <row r="230" spans="2:7" x14ac:dyDescent="0.3">
      <c r="B230" s="581">
        <v>221</v>
      </c>
      <c r="C230" s="877">
        <f t="shared" si="12"/>
        <v>6327.5575204682691</v>
      </c>
      <c r="D230" s="877">
        <f t="shared" si="13"/>
        <v>1918.512055478958</v>
      </c>
      <c r="E230" s="877">
        <f t="shared" si="14"/>
        <v>4409.0454649893109</v>
      </c>
      <c r="G230" s="877">
        <f t="shared" si="15"/>
        <v>418584.44846813625</v>
      </c>
    </row>
    <row r="231" spans="2:7" x14ac:dyDescent="0.3">
      <c r="B231" s="581">
        <v>222</v>
      </c>
      <c r="C231" s="877">
        <f t="shared" si="12"/>
        <v>6327.5575204682691</v>
      </c>
      <c r="D231" s="877">
        <f t="shared" si="13"/>
        <v>1898.3039304310903</v>
      </c>
      <c r="E231" s="877">
        <f t="shared" si="14"/>
        <v>4429.2535900371786</v>
      </c>
      <c r="G231" s="877">
        <f t="shared" si="15"/>
        <v>414175.40300314693</v>
      </c>
    </row>
    <row r="232" spans="2:7" x14ac:dyDescent="0.3">
      <c r="B232" s="581">
        <v>223</v>
      </c>
      <c r="C232" s="877">
        <f t="shared" si="12"/>
        <v>6327.5575204682691</v>
      </c>
      <c r="D232" s="877">
        <f t="shared" si="13"/>
        <v>1878.0031848100864</v>
      </c>
      <c r="E232" s="877">
        <f t="shared" si="14"/>
        <v>4449.5543356581829</v>
      </c>
      <c r="G232" s="877">
        <f t="shared" si="15"/>
        <v>409746.14941310976</v>
      </c>
    </row>
    <row r="233" spans="2:7" x14ac:dyDescent="0.3">
      <c r="B233" s="581">
        <v>224</v>
      </c>
      <c r="C233" s="877">
        <f t="shared" si="12"/>
        <v>6327.5575204682691</v>
      </c>
      <c r="D233" s="877">
        <f t="shared" si="13"/>
        <v>1857.6093941049864</v>
      </c>
      <c r="E233" s="877">
        <f t="shared" si="14"/>
        <v>4469.9481263632824</v>
      </c>
      <c r="G233" s="877">
        <f t="shared" si="15"/>
        <v>405296.59507745155</v>
      </c>
    </row>
    <row r="234" spans="2:7" x14ac:dyDescent="0.3">
      <c r="B234" s="581">
        <v>225</v>
      </c>
      <c r="C234" s="877">
        <f t="shared" si="12"/>
        <v>6327.5575204682691</v>
      </c>
      <c r="D234" s="877">
        <f t="shared" si="13"/>
        <v>1837.1221318591545</v>
      </c>
      <c r="E234" s="877">
        <f t="shared" si="14"/>
        <v>4490.4353886091149</v>
      </c>
      <c r="G234" s="877">
        <f t="shared" si="15"/>
        <v>400826.64695108827</v>
      </c>
    </row>
    <row r="235" spans="2:7" x14ac:dyDescent="0.3">
      <c r="B235" s="581">
        <v>226</v>
      </c>
      <c r="C235" s="877">
        <f t="shared" si="12"/>
        <v>6327.5575204682691</v>
      </c>
      <c r="D235" s="877">
        <f t="shared" si="13"/>
        <v>1816.5409696613626</v>
      </c>
      <c r="E235" s="877">
        <f t="shared" si="14"/>
        <v>4511.0165508069067</v>
      </c>
      <c r="G235" s="877">
        <f t="shared" si="15"/>
        <v>396336.21156247915</v>
      </c>
    </row>
    <row r="236" spans="2:7" x14ac:dyDescent="0.3">
      <c r="B236" s="581">
        <v>227</v>
      </c>
      <c r="C236" s="877">
        <f t="shared" si="12"/>
        <v>6327.5575204682691</v>
      </c>
      <c r="D236" s="877">
        <f t="shared" si="13"/>
        <v>1795.865477136831</v>
      </c>
      <c r="E236" s="877">
        <f t="shared" si="14"/>
        <v>4531.6920433314381</v>
      </c>
      <c r="G236" s="877">
        <f t="shared" si="15"/>
        <v>391825.19501167221</v>
      </c>
    </row>
    <row r="237" spans="2:7" x14ac:dyDescent="0.3">
      <c r="B237" s="581">
        <v>228</v>
      </c>
      <c r="C237" s="877">
        <f t="shared" si="12"/>
        <v>6327.5575204682691</v>
      </c>
      <c r="D237" s="877">
        <f t="shared" si="13"/>
        <v>1775.0952219382286</v>
      </c>
      <c r="E237" s="877">
        <f t="shared" si="14"/>
        <v>4552.4622985300402</v>
      </c>
      <c r="G237" s="877">
        <f t="shared" si="15"/>
        <v>387293.50296834076</v>
      </c>
    </row>
    <row r="238" spans="2:7" x14ac:dyDescent="0.3">
      <c r="B238" s="581">
        <v>229</v>
      </c>
      <c r="C238" s="877">
        <f t="shared" si="12"/>
        <v>6327.5575204682691</v>
      </c>
      <c r="D238" s="877">
        <f t="shared" si="13"/>
        <v>1754.2297697366323</v>
      </c>
      <c r="E238" s="877">
        <f t="shared" si="14"/>
        <v>4573.327750731637</v>
      </c>
      <c r="G238" s="877">
        <f t="shared" si="15"/>
        <v>382741.04066981073</v>
      </c>
    </row>
    <row r="239" spans="2:7" x14ac:dyDescent="0.3">
      <c r="B239" s="581">
        <v>230</v>
      </c>
      <c r="C239" s="877">
        <f t="shared" si="12"/>
        <v>6327.5575204682691</v>
      </c>
      <c r="D239" s="877">
        <f t="shared" si="13"/>
        <v>1733.268684212446</v>
      </c>
      <c r="E239" s="877">
        <f t="shared" si="14"/>
        <v>4594.2888362558233</v>
      </c>
      <c r="G239" s="877">
        <f t="shared" si="15"/>
        <v>378167.71291907912</v>
      </c>
    </row>
    <row r="240" spans="2:7" x14ac:dyDescent="0.3">
      <c r="B240" s="581">
        <v>231</v>
      </c>
      <c r="C240" s="877">
        <f t="shared" si="12"/>
        <v>6327.5575204682691</v>
      </c>
      <c r="D240" s="877">
        <f t="shared" si="13"/>
        <v>1712.2115270462734</v>
      </c>
      <c r="E240" s="877">
        <f t="shared" si="14"/>
        <v>4615.3459934219954</v>
      </c>
      <c r="G240" s="877">
        <f t="shared" si="15"/>
        <v>373573.42408282327</v>
      </c>
    </row>
    <row r="241" spans="2:7" x14ac:dyDescent="0.3">
      <c r="B241" s="581">
        <v>232</v>
      </c>
      <c r="C241" s="877">
        <f t="shared" si="12"/>
        <v>6327.5575204682691</v>
      </c>
      <c r="D241" s="877">
        <f t="shared" si="13"/>
        <v>1691.0578579097562</v>
      </c>
      <c r="E241" s="877">
        <f t="shared" si="14"/>
        <v>4636.4996625585127</v>
      </c>
      <c r="G241" s="877">
        <f t="shared" si="15"/>
        <v>368958.0780894013</v>
      </c>
    </row>
    <row r="242" spans="2:7" x14ac:dyDescent="0.3">
      <c r="B242" s="581">
        <v>233</v>
      </c>
      <c r="C242" s="877">
        <f t="shared" si="12"/>
        <v>6327.5575204682691</v>
      </c>
      <c r="D242" s="877">
        <f t="shared" si="13"/>
        <v>1669.8072344563627</v>
      </c>
      <c r="E242" s="877">
        <f t="shared" si="14"/>
        <v>4657.7502860119066</v>
      </c>
      <c r="G242" s="877">
        <f t="shared" si="15"/>
        <v>364321.57842684281</v>
      </c>
    </row>
    <row r="243" spans="2:7" x14ac:dyDescent="0.3">
      <c r="B243" s="581">
        <v>234</v>
      </c>
      <c r="C243" s="877">
        <f t="shared" si="12"/>
        <v>6327.5575204682691</v>
      </c>
      <c r="D243" s="877">
        <f t="shared" si="13"/>
        <v>1648.4592123121417</v>
      </c>
      <c r="E243" s="877">
        <f t="shared" si="14"/>
        <v>4679.0983081561271</v>
      </c>
      <c r="G243" s="877">
        <f t="shared" si="15"/>
        <v>359663.82814083091</v>
      </c>
    </row>
    <row r="244" spans="2:7" x14ac:dyDescent="0.3">
      <c r="B244" s="581">
        <v>235</v>
      </c>
      <c r="C244" s="877">
        <f t="shared" si="12"/>
        <v>6327.5575204682691</v>
      </c>
      <c r="D244" s="877">
        <f t="shared" si="13"/>
        <v>1627.0133450664262</v>
      </c>
      <c r="E244" s="877">
        <f t="shared" si="14"/>
        <v>4700.5441754018429</v>
      </c>
      <c r="G244" s="877">
        <f t="shared" si="15"/>
        <v>354984.72983267478</v>
      </c>
    </row>
    <row r="245" spans="2:7" x14ac:dyDescent="0.3">
      <c r="B245" s="581">
        <v>236</v>
      </c>
      <c r="C245" s="877">
        <f t="shared" si="12"/>
        <v>6327.5575204682691</v>
      </c>
      <c r="D245" s="877">
        <f t="shared" si="13"/>
        <v>1605.4691842625009</v>
      </c>
      <c r="E245" s="877">
        <f t="shared" si="14"/>
        <v>4722.0883362057684</v>
      </c>
      <c r="G245" s="877">
        <f t="shared" si="15"/>
        <v>350284.18565727293</v>
      </c>
    </row>
    <row r="246" spans="2:7" x14ac:dyDescent="0.3">
      <c r="B246" s="581">
        <v>237</v>
      </c>
      <c r="C246" s="877">
        <f t="shared" si="12"/>
        <v>6327.5575204682691</v>
      </c>
      <c r="D246" s="877">
        <f t="shared" si="13"/>
        <v>1583.8262793882247</v>
      </c>
      <c r="E246" s="877">
        <f t="shared" si="14"/>
        <v>4743.7312410800441</v>
      </c>
      <c r="G246" s="877">
        <f t="shared" si="15"/>
        <v>345562.09732106718</v>
      </c>
    </row>
    <row r="247" spans="2:7" x14ac:dyDescent="0.3">
      <c r="B247" s="581">
        <v>238</v>
      </c>
      <c r="C247" s="877">
        <f t="shared" si="12"/>
        <v>6327.5575204682691</v>
      </c>
      <c r="D247" s="877">
        <f t="shared" si="13"/>
        <v>1562.0841778666079</v>
      </c>
      <c r="E247" s="877">
        <f t="shared" si="14"/>
        <v>4765.473342601661</v>
      </c>
      <c r="G247" s="877">
        <f t="shared" si="15"/>
        <v>340818.36607998714</v>
      </c>
    </row>
    <row r="248" spans="2:7" x14ac:dyDescent="0.3">
      <c r="B248" s="581">
        <v>239</v>
      </c>
      <c r="C248" s="877">
        <f t="shared" si="12"/>
        <v>6327.5575204682691</v>
      </c>
      <c r="D248" s="877">
        <f t="shared" si="13"/>
        <v>1540.24242504635</v>
      </c>
      <c r="E248" s="877">
        <f t="shared" si="14"/>
        <v>4787.3150954219191</v>
      </c>
      <c r="G248" s="877">
        <f t="shared" si="15"/>
        <v>336052.89273738547</v>
      </c>
    </row>
    <row r="249" spans="2:7" x14ac:dyDescent="0.3">
      <c r="B249" s="581">
        <v>240</v>
      </c>
      <c r="C249" s="877">
        <f t="shared" si="12"/>
        <v>6327.5575204682691</v>
      </c>
      <c r="D249" s="877">
        <f t="shared" si="13"/>
        <v>1518.300564192333</v>
      </c>
      <c r="E249" s="877">
        <f t="shared" si="14"/>
        <v>4809.2569562759363</v>
      </c>
      <c r="G249" s="877">
        <f t="shared" si="15"/>
        <v>331265.57764196355</v>
      </c>
    </row>
    <row r="250" spans="2:7" x14ac:dyDescent="0.3">
      <c r="B250" s="581">
        <v>241</v>
      </c>
      <c r="C250" s="877">
        <f t="shared" si="12"/>
        <v>6327.5575204682691</v>
      </c>
      <c r="D250" s="877">
        <f t="shared" si="13"/>
        <v>1496.2581364760681</v>
      </c>
      <c r="E250" s="877">
        <f t="shared" si="14"/>
        <v>4831.299383992201</v>
      </c>
      <c r="G250" s="877">
        <f t="shared" si="15"/>
        <v>326456.32068568759</v>
      </c>
    </row>
    <row r="251" spans="2:7" x14ac:dyDescent="0.3">
      <c r="B251" s="581">
        <v>242</v>
      </c>
      <c r="C251" s="877">
        <f t="shared" si="12"/>
        <v>6327.5575204682691</v>
      </c>
      <c r="D251" s="877">
        <f t="shared" si="13"/>
        <v>1474.1146809661038</v>
      </c>
      <c r="E251" s="877">
        <f t="shared" si="14"/>
        <v>4853.442839502165</v>
      </c>
      <c r="G251" s="877">
        <f t="shared" si="15"/>
        <v>321625.02130169538</v>
      </c>
    </row>
    <row r="252" spans="2:7" x14ac:dyDescent="0.3">
      <c r="B252" s="581">
        <v>243</v>
      </c>
      <c r="C252" s="877">
        <f t="shared" si="12"/>
        <v>6327.5575204682691</v>
      </c>
      <c r="D252" s="877">
        <f t="shared" si="13"/>
        <v>1451.8697346183856</v>
      </c>
      <c r="E252" s="877">
        <f t="shared" si="14"/>
        <v>4875.6877858498838</v>
      </c>
      <c r="G252" s="877">
        <f t="shared" si="15"/>
        <v>316771.5784621932</v>
      </c>
    </row>
    <row r="253" spans="2:7" x14ac:dyDescent="0.3">
      <c r="B253" s="581">
        <v>244</v>
      </c>
      <c r="C253" s="877">
        <f t="shared" si="12"/>
        <v>6327.5575204682691</v>
      </c>
      <c r="D253" s="877">
        <f t="shared" si="13"/>
        <v>1429.5228322665735</v>
      </c>
      <c r="E253" s="877">
        <f t="shared" si="14"/>
        <v>4898.0346882016956</v>
      </c>
      <c r="G253" s="877">
        <f t="shared" si="15"/>
        <v>311895.89067634329</v>
      </c>
    </row>
    <row r="254" spans="2:7" x14ac:dyDescent="0.3">
      <c r="B254" s="581">
        <v>245</v>
      </c>
      <c r="C254" s="877">
        <f t="shared" si="12"/>
        <v>6327.5575204682691</v>
      </c>
      <c r="D254" s="877">
        <f t="shared" si="13"/>
        <v>1407.0735066123159</v>
      </c>
      <c r="E254" s="877">
        <f t="shared" si="14"/>
        <v>4920.484013855953</v>
      </c>
      <c r="G254" s="877">
        <f t="shared" si="15"/>
        <v>306997.85598814161</v>
      </c>
    </row>
    <row r="255" spans="2:7" x14ac:dyDescent="0.3">
      <c r="B255" s="581">
        <v>246</v>
      </c>
      <c r="C255" s="877">
        <f t="shared" si="12"/>
        <v>6327.5575204682691</v>
      </c>
      <c r="D255" s="877">
        <f t="shared" si="13"/>
        <v>1384.5212882154758</v>
      </c>
      <c r="E255" s="877">
        <f t="shared" si="14"/>
        <v>4943.0362322527935</v>
      </c>
      <c r="G255" s="877">
        <f t="shared" si="15"/>
        <v>302077.37197428563</v>
      </c>
    </row>
    <row r="256" spans="2:7" x14ac:dyDescent="0.3">
      <c r="B256" s="581">
        <v>247</v>
      </c>
      <c r="C256" s="877">
        <f t="shared" si="12"/>
        <v>6327.5575204682691</v>
      </c>
      <c r="D256" s="877">
        <f t="shared" si="13"/>
        <v>1361.8657054843172</v>
      </c>
      <c r="E256" s="877">
        <f t="shared" si="14"/>
        <v>4965.6918149839521</v>
      </c>
      <c r="G256" s="877">
        <f t="shared" si="15"/>
        <v>297134.33574203285</v>
      </c>
    </row>
    <row r="257" spans="2:7" x14ac:dyDescent="0.3">
      <c r="B257" s="581">
        <v>248</v>
      </c>
      <c r="C257" s="877">
        <f t="shared" si="12"/>
        <v>6327.5575204682691</v>
      </c>
      <c r="D257" s="877">
        <f t="shared" si="13"/>
        <v>1339.1062846656407</v>
      </c>
      <c r="E257" s="877">
        <f t="shared" si="14"/>
        <v>4988.4512358026286</v>
      </c>
      <c r="G257" s="877">
        <f t="shared" si="15"/>
        <v>292168.64392704889</v>
      </c>
    </row>
    <row r="258" spans="2:7" x14ac:dyDescent="0.3">
      <c r="B258" s="581">
        <v>249</v>
      </c>
      <c r="C258" s="877">
        <f t="shared" si="12"/>
        <v>6327.5575204682691</v>
      </c>
      <c r="D258" s="877">
        <f t="shared" si="13"/>
        <v>1316.2425498348787</v>
      </c>
      <c r="E258" s="877">
        <f t="shared" si="14"/>
        <v>5011.3149706333907</v>
      </c>
      <c r="G258" s="877">
        <f t="shared" si="15"/>
        <v>287180.19269124628</v>
      </c>
    </row>
    <row r="259" spans="2:7" x14ac:dyDescent="0.3">
      <c r="B259" s="581">
        <v>250</v>
      </c>
      <c r="C259" s="877">
        <f t="shared" si="12"/>
        <v>6327.5575204682691</v>
      </c>
      <c r="D259" s="877">
        <f t="shared" si="13"/>
        <v>1293.2740228861426</v>
      </c>
      <c r="E259" s="877">
        <f t="shared" si="14"/>
        <v>5034.2834975821261</v>
      </c>
      <c r="G259" s="877">
        <f t="shared" si="15"/>
        <v>282168.87772061292</v>
      </c>
    </row>
    <row r="260" spans="2:7" x14ac:dyDescent="0.3">
      <c r="B260" s="581">
        <v>251</v>
      </c>
      <c r="C260" s="877">
        <f t="shared" si="12"/>
        <v>6327.5575204682691</v>
      </c>
      <c r="D260" s="877">
        <f t="shared" si="13"/>
        <v>1270.2002235222244</v>
      </c>
      <c r="E260" s="877">
        <f t="shared" si="14"/>
        <v>5057.3572969460447</v>
      </c>
      <c r="G260" s="877">
        <f t="shared" si="15"/>
        <v>277134.59422303078</v>
      </c>
    </row>
    <row r="261" spans="2:7" x14ac:dyDescent="0.3">
      <c r="B261" s="581">
        <v>252</v>
      </c>
      <c r="C261" s="877">
        <f t="shared" si="12"/>
        <v>6327.5575204682691</v>
      </c>
      <c r="D261" s="877">
        <f t="shared" si="13"/>
        <v>1247.0206692445552</v>
      </c>
      <c r="E261" s="877">
        <f t="shared" si="14"/>
        <v>5080.5368512237137</v>
      </c>
      <c r="G261" s="877">
        <f t="shared" si="15"/>
        <v>272077.23692608473</v>
      </c>
    </row>
    <row r="262" spans="2:7" x14ac:dyDescent="0.3">
      <c r="B262" s="581">
        <v>253</v>
      </c>
      <c r="C262" s="877">
        <f t="shared" si="12"/>
        <v>6327.5575204682691</v>
      </c>
      <c r="D262" s="877">
        <f t="shared" si="13"/>
        <v>1223.7348753431129</v>
      </c>
      <c r="E262" s="877">
        <f t="shared" si="14"/>
        <v>5103.8226451251558</v>
      </c>
      <c r="G262" s="877">
        <f t="shared" si="15"/>
        <v>266996.700074861</v>
      </c>
    </row>
    <row r="263" spans="2:7" x14ac:dyDescent="0.3">
      <c r="B263" s="581">
        <v>254</v>
      </c>
      <c r="C263" s="877">
        <f t="shared" si="12"/>
        <v>6327.5575204682691</v>
      </c>
      <c r="D263" s="877">
        <f t="shared" si="13"/>
        <v>1200.3423548862893</v>
      </c>
      <c r="E263" s="877">
        <f t="shared" si="14"/>
        <v>5127.2151655819798</v>
      </c>
      <c r="G263" s="877">
        <f t="shared" si="15"/>
        <v>261892.87742973585</v>
      </c>
    </row>
    <row r="264" spans="2:7" x14ac:dyDescent="0.3">
      <c r="B264" s="581">
        <v>255</v>
      </c>
      <c r="C264" s="877">
        <f t="shared" si="12"/>
        <v>6327.5575204682691</v>
      </c>
      <c r="D264" s="877">
        <f t="shared" si="13"/>
        <v>1176.8426187107052</v>
      </c>
      <c r="E264" s="877">
        <f t="shared" si="14"/>
        <v>5150.7149017575639</v>
      </c>
      <c r="G264" s="877">
        <f t="shared" si="15"/>
        <v>256765.66226415386</v>
      </c>
    </row>
    <row r="265" spans="2:7" x14ac:dyDescent="0.3">
      <c r="B265" s="581">
        <v>256</v>
      </c>
      <c r="C265" s="877">
        <f t="shared" si="12"/>
        <v>6327.5575204682691</v>
      </c>
      <c r="D265" s="877">
        <f t="shared" si="13"/>
        <v>1153.2351754109829</v>
      </c>
      <c r="E265" s="877">
        <f t="shared" si="14"/>
        <v>5174.3223450572859</v>
      </c>
      <c r="G265" s="877">
        <f t="shared" si="15"/>
        <v>251614.94736239628</v>
      </c>
    </row>
    <row r="266" spans="2:7" x14ac:dyDescent="0.3">
      <c r="B266" s="581">
        <v>257</v>
      </c>
      <c r="C266" s="877">
        <f t="shared" ref="C266:C329" si="16">IF($C$3&lt;G266+(G266*($C$4/$C$6)),$C$3,G266+(G266*($C$4/$C$6)))</f>
        <v>6327.5575204682691</v>
      </c>
      <c r="D266" s="877">
        <f t="shared" ref="D266:D329" si="17">G266*$C$4/$C$6</f>
        <v>1129.5195313294703</v>
      </c>
      <c r="E266" s="877">
        <f t="shared" ref="E266:E329" si="18">C266-D266</f>
        <v>5198.0379891387984</v>
      </c>
      <c r="G266" s="877">
        <f t="shared" si="15"/>
        <v>246440.62501733899</v>
      </c>
    </row>
    <row r="267" spans="2:7" x14ac:dyDescent="0.3">
      <c r="B267" s="581">
        <v>258</v>
      </c>
      <c r="C267" s="877">
        <f t="shared" si="16"/>
        <v>6327.5575204682691</v>
      </c>
      <c r="D267" s="877">
        <f t="shared" si="17"/>
        <v>1105.6951905459175</v>
      </c>
      <c r="E267" s="877">
        <f t="shared" si="18"/>
        <v>5221.8623299223518</v>
      </c>
      <c r="G267" s="877">
        <f t="shared" ref="G267:G330" si="19">G266-E266-F266</f>
        <v>241242.58702820019</v>
      </c>
    </row>
    <row r="268" spans="2:7" x14ac:dyDescent="0.3">
      <c r="B268" s="581">
        <v>259</v>
      </c>
      <c r="C268" s="877">
        <f t="shared" si="16"/>
        <v>6327.5575204682691</v>
      </c>
      <c r="D268" s="877">
        <f t="shared" si="17"/>
        <v>1081.7616548671067</v>
      </c>
      <c r="E268" s="877">
        <f t="shared" si="18"/>
        <v>5245.7958656011624</v>
      </c>
      <c r="G268" s="877">
        <f t="shared" si="19"/>
        <v>236020.72469827783</v>
      </c>
    </row>
    <row r="269" spans="2:7" x14ac:dyDescent="0.3">
      <c r="B269" s="581">
        <v>260</v>
      </c>
      <c r="C269" s="877">
        <f t="shared" si="16"/>
        <v>6327.5575204682691</v>
      </c>
      <c r="D269" s="877">
        <f t="shared" si="17"/>
        <v>1057.7184238164348</v>
      </c>
      <c r="E269" s="877">
        <f t="shared" si="18"/>
        <v>5269.8390966518346</v>
      </c>
      <c r="G269" s="877">
        <f t="shared" si="19"/>
        <v>230774.92883267667</v>
      </c>
    </row>
    <row r="270" spans="2:7" x14ac:dyDescent="0.3">
      <c r="B270" s="581">
        <v>261</v>
      </c>
      <c r="C270" s="877">
        <f t="shared" si="16"/>
        <v>6327.5575204682691</v>
      </c>
      <c r="D270" s="877">
        <f t="shared" si="17"/>
        <v>1033.5649946234473</v>
      </c>
      <c r="E270" s="877">
        <f t="shared" si="18"/>
        <v>5293.992525844822</v>
      </c>
      <c r="G270" s="877">
        <f t="shared" si="19"/>
        <v>225505.08973602485</v>
      </c>
    </row>
    <row r="271" spans="2:7" x14ac:dyDescent="0.3">
      <c r="B271" s="581">
        <v>262</v>
      </c>
      <c r="C271" s="877">
        <f t="shared" si="16"/>
        <v>6327.5575204682691</v>
      </c>
      <c r="D271" s="877">
        <f t="shared" si="17"/>
        <v>1009.3008622133251</v>
      </c>
      <c r="E271" s="877">
        <f t="shared" si="18"/>
        <v>5318.2566582549443</v>
      </c>
      <c r="G271" s="877">
        <f t="shared" si="19"/>
        <v>220211.09721018001</v>
      </c>
    </row>
    <row r="272" spans="2:7" x14ac:dyDescent="0.3">
      <c r="B272" s="581">
        <v>263</v>
      </c>
      <c r="C272" s="877">
        <f t="shared" si="16"/>
        <v>6327.5575204682691</v>
      </c>
      <c r="D272" s="877">
        <f t="shared" si="17"/>
        <v>984.92551919632331</v>
      </c>
      <c r="E272" s="877">
        <f t="shared" si="18"/>
        <v>5342.6320012719461</v>
      </c>
      <c r="G272" s="877">
        <f t="shared" si="19"/>
        <v>214892.84055192507</v>
      </c>
    </row>
    <row r="273" spans="2:7" x14ac:dyDescent="0.3">
      <c r="B273" s="581">
        <v>264</v>
      </c>
      <c r="C273" s="877">
        <f t="shared" si="16"/>
        <v>6327.5575204682691</v>
      </c>
      <c r="D273" s="877">
        <f t="shared" si="17"/>
        <v>960.43845585716019</v>
      </c>
      <c r="E273" s="877">
        <f t="shared" si="18"/>
        <v>5367.119064611109</v>
      </c>
      <c r="G273" s="877">
        <f t="shared" si="19"/>
        <v>209550.20855065313</v>
      </c>
    </row>
    <row r="274" spans="2:7" x14ac:dyDescent="0.3">
      <c r="B274" s="581">
        <v>265</v>
      </c>
      <c r="C274" s="877">
        <f t="shared" si="16"/>
        <v>6327.5575204682691</v>
      </c>
      <c r="D274" s="877">
        <f t="shared" si="17"/>
        <v>935.8391601443592</v>
      </c>
      <c r="E274" s="877">
        <f t="shared" si="18"/>
        <v>5391.71836032391</v>
      </c>
      <c r="G274" s="877">
        <f t="shared" si="19"/>
        <v>204183.08948604201</v>
      </c>
    </row>
    <row r="275" spans="2:7" x14ac:dyDescent="0.3">
      <c r="B275" s="581">
        <v>266</v>
      </c>
      <c r="C275" s="877">
        <f t="shared" si="16"/>
        <v>6327.5575204682691</v>
      </c>
      <c r="D275" s="877">
        <f t="shared" si="17"/>
        <v>911.12711765954134</v>
      </c>
      <c r="E275" s="877">
        <f t="shared" si="18"/>
        <v>5416.4304028087281</v>
      </c>
      <c r="G275" s="877">
        <f t="shared" si="19"/>
        <v>198791.37112571811</v>
      </c>
    </row>
    <row r="276" spans="2:7" x14ac:dyDescent="0.3">
      <c r="B276" s="581">
        <v>267</v>
      </c>
      <c r="C276" s="877">
        <f t="shared" si="16"/>
        <v>6327.5575204682691</v>
      </c>
      <c r="D276" s="877">
        <f t="shared" si="17"/>
        <v>886.30181164666794</v>
      </c>
      <c r="E276" s="877">
        <f t="shared" si="18"/>
        <v>5441.2557088216008</v>
      </c>
      <c r="G276" s="877">
        <f t="shared" si="19"/>
        <v>193374.94072290938</v>
      </c>
    </row>
    <row r="277" spans="2:7" x14ac:dyDescent="0.3">
      <c r="B277" s="581">
        <v>268</v>
      </c>
      <c r="C277" s="877">
        <f t="shared" si="16"/>
        <v>6327.5575204682691</v>
      </c>
      <c r="D277" s="877">
        <f t="shared" si="17"/>
        <v>861.36272298123561</v>
      </c>
      <c r="E277" s="877">
        <f t="shared" si="18"/>
        <v>5466.1947974870336</v>
      </c>
      <c r="G277" s="877">
        <f t="shared" si="19"/>
        <v>187933.68501408777</v>
      </c>
    </row>
    <row r="278" spans="2:7" x14ac:dyDescent="0.3">
      <c r="B278" s="581">
        <v>269</v>
      </c>
      <c r="C278" s="877">
        <f t="shared" si="16"/>
        <v>6327.5575204682691</v>
      </c>
      <c r="D278" s="877">
        <f t="shared" si="17"/>
        <v>836.30933015942003</v>
      </c>
      <c r="E278" s="877">
        <f t="shared" si="18"/>
        <v>5491.2481903088492</v>
      </c>
      <c r="G278" s="877">
        <f t="shared" si="19"/>
        <v>182467.49021660074</v>
      </c>
    </row>
    <row r="279" spans="2:7" x14ac:dyDescent="0.3">
      <c r="B279" s="581">
        <v>270</v>
      </c>
      <c r="C279" s="877">
        <f t="shared" si="16"/>
        <v>6327.5575204682691</v>
      </c>
      <c r="D279" s="877">
        <f t="shared" si="17"/>
        <v>811.14110928717116</v>
      </c>
      <c r="E279" s="877">
        <f t="shared" si="18"/>
        <v>5516.4164111810978</v>
      </c>
      <c r="G279" s="877">
        <f t="shared" si="19"/>
        <v>176976.24202629187</v>
      </c>
    </row>
    <row r="280" spans="2:7" x14ac:dyDescent="0.3">
      <c r="B280" s="581">
        <v>271</v>
      </c>
      <c r="C280" s="877">
        <f t="shared" si="16"/>
        <v>6327.5575204682691</v>
      </c>
      <c r="D280" s="877">
        <f t="shared" si="17"/>
        <v>785.85753406925778</v>
      </c>
      <c r="E280" s="877">
        <f t="shared" si="18"/>
        <v>5541.6999863990113</v>
      </c>
      <c r="G280" s="877">
        <f t="shared" si="19"/>
        <v>171459.82561511078</v>
      </c>
    </row>
    <row r="281" spans="2:7" x14ac:dyDescent="0.3">
      <c r="B281" s="581">
        <v>272</v>
      </c>
      <c r="C281" s="877">
        <f t="shared" si="16"/>
        <v>6327.5575204682691</v>
      </c>
      <c r="D281" s="877">
        <f t="shared" si="17"/>
        <v>760.45807579826226</v>
      </c>
      <c r="E281" s="877">
        <f t="shared" si="18"/>
        <v>5567.099444670007</v>
      </c>
      <c r="G281" s="877">
        <f t="shared" si="19"/>
        <v>165918.12562871177</v>
      </c>
    </row>
    <row r="282" spans="2:7" x14ac:dyDescent="0.3">
      <c r="B282" s="581">
        <v>273</v>
      </c>
      <c r="C282" s="877">
        <f t="shared" si="16"/>
        <v>6327.5575204682691</v>
      </c>
      <c r="D282" s="877">
        <f t="shared" si="17"/>
        <v>734.94220334352474</v>
      </c>
      <c r="E282" s="877">
        <f t="shared" si="18"/>
        <v>5592.6153171247443</v>
      </c>
      <c r="G282" s="877">
        <f t="shared" si="19"/>
        <v>160351.02618404175</v>
      </c>
    </row>
    <row r="283" spans="2:7" x14ac:dyDescent="0.3">
      <c r="B283" s="581">
        <v>274</v>
      </c>
      <c r="C283" s="877">
        <f t="shared" si="16"/>
        <v>6327.5575204682691</v>
      </c>
      <c r="D283" s="877">
        <f t="shared" si="17"/>
        <v>709.30938314003618</v>
      </c>
      <c r="E283" s="877">
        <f t="shared" si="18"/>
        <v>5618.2481373282326</v>
      </c>
      <c r="G283" s="877">
        <f t="shared" si="19"/>
        <v>154758.41086691699</v>
      </c>
    </row>
    <row r="284" spans="2:7" x14ac:dyDescent="0.3">
      <c r="B284" s="581">
        <v>275</v>
      </c>
      <c r="C284" s="877">
        <f t="shared" si="16"/>
        <v>6327.5575204682691</v>
      </c>
      <c r="D284" s="877">
        <f t="shared" si="17"/>
        <v>683.55907917728189</v>
      </c>
      <c r="E284" s="877">
        <f t="shared" si="18"/>
        <v>5643.9984412909871</v>
      </c>
      <c r="G284" s="877">
        <f t="shared" si="19"/>
        <v>149140.16272958877</v>
      </c>
    </row>
    <row r="285" spans="2:7" x14ac:dyDescent="0.3">
      <c r="B285" s="581">
        <v>276</v>
      </c>
      <c r="C285" s="877">
        <f t="shared" si="16"/>
        <v>6327.5575204682691</v>
      </c>
      <c r="D285" s="877">
        <f t="shared" si="17"/>
        <v>657.69075298803148</v>
      </c>
      <c r="E285" s="877">
        <f t="shared" si="18"/>
        <v>5669.8667674802373</v>
      </c>
      <c r="G285" s="877">
        <f t="shared" si="19"/>
        <v>143496.16428829779</v>
      </c>
    </row>
    <row r="286" spans="2:7" x14ac:dyDescent="0.3">
      <c r="B286" s="581">
        <v>277</v>
      </c>
      <c r="C286" s="877">
        <f t="shared" si="16"/>
        <v>6327.5575204682691</v>
      </c>
      <c r="D286" s="877">
        <f t="shared" si="17"/>
        <v>631.70386363708042</v>
      </c>
      <c r="E286" s="877">
        <f t="shared" si="18"/>
        <v>5695.8536568311883</v>
      </c>
      <c r="G286" s="877">
        <f t="shared" si="19"/>
        <v>137826.29752081755</v>
      </c>
    </row>
    <row r="287" spans="2:7" x14ac:dyDescent="0.3">
      <c r="B287" s="581">
        <v>278</v>
      </c>
      <c r="C287" s="877">
        <f t="shared" si="16"/>
        <v>6327.5575204682691</v>
      </c>
      <c r="D287" s="877">
        <f t="shared" si="17"/>
        <v>605.59786770993742</v>
      </c>
      <c r="E287" s="877">
        <f t="shared" si="18"/>
        <v>5721.9596527583317</v>
      </c>
      <c r="G287" s="877">
        <f t="shared" si="19"/>
        <v>132130.44386398635</v>
      </c>
    </row>
    <row r="288" spans="2:7" x14ac:dyDescent="0.3">
      <c r="B288" s="581">
        <v>279</v>
      </c>
      <c r="C288" s="877">
        <f t="shared" si="16"/>
        <v>6327.5575204682691</v>
      </c>
      <c r="D288" s="877">
        <f t="shared" si="17"/>
        <v>579.37221930146177</v>
      </c>
      <c r="E288" s="877">
        <f t="shared" si="18"/>
        <v>5748.1853011668072</v>
      </c>
      <c r="G288" s="877">
        <f t="shared" si="19"/>
        <v>126408.48421122802</v>
      </c>
    </row>
    <row r="289" spans="2:7" x14ac:dyDescent="0.3">
      <c r="B289" s="581">
        <v>280</v>
      </c>
      <c r="C289" s="877">
        <f t="shared" si="16"/>
        <v>6327.5575204682691</v>
      </c>
      <c r="D289" s="877">
        <f t="shared" si="17"/>
        <v>553.02637000444713</v>
      </c>
      <c r="E289" s="877">
        <f t="shared" si="18"/>
        <v>5774.5311504638221</v>
      </c>
      <c r="G289" s="877">
        <f t="shared" si="19"/>
        <v>120660.2989100612</v>
      </c>
    </row>
    <row r="290" spans="2:7" x14ac:dyDescent="0.3">
      <c r="B290" s="581">
        <v>281</v>
      </c>
      <c r="C290" s="877">
        <f t="shared" si="16"/>
        <v>6327.5575204682691</v>
      </c>
      <c r="D290" s="877">
        <f t="shared" si="17"/>
        <v>526.55976889815463</v>
      </c>
      <c r="E290" s="877">
        <f t="shared" si="18"/>
        <v>5800.9977515701148</v>
      </c>
      <c r="G290" s="877">
        <f t="shared" si="19"/>
        <v>114885.76775959738</v>
      </c>
    </row>
    <row r="291" spans="2:7" x14ac:dyDescent="0.3">
      <c r="B291" s="581">
        <v>282</v>
      </c>
      <c r="C291" s="877">
        <f t="shared" si="16"/>
        <v>6327.5575204682691</v>
      </c>
      <c r="D291" s="877">
        <f t="shared" si="17"/>
        <v>499.9718625367916</v>
      </c>
      <c r="E291" s="877">
        <f t="shared" si="18"/>
        <v>5827.5856579314777</v>
      </c>
      <c r="G291" s="877">
        <f t="shared" si="19"/>
        <v>109084.77000802726</v>
      </c>
    </row>
    <row r="292" spans="2:7" x14ac:dyDescent="0.3">
      <c r="B292" s="581">
        <v>283</v>
      </c>
      <c r="C292" s="877">
        <f t="shared" si="16"/>
        <v>6327.5575204682691</v>
      </c>
      <c r="D292" s="877">
        <f t="shared" si="17"/>
        <v>473.26209493793908</v>
      </c>
      <c r="E292" s="877">
        <f t="shared" si="18"/>
        <v>5854.2954255303302</v>
      </c>
      <c r="G292" s="877">
        <f t="shared" si="19"/>
        <v>103257.18435009579</v>
      </c>
    </row>
    <row r="293" spans="2:7" x14ac:dyDescent="0.3">
      <c r="B293" s="581">
        <v>284</v>
      </c>
      <c r="C293" s="877">
        <f t="shared" si="16"/>
        <v>6327.5575204682691</v>
      </c>
      <c r="D293" s="877">
        <f t="shared" si="17"/>
        <v>446.42990757092502</v>
      </c>
      <c r="E293" s="877">
        <f t="shared" si="18"/>
        <v>5881.1276128973441</v>
      </c>
      <c r="G293" s="877">
        <f t="shared" si="19"/>
        <v>97402.888924565457</v>
      </c>
    </row>
    <row r="294" spans="2:7" x14ac:dyDescent="0.3">
      <c r="B294" s="581">
        <v>285</v>
      </c>
      <c r="C294" s="877">
        <f t="shared" si="16"/>
        <v>6327.5575204682691</v>
      </c>
      <c r="D294" s="877">
        <f t="shared" si="17"/>
        <v>419.47473934514551</v>
      </c>
      <c r="E294" s="877">
        <f t="shared" si="18"/>
        <v>5908.0827811231238</v>
      </c>
      <c r="G294" s="877">
        <f t="shared" si="19"/>
        <v>91521.761311668117</v>
      </c>
    </row>
    <row r="295" spans="2:7" x14ac:dyDescent="0.3">
      <c r="B295" s="581">
        <v>286</v>
      </c>
      <c r="C295" s="877">
        <f t="shared" si="16"/>
        <v>6327.5575204682691</v>
      </c>
      <c r="D295" s="877">
        <f t="shared" si="17"/>
        <v>392.39602659833122</v>
      </c>
      <c r="E295" s="877">
        <f t="shared" si="18"/>
        <v>5935.1614938699377</v>
      </c>
      <c r="G295" s="877">
        <f t="shared" si="19"/>
        <v>85613.678530544988</v>
      </c>
    </row>
    <row r="296" spans="2:7" x14ac:dyDescent="0.3">
      <c r="B296" s="581">
        <v>287</v>
      </c>
      <c r="C296" s="877">
        <f t="shared" si="16"/>
        <v>6327.5575204682691</v>
      </c>
      <c r="D296" s="877">
        <f t="shared" si="17"/>
        <v>365.19320308476068</v>
      </c>
      <c r="E296" s="877">
        <f t="shared" si="18"/>
        <v>5962.364317383508</v>
      </c>
      <c r="G296" s="877">
        <f t="shared" si="19"/>
        <v>79678.517036675054</v>
      </c>
    </row>
    <row r="297" spans="2:7" x14ac:dyDescent="0.3">
      <c r="B297" s="581">
        <v>288</v>
      </c>
      <c r="C297" s="877">
        <f t="shared" si="16"/>
        <v>6327.5575204682691</v>
      </c>
      <c r="D297" s="877">
        <f t="shared" si="17"/>
        <v>337.86569996341956</v>
      </c>
      <c r="E297" s="877">
        <f t="shared" si="18"/>
        <v>5989.6918205048496</v>
      </c>
      <c r="G297" s="877">
        <f t="shared" si="19"/>
        <v>73716.152719291538</v>
      </c>
    </row>
    <row r="298" spans="2:7" x14ac:dyDescent="0.3">
      <c r="B298" s="581">
        <v>289</v>
      </c>
      <c r="C298" s="877">
        <f t="shared" si="16"/>
        <v>6327.5575204682691</v>
      </c>
      <c r="D298" s="877">
        <f t="shared" si="17"/>
        <v>310.41294578610569</v>
      </c>
      <c r="E298" s="877">
        <f t="shared" si="18"/>
        <v>6017.1445746821637</v>
      </c>
      <c r="G298" s="877">
        <f t="shared" si="19"/>
        <v>67726.460898786696</v>
      </c>
    </row>
    <row r="299" spans="2:7" x14ac:dyDescent="0.3">
      <c r="B299" s="581">
        <v>290</v>
      </c>
      <c r="C299" s="877">
        <f t="shared" si="16"/>
        <v>6327.5575204682691</v>
      </c>
      <c r="D299" s="877">
        <f t="shared" si="17"/>
        <v>282.83436648547911</v>
      </c>
      <c r="E299" s="877">
        <f t="shared" si="18"/>
        <v>6044.7231539827899</v>
      </c>
      <c r="G299" s="877">
        <f t="shared" si="19"/>
        <v>61709.316324104533</v>
      </c>
    </row>
    <row r="300" spans="2:7" x14ac:dyDescent="0.3">
      <c r="B300" s="581">
        <v>291</v>
      </c>
      <c r="C300" s="877">
        <f t="shared" si="16"/>
        <v>6327.5575204682691</v>
      </c>
      <c r="D300" s="877">
        <f t="shared" si="17"/>
        <v>255.12938536305799</v>
      </c>
      <c r="E300" s="877">
        <f t="shared" si="18"/>
        <v>6072.4281351052114</v>
      </c>
      <c r="G300" s="877">
        <f t="shared" si="19"/>
        <v>55664.593170121741</v>
      </c>
    </row>
    <row r="301" spans="2:7" x14ac:dyDescent="0.3">
      <c r="B301" s="581">
        <v>292</v>
      </c>
      <c r="C301" s="877">
        <f t="shared" si="16"/>
        <v>6327.5575204682691</v>
      </c>
      <c r="D301" s="877">
        <f t="shared" si="17"/>
        <v>227.2974230771591</v>
      </c>
      <c r="E301" s="877">
        <f t="shared" si="18"/>
        <v>6100.2600973911103</v>
      </c>
      <c r="G301" s="877">
        <f t="shared" si="19"/>
        <v>49592.165035016529</v>
      </c>
    </row>
    <row r="302" spans="2:7" x14ac:dyDescent="0.3">
      <c r="B302" s="581">
        <v>293</v>
      </c>
      <c r="C302" s="877">
        <f t="shared" si="16"/>
        <v>6327.5575204682691</v>
      </c>
      <c r="D302" s="877">
        <f t="shared" si="17"/>
        <v>199.33789763078315</v>
      </c>
      <c r="E302" s="877">
        <f t="shared" si="18"/>
        <v>6128.219622837486</v>
      </c>
      <c r="G302" s="877">
        <f t="shared" si="19"/>
        <v>43491.904937625419</v>
      </c>
    </row>
    <row r="303" spans="2:7" x14ac:dyDescent="0.3">
      <c r="B303" s="581">
        <v>294</v>
      </c>
      <c r="C303" s="877">
        <f t="shared" si="16"/>
        <v>6327.5575204682691</v>
      </c>
      <c r="D303" s="877">
        <f t="shared" si="17"/>
        <v>171.25022435944467</v>
      </c>
      <c r="E303" s="877">
        <f t="shared" si="18"/>
        <v>6156.3072961088246</v>
      </c>
      <c r="G303" s="877">
        <f t="shared" si="19"/>
        <v>37363.68531478793</v>
      </c>
    </row>
    <row r="304" spans="2:7" x14ac:dyDescent="0.3">
      <c r="B304" s="581">
        <v>295</v>
      </c>
      <c r="C304" s="877">
        <f t="shared" si="16"/>
        <v>6327.5575204682691</v>
      </c>
      <c r="D304" s="877">
        <f t="shared" si="17"/>
        <v>143.03381591894589</v>
      </c>
      <c r="E304" s="877">
        <f t="shared" si="18"/>
        <v>6184.5237045493232</v>
      </c>
      <c r="G304" s="877">
        <f t="shared" si="19"/>
        <v>31207.378018679105</v>
      </c>
    </row>
    <row r="305" spans="2:7" x14ac:dyDescent="0.3">
      <c r="B305" s="581">
        <v>296</v>
      </c>
      <c r="C305" s="877">
        <f t="shared" si="16"/>
        <v>6327.5575204682691</v>
      </c>
      <c r="D305" s="877">
        <f t="shared" si="17"/>
        <v>114.68808227309484</v>
      </c>
      <c r="E305" s="877">
        <f t="shared" si="18"/>
        <v>6212.8694381951746</v>
      </c>
      <c r="G305" s="877">
        <f t="shared" si="19"/>
        <v>25022.854314129781</v>
      </c>
    </row>
    <row r="306" spans="2:7" x14ac:dyDescent="0.3">
      <c r="B306" s="581">
        <v>297</v>
      </c>
      <c r="C306" s="877">
        <f t="shared" si="16"/>
        <v>6327.5575204682691</v>
      </c>
      <c r="D306" s="877">
        <f t="shared" si="17"/>
        <v>86.212430681366939</v>
      </c>
      <c r="E306" s="877">
        <f t="shared" si="18"/>
        <v>6241.3450897869025</v>
      </c>
      <c r="G306" s="877">
        <f t="shared" si="19"/>
        <v>18809.984875934606</v>
      </c>
    </row>
    <row r="307" spans="2:7" x14ac:dyDescent="0.3">
      <c r="B307" s="581">
        <v>298</v>
      </c>
      <c r="C307" s="877">
        <f t="shared" si="16"/>
        <v>6327.5575204682691</v>
      </c>
      <c r="D307" s="877">
        <f t="shared" si="17"/>
        <v>57.606265686510312</v>
      </c>
      <c r="E307" s="877">
        <f t="shared" si="18"/>
        <v>6269.9512547817585</v>
      </c>
      <c r="G307" s="877">
        <f t="shared" si="19"/>
        <v>12568.639786147703</v>
      </c>
    </row>
    <row r="308" spans="2:7" x14ac:dyDescent="0.3">
      <c r="B308" s="581">
        <v>299</v>
      </c>
      <c r="C308" s="877">
        <f t="shared" si="16"/>
        <v>6327.557520468039</v>
      </c>
      <c r="D308" s="877">
        <f t="shared" si="17"/>
        <v>28.868989102093916</v>
      </c>
      <c r="E308" s="877">
        <f t="shared" si="18"/>
        <v>6298.688531365945</v>
      </c>
      <c r="G308" s="877">
        <f t="shared" si="19"/>
        <v>6298.688531365945</v>
      </c>
    </row>
    <row r="309" spans="2:7" x14ac:dyDescent="0.3">
      <c r="B309" s="581">
        <v>300</v>
      </c>
      <c r="C309" s="877">
        <f t="shared" si="16"/>
        <v>0</v>
      </c>
      <c r="D309" s="877">
        <f t="shared" si="17"/>
        <v>0</v>
      </c>
      <c r="E309" s="877">
        <f t="shared" si="18"/>
        <v>0</v>
      </c>
      <c r="G309" s="877">
        <f t="shared" si="19"/>
        <v>0</v>
      </c>
    </row>
    <row r="310" spans="2:7" x14ac:dyDescent="0.3">
      <c r="B310" s="581">
        <v>301</v>
      </c>
      <c r="C310" s="877">
        <f t="shared" si="16"/>
        <v>0</v>
      </c>
      <c r="D310" s="877">
        <f t="shared" si="17"/>
        <v>0</v>
      </c>
      <c r="E310" s="877">
        <f t="shared" si="18"/>
        <v>0</v>
      </c>
      <c r="G310" s="877">
        <f t="shared" si="19"/>
        <v>0</v>
      </c>
    </row>
    <row r="311" spans="2:7" x14ac:dyDescent="0.3">
      <c r="B311" s="581">
        <v>302</v>
      </c>
      <c r="C311" s="877">
        <f t="shared" si="16"/>
        <v>0</v>
      </c>
      <c r="D311" s="877">
        <f t="shared" si="17"/>
        <v>0</v>
      </c>
      <c r="E311" s="877">
        <f t="shared" si="18"/>
        <v>0</v>
      </c>
      <c r="G311" s="877">
        <f t="shared" si="19"/>
        <v>0</v>
      </c>
    </row>
    <row r="312" spans="2:7" x14ac:dyDescent="0.3">
      <c r="B312" s="581">
        <v>303</v>
      </c>
      <c r="C312" s="877">
        <f t="shared" si="16"/>
        <v>0</v>
      </c>
      <c r="D312" s="877">
        <f t="shared" si="17"/>
        <v>0</v>
      </c>
      <c r="E312" s="877">
        <f t="shared" si="18"/>
        <v>0</v>
      </c>
      <c r="G312" s="877">
        <f t="shared" si="19"/>
        <v>0</v>
      </c>
    </row>
    <row r="313" spans="2:7" x14ac:dyDescent="0.3">
      <c r="B313" s="581">
        <v>304</v>
      </c>
      <c r="C313" s="877">
        <f t="shared" si="16"/>
        <v>0</v>
      </c>
      <c r="D313" s="877">
        <f t="shared" si="17"/>
        <v>0</v>
      </c>
      <c r="E313" s="877">
        <f t="shared" si="18"/>
        <v>0</v>
      </c>
      <c r="G313" s="877">
        <f t="shared" si="19"/>
        <v>0</v>
      </c>
    </row>
    <row r="314" spans="2:7" x14ac:dyDescent="0.3">
      <c r="B314" s="581">
        <v>305</v>
      </c>
      <c r="C314" s="877">
        <f t="shared" si="16"/>
        <v>0</v>
      </c>
      <c r="D314" s="877">
        <f t="shared" si="17"/>
        <v>0</v>
      </c>
      <c r="E314" s="877">
        <f t="shared" si="18"/>
        <v>0</v>
      </c>
      <c r="G314" s="877">
        <f t="shared" si="19"/>
        <v>0</v>
      </c>
    </row>
    <row r="315" spans="2:7" x14ac:dyDescent="0.3">
      <c r="B315" s="581">
        <v>306</v>
      </c>
      <c r="C315" s="877">
        <f t="shared" si="16"/>
        <v>0</v>
      </c>
      <c r="D315" s="877">
        <f t="shared" si="17"/>
        <v>0</v>
      </c>
      <c r="E315" s="877">
        <f t="shared" si="18"/>
        <v>0</v>
      </c>
      <c r="G315" s="877">
        <f t="shared" si="19"/>
        <v>0</v>
      </c>
    </row>
    <row r="316" spans="2:7" x14ac:dyDescent="0.3">
      <c r="B316" s="581">
        <v>307</v>
      </c>
      <c r="C316" s="877">
        <f t="shared" si="16"/>
        <v>0</v>
      </c>
      <c r="D316" s="877">
        <f t="shared" si="17"/>
        <v>0</v>
      </c>
      <c r="E316" s="877">
        <f t="shared" si="18"/>
        <v>0</v>
      </c>
      <c r="G316" s="877">
        <f t="shared" si="19"/>
        <v>0</v>
      </c>
    </row>
    <row r="317" spans="2:7" x14ac:dyDescent="0.3">
      <c r="B317" s="581">
        <v>308</v>
      </c>
      <c r="C317" s="877">
        <f t="shared" si="16"/>
        <v>0</v>
      </c>
      <c r="D317" s="877">
        <f t="shared" si="17"/>
        <v>0</v>
      </c>
      <c r="E317" s="877">
        <f t="shared" si="18"/>
        <v>0</v>
      </c>
      <c r="G317" s="877">
        <f t="shared" si="19"/>
        <v>0</v>
      </c>
    </row>
    <row r="318" spans="2:7" x14ac:dyDescent="0.3">
      <c r="B318" s="581">
        <v>309</v>
      </c>
      <c r="C318" s="877">
        <f t="shared" si="16"/>
        <v>0</v>
      </c>
      <c r="D318" s="877">
        <f t="shared" si="17"/>
        <v>0</v>
      </c>
      <c r="E318" s="877">
        <f t="shared" si="18"/>
        <v>0</v>
      </c>
      <c r="G318" s="877">
        <f t="shared" si="19"/>
        <v>0</v>
      </c>
    </row>
    <row r="319" spans="2:7" x14ac:dyDescent="0.3">
      <c r="B319" s="581">
        <v>310</v>
      </c>
      <c r="C319" s="877">
        <f t="shared" si="16"/>
        <v>0</v>
      </c>
      <c r="D319" s="877">
        <f t="shared" si="17"/>
        <v>0</v>
      </c>
      <c r="E319" s="877">
        <f t="shared" si="18"/>
        <v>0</v>
      </c>
      <c r="G319" s="877">
        <f t="shared" si="19"/>
        <v>0</v>
      </c>
    </row>
    <row r="320" spans="2:7" x14ac:dyDescent="0.3">
      <c r="B320" s="581">
        <v>311</v>
      </c>
      <c r="C320" s="877">
        <f t="shared" si="16"/>
        <v>0</v>
      </c>
      <c r="D320" s="877">
        <f t="shared" si="17"/>
        <v>0</v>
      </c>
      <c r="E320" s="877">
        <f t="shared" si="18"/>
        <v>0</v>
      </c>
      <c r="G320" s="877">
        <f t="shared" si="19"/>
        <v>0</v>
      </c>
    </row>
    <row r="321" spans="2:7" x14ac:dyDescent="0.3">
      <c r="B321" s="581">
        <v>312</v>
      </c>
      <c r="C321" s="877">
        <f t="shared" si="16"/>
        <v>0</v>
      </c>
      <c r="D321" s="877">
        <f t="shared" si="17"/>
        <v>0</v>
      </c>
      <c r="E321" s="877">
        <f t="shared" si="18"/>
        <v>0</v>
      </c>
      <c r="G321" s="877">
        <f t="shared" si="19"/>
        <v>0</v>
      </c>
    </row>
    <row r="322" spans="2:7" x14ac:dyDescent="0.3">
      <c r="B322" s="581">
        <v>313</v>
      </c>
      <c r="C322" s="877">
        <f t="shared" si="16"/>
        <v>0</v>
      </c>
      <c r="D322" s="877">
        <f t="shared" si="17"/>
        <v>0</v>
      </c>
      <c r="E322" s="877">
        <f t="shared" si="18"/>
        <v>0</v>
      </c>
      <c r="G322" s="877">
        <f t="shared" si="19"/>
        <v>0</v>
      </c>
    </row>
    <row r="323" spans="2:7" x14ac:dyDescent="0.3">
      <c r="B323" s="581">
        <v>314</v>
      </c>
      <c r="C323" s="877">
        <f t="shared" si="16"/>
        <v>0</v>
      </c>
      <c r="D323" s="877">
        <f t="shared" si="17"/>
        <v>0</v>
      </c>
      <c r="E323" s="877">
        <f t="shared" si="18"/>
        <v>0</v>
      </c>
      <c r="G323" s="877">
        <f t="shared" si="19"/>
        <v>0</v>
      </c>
    </row>
    <row r="324" spans="2:7" x14ac:dyDescent="0.3">
      <c r="B324" s="581">
        <v>315</v>
      </c>
      <c r="C324" s="877">
        <f t="shared" si="16"/>
        <v>0</v>
      </c>
      <c r="D324" s="877">
        <f t="shared" si="17"/>
        <v>0</v>
      </c>
      <c r="E324" s="877">
        <f t="shared" si="18"/>
        <v>0</v>
      </c>
      <c r="G324" s="877">
        <f t="shared" si="19"/>
        <v>0</v>
      </c>
    </row>
    <row r="325" spans="2:7" x14ac:dyDescent="0.3">
      <c r="B325" s="581">
        <v>316</v>
      </c>
      <c r="C325" s="877">
        <f t="shared" si="16"/>
        <v>0</v>
      </c>
      <c r="D325" s="877">
        <f t="shared" si="17"/>
        <v>0</v>
      </c>
      <c r="E325" s="877">
        <f t="shared" si="18"/>
        <v>0</v>
      </c>
      <c r="G325" s="877">
        <f t="shared" si="19"/>
        <v>0</v>
      </c>
    </row>
    <row r="326" spans="2:7" x14ac:dyDescent="0.3">
      <c r="B326" s="581">
        <v>317</v>
      </c>
      <c r="C326" s="877">
        <f t="shared" si="16"/>
        <v>0</v>
      </c>
      <c r="D326" s="877">
        <f t="shared" si="17"/>
        <v>0</v>
      </c>
      <c r="E326" s="877">
        <f t="shared" si="18"/>
        <v>0</v>
      </c>
      <c r="G326" s="877">
        <f t="shared" si="19"/>
        <v>0</v>
      </c>
    </row>
    <row r="327" spans="2:7" x14ac:dyDescent="0.3">
      <c r="B327" s="581">
        <v>318</v>
      </c>
      <c r="C327" s="877">
        <f t="shared" si="16"/>
        <v>0</v>
      </c>
      <c r="D327" s="877">
        <f t="shared" si="17"/>
        <v>0</v>
      </c>
      <c r="E327" s="877">
        <f t="shared" si="18"/>
        <v>0</v>
      </c>
      <c r="G327" s="877">
        <f t="shared" si="19"/>
        <v>0</v>
      </c>
    </row>
    <row r="328" spans="2:7" x14ac:dyDescent="0.3">
      <c r="B328" s="581">
        <v>319</v>
      </c>
      <c r="C328" s="877">
        <f t="shared" si="16"/>
        <v>0</v>
      </c>
      <c r="D328" s="877">
        <f t="shared" si="17"/>
        <v>0</v>
      </c>
      <c r="E328" s="877">
        <f t="shared" si="18"/>
        <v>0</v>
      </c>
      <c r="G328" s="877">
        <f t="shared" si="19"/>
        <v>0</v>
      </c>
    </row>
    <row r="329" spans="2:7" x14ac:dyDescent="0.3">
      <c r="B329" s="581">
        <v>320</v>
      </c>
      <c r="C329" s="877">
        <f t="shared" si="16"/>
        <v>0</v>
      </c>
      <c r="D329" s="877">
        <f t="shared" si="17"/>
        <v>0</v>
      </c>
      <c r="E329" s="877">
        <f t="shared" si="18"/>
        <v>0</v>
      </c>
      <c r="G329" s="877">
        <f t="shared" si="19"/>
        <v>0</v>
      </c>
    </row>
    <row r="330" spans="2:7" x14ac:dyDescent="0.3">
      <c r="B330" s="581">
        <v>321</v>
      </c>
      <c r="C330" s="877">
        <f t="shared" ref="C330:C371" si="20">IF($C$3&lt;G330+(G330*($C$4/$C$6)),$C$3,G330+(G330*($C$4/$C$6)))</f>
        <v>0</v>
      </c>
      <c r="D330" s="877">
        <f t="shared" ref="D330:D371" si="21">G330*$C$4/$C$6</f>
        <v>0</v>
      </c>
      <c r="E330" s="877">
        <f t="shared" ref="E330:E371" si="22">C330-D330</f>
        <v>0</v>
      </c>
      <c r="G330" s="877">
        <f t="shared" si="19"/>
        <v>0</v>
      </c>
    </row>
    <row r="331" spans="2:7" x14ac:dyDescent="0.3">
      <c r="B331" s="581">
        <v>322</v>
      </c>
      <c r="C331" s="877">
        <f t="shared" si="20"/>
        <v>0</v>
      </c>
      <c r="D331" s="877">
        <f t="shared" si="21"/>
        <v>0</v>
      </c>
      <c r="E331" s="877">
        <f t="shared" si="22"/>
        <v>0</v>
      </c>
      <c r="G331" s="877">
        <f t="shared" ref="G331:G371" si="23">G330-E330-F330</f>
        <v>0</v>
      </c>
    </row>
    <row r="332" spans="2:7" x14ac:dyDescent="0.3">
      <c r="B332" s="581">
        <v>323</v>
      </c>
      <c r="C332" s="877">
        <f t="shared" si="20"/>
        <v>0</v>
      </c>
      <c r="D332" s="877">
        <f t="shared" si="21"/>
        <v>0</v>
      </c>
      <c r="E332" s="877">
        <f t="shared" si="22"/>
        <v>0</v>
      </c>
      <c r="G332" s="877">
        <f t="shared" si="23"/>
        <v>0</v>
      </c>
    </row>
    <row r="333" spans="2:7" x14ac:dyDescent="0.3">
      <c r="B333" s="581">
        <v>324</v>
      </c>
      <c r="C333" s="877">
        <f t="shared" si="20"/>
        <v>0</v>
      </c>
      <c r="D333" s="877">
        <f t="shared" si="21"/>
        <v>0</v>
      </c>
      <c r="E333" s="877">
        <f t="shared" si="22"/>
        <v>0</v>
      </c>
      <c r="G333" s="877">
        <f t="shared" si="23"/>
        <v>0</v>
      </c>
    </row>
    <row r="334" spans="2:7" x14ac:dyDescent="0.3">
      <c r="B334" s="581">
        <v>325</v>
      </c>
      <c r="C334" s="877">
        <f t="shared" si="20"/>
        <v>0</v>
      </c>
      <c r="D334" s="877">
        <f t="shared" si="21"/>
        <v>0</v>
      </c>
      <c r="E334" s="877">
        <f t="shared" si="22"/>
        <v>0</v>
      </c>
      <c r="G334" s="877">
        <f t="shared" si="23"/>
        <v>0</v>
      </c>
    </row>
    <row r="335" spans="2:7" x14ac:dyDescent="0.3">
      <c r="B335" s="581">
        <v>326</v>
      </c>
      <c r="C335" s="877">
        <f t="shared" si="20"/>
        <v>0</v>
      </c>
      <c r="D335" s="877">
        <f t="shared" si="21"/>
        <v>0</v>
      </c>
      <c r="E335" s="877">
        <f t="shared" si="22"/>
        <v>0</v>
      </c>
      <c r="G335" s="877">
        <f t="shared" si="23"/>
        <v>0</v>
      </c>
    </row>
    <row r="336" spans="2:7" x14ac:dyDescent="0.3">
      <c r="B336" s="581">
        <v>327</v>
      </c>
      <c r="C336" s="877">
        <f t="shared" si="20"/>
        <v>0</v>
      </c>
      <c r="D336" s="877">
        <f t="shared" si="21"/>
        <v>0</v>
      </c>
      <c r="E336" s="877">
        <f t="shared" si="22"/>
        <v>0</v>
      </c>
      <c r="G336" s="877">
        <f t="shared" si="23"/>
        <v>0</v>
      </c>
    </row>
    <row r="337" spans="2:7" x14ac:dyDescent="0.3">
      <c r="B337" s="581">
        <v>328</v>
      </c>
      <c r="C337" s="877">
        <f t="shared" si="20"/>
        <v>0</v>
      </c>
      <c r="D337" s="877">
        <f t="shared" si="21"/>
        <v>0</v>
      </c>
      <c r="E337" s="877">
        <f t="shared" si="22"/>
        <v>0</v>
      </c>
      <c r="G337" s="877">
        <f t="shared" si="23"/>
        <v>0</v>
      </c>
    </row>
    <row r="338" spans="2:7" x14ac:dyDescent="0.3">
      <c r="B338" s="581">
        <v>329</v>
      </c>
      <c r="C338" s="877">
        <f t="shared" si="20"/>
        <v>0</v>
      </c>
      <c r="D338" s="877">
        <f t="shared" si="21"/>
        <v>0</v>
      </c>
      <c r="E338" s="877">
        <f t="shared" si="22"/>
        <v>0</v>
      </c>
      <c r="G338" s="877">
        <f t="shared" si="23"/>
        <v>0</v>
      </c>
    </row>
    <row r="339" spans="2:7" x14ac:dyDescent="0.3">
      <c r="B339" s="581">
        <v>330</v>
      </c>
      <c r="C339" s="877">
        <f t="shared" si="20"/>
        <v>0</v>
      </c>
      <c r="D339" s="877">
        <f t="shared" si="21"/>
        <v>0</v>
      </c>
      <c r="E339" s="877">
        <f t="shared" si="22"/>
        <v>0</v>
      </c>
      <c r="G339" s="877">
        <f t="shared" si="23"/>
        <v>0</v>
      </c>
    </row>
    <row r="340" spans="2:7" x14ac:dyDescent="0.3">
      <c r="B340" s="581">
        <v>331</v>
      </c>
      <c r="C340" s="877">
        <f t="shared" si="20"/>
        <v>0</v>
      </c>
      <c r="D340" s="877">
        <f t="shared" si="21"/>
        <v>0</v>
      </c>
      <c r="E340" s="877">
        <f t="shared" si="22"/>
        <v>0</v>
      </c>
      <c r="G340" s="877">
        <f t="shared" si="23"/>
        <v>0</v>
      </c>
    </row>
    <row r="341" spans="2:7" x14ac:dyDescent="0.3">
      <c r="B341" s="581">
        <v>332</v>
      </c>
      <c r="C341" s="877">
        <f t="shared" si="20"/>
        <v>0</v>
      </c>
      <c r="D341" s="877">
        <f t="shared" si="21"/>
        <v>0</v>
      </c>
      <c r="E341" s="877">
        <f t="shared" si="22"/>
        <v>0</v>
      </c>
      <c r="G341" s="877">
        <f t="shared" si="23"/>
        <v>0</v>
      </c>
    </row>
    <row r="342" spans="2:7" x14ac:dyDescent="0.3">
      <c r="B342" s="581">
        <v>333</v>
      </c>
      <c r="C342" s="877">
        <f t="shared" si="20"/>
        <v>0</v>
      </c>
      <c r="D342" s="877">
        <f t="shared" si="21"/>
        <v>0</v>
      </c>
      <c r="E342" s="877">
        <f t="shared" si="22"/>
        <v>0</v>
      </c>
      <c r="G342" s="877">
        <f t="shared" si="23"/>
        <v>0</v>
      </c>
    </row>
    <row r="343" spans="2:7" x14ac:dyDescent="0.3">
      <c r="B343" s="581">
        <v>334</v>
      </c>
      <c r="C343" s="877">
        <f t="shared" si="20"/>
        <v>0</v>
      </c>
      <c r="D343" s="877">
        <f t="shared" si="21"/>
        <v>0</v>
      </c>
      <c r="E343" s="877">
        <f t="shared" si="22"/>
        <v>0</v>
      </c>
      <c r="G343" s="877">
        <f t="shared" si="23"/>
        <v>0</v>
      </c>
    </row>
    <row r="344" spans="2:7" x14ac:dyDescent="0.3">
      <c r="B344" s="581">
        <v>335</v>
      </c>
      <c r="C344" s="877">
        <f t="shared" si="20"/>
        <v>0</v>
      </c>
      <c r="D344" s="877">
        <f t="shared" si="21"/>
        <v>0</v>
      </c>
      <c r="E344" s="877">
        <f t="shared" si="22"/>
        <v>0</v>
      </c>
      <c r="G344" s="877">
        <f t="shared" si="23"/>
        <v>0</v>
      </c>
    </row>
    <row r="345" spans="2:7" x14ac:dyDescent="0.3">
      <c r="B345" s="581">
        <v>336</v>
      </c>
      <c r="C345" s="877">
        <f t="shared" si="20"/>
        <v>0</v>
      </c>
      <c r="D345" s="877">
        <f t="shared" si="21"/>
        <v>0</v>
      </c>
      <c r="E345" s="877">
        <f t="shared" si="22"/>
        <v>0</v>
      </c>
      <c r="G345" s="877">
        <f t="shared" si="23"/>
        <v>0</v>
      </c>
    </row>
    <row r="346" spans="2:7" x14ac:dyDescent="0.3">
      <c r="B346" s="581">
        <v>337</v>
      </c>
      <c r="C346" s="877">
        <f t="shared" si="20"/>
        <v>0</v>
      </c>
      <c r="D346" s="877">
        <f t="shared" si="21"/>
        <v>0</v>
      </c>
      <c r="E346" s="877">
        <f t="shared" si="22"/>
        <v>0</v>
      </c>
      <c r="G346" s="877">
        <f t="shared" si="23"/>
        <v>0</v>
      </c>
    </row>
    <row r="347" spans="2:7" x14ac:dyDescent="0.3">
      <c r="B347" s="581">
        <v>338</v>
      </c>
      <c r="C347" s="877">
        <f t="shared" si="20"/>
        <v>0</v>
      </c>
      <c r="D347" s="877">
        <f t="shared" si="21"/>
        <v>0</v>
      </c>
      <c r="E347" s="877">
        <f t="shared" si="22"/>
        <v>0</v>
      </c>
      <c r="G347" s="877">
        <f t="shared" si="23"/>
        <v>0</v>
      </c>
    </row>
    <row r="348" spans="2:7" x14ac:dyDescent="0.3">
      <c r="B348" s="581">
        <v>339</v>
      </c>
      <c r="C348" s="877">
        <f t="shared" si="20"/>
        <v>0</v>
      </c>
      <c r="D348" s="877">
        <f t="shared" si="21"/>
        <v>0</v>
      </c>
      <c r="E348" s="877">
        <f t="shared" si="22"/>
        <v>0</v>
      </c>
      <c r="G348" s="877">
        <f t="shared" si="23"/>
        <v>0</v>
      </c>
    </row>
    <row r="349" spans="2:7" x14ac:dyDescent="0.3">
      <c r="B349" s="581">
        <v>340</v>
      </c>
      <c r="C349" s="877">
        <f t="shared" si="20"/>
        <v>0</v>
      </c>
      <c r="D349" s="877">
        <f t="shared" si="21"/>
        <v>0</v>
      </c>
      <c r="E349" s="877">
        <f t="shared" si="22"/>
        <v>0</v>
      </c>
      <c r="G349" s="877">
        <f t="shared" si="23"/>
        <v>0</v>
      </c>
    </row>
    <row r="350" spans="2:7" x14ac:dyDescent="0.3">
      <c r="B350" s="581">
        <v>341</v>
      </c>
      <c r="C350" s="877">
        <f t="shared" si="20"/>
        <v>0</v>
      </c>
      <c r="D350" s="877">
        <f t="shared" si="21"/>
        <v>0</v>
      </c>
      <c r="E350" s="877">
        <f t="shared" si="22"/>
        <v>0</v>
      </c>
      <c r="G350" s="877">
        <f t="shared" si="23"/>
        <v>0</v>
      </c>
    </row>
    <row r="351" spans="2:7" x14ac:dyDescent="0.3">
      <c r="B351" s="581">
        <v>342</v>
      </c>
      <c r="C351" s="877">
        <f t="shared" si="20"/>
        <v>0</v>
      </c>
      <c r="D351" s="877">
        <f t="shared" si="21"/>
        <v>0</v>
      </c>
      <c r="E351" s="877">
        <f t="shared" si="22"/>
        <v>0</v>
      </c>
      <c r="G351" s="877">
        <f t="shared" si="23"/>
        <v>0</v>
      </c>
    </row>
    <row r="352" spans="2:7" x14ac:dyDescent="0.3">
      <c r="B352" s="581">
        <v>343</v>
      </c>
      <c r="C352" s="877">
        <f t="shared" si="20"/>
        <v>0</v>
      </c>
      <c r="D352" s="877">
        <f t="shared" si="21"/>
        <v>0</v>
      </c>
      <c r="E352" s="877">
        <f t="shared" si="22"/>
        <v>0</v>
      </c>
      <c r="G352" s="877">
        <f t="shared" si="23"/>
        <v>0</v>
      </c>
    </row>
    <row r="353" spans="2:7" x14ac:dyDescent="0.3">
      <c r="B353" s="581">
        <v>344</v>
      </c>
      <c r="C353" s="877">
        <f t="shared" si="20"/>
        <v>0</v>
      </c>
      <c r="D353" s="877">
        <f t="shared" si="21"/>
        <v>0</v>
      </c>
      <c r="E353" s="877">
        <f t="shared" si="22"/>
        <v>0</v>
      </c>
      <c r="G353" s="877">
        <f t="shared" si="23"/>
        <v>0</v>
      </c>
    </row>
    <row r="354" spans="2:7" x14ac:dyDescent="0.3">
      <c r="B354" s="581">
        <v>345</v>
      </c>
      <c r="C354" s="877">
        <f t="shared" si="20"/>
        <v>0</v>
      </c>
      <c r="D354" s="877">
        <f t="shared" si="21"/>
        <v>0</v>
      </c>
      <c r="E354" s="877">
        <f t="shared" si="22"/>
        <v>0</v>
      </c>
      <c r="G354" s="877">
        <f t="shared" si="23"/>
        <v>0</v>
      </c>
    </row>
    <row r="355" spans="2:7" x14ac:dyDescent="0.3">
      <c r="B355" s="581">
        <v>346</v>
      </c>
      <c r="C355" s="877">
        <f t="shared" si="20"/>
        <v>0</v>
      </c>
      <c r="D355" s="877">
        <f t="shared" si="21"/>
        <v>0</v>
      </c>
      <c r="E355" s="877">
        <f t="shared" si="22"/>
        <v>0</v>
      </c>
      <c r="G355" s="877">
        <f t="shared" si="23"/>
        <v>0</v>
      </c>
    </row>
    <row r="356" spans="2:7" x14ac:dyDescent="0.3">
      <c r="B356" s="581">
        <v>347</v>
      </c>
      <c r="C356" s="877">
        <f t="shared" si="20"/>
        <v>0</v>
      </c>
      <c r="D356" s="877">
        <f t="shared" si="21"/>
        <v>0</v>
      </c>
      <c r="E356" s="877">
        <f t="shared" si="22"/>
        <v>0</v>
      </c>
      <c r="G356" s="877">
        <f t="shared" si="23"/>
        <v>0</v>
      </c>
    </row>
    <row r="357" spans="2:7" x14ac:dyDescent="0.3">
      <c r="B357" s="581">
        <v>348</v>
      </c>
      <c r="C357" s="877">
        <f t="shared" si="20"/>
        <v>0</v>
      </c>
      <c r="D357" s="877">
        <f t="shared" si="21"/>
        <v>0</v>
      </c>
      <c r="E357" s="877">
        <f t="shared" si="22"/>
        <v>0</v>
      </c>
      <c r="G357" s="877">
        <f t="shared" si="23"/>
        <v>0</v>
      </c>
    </row>
    <row r="358" spans="2:7" x14ac:dyDescent="0.3">
      <c r="B358" s="581">
        <v>349</v>
      </c>
      <c r="C358" s="877">
        <f t="shared" si="20"/>
        <v>0</v>
      </c>
      <c r="D358" s="877">
        <f t="shared" si="21"/>
        <v>0</v>
      </c>
      <c r="E358" s="877">
        <f t="shared" si="22"/>
        <v>0</v>
      </c>
      <c r="G358" s="877">
        <f t="shared" si="23"/>
        <v>0</v>
      </c>
    </row>
    <row r="359" spans="2:7" x14ac:dyDescent="0.3">
      <c r="B359" s="581">
        <v>350</v>
      </c>
      <c r="C359" s="877">
        <f t="shared" si="20"/>
        <v>0</v>
      </c>
      <c r="D359" s="877">
        <f t="shared" si="21"/>
        <v>0</v>
      </c>
      <c r="E359" s="877">
        <f t="shared" si="22"/>
        <v>0</v>
      </c>
      <c r="G359" s="877">
        <f t="shared" si="23"/>
        <v>0</v>
      </c>
    </row>
    <row r="360" spans="2:7" x14ac:dyDescent="0.3">
      <c r="B360" s="581">
        <v>351</v>
      </c>
      <c r="C360" s="877">
        <f t="shared" si="20"/>
        <v>0</v>
      </c>
      <c r="D360" s="877">
        <f t="shared" si="21"/>
        <v>0</v>
      </c>
      <c r="E360" s="877">
        <f t="shared" si="22"/>
        <v>0</v>
      </c>
      <c r="G360" s="877">
        <f t="shared" si="23"/>
        <v>0</v>
      </c>
    </row>
    <row r="361" spans="2:7" x14ac:dyDescent="0.3">
      <c r="B361" s="581">
        <v>352</v>
      </c>
      <c r="C361" s="877">
        <f t="shared" si="20"/>
        <v>0</v>
      </c>
      <c r="D361" s="877">
        <f t="shared" si="21"/>
        <v>0</v>
      </c>
      <c r="E361" s="877">
        <f t="shared" si="22"/>
        <v>0</v>
      </c>
      <c r="G361" s="877">
        <f t="shared" si="23"/>
        <v>0</v>
      </c>
    </row>
    <row r="362" spans="2:7" x14ac:dyDescent="0.3">
      <c r="B362" s="581">
        <v>353</v>
      </c>
      <c r="C362" s="877">
        <f t="shared" si="20"/>
        <v>0</v>
      </c>
      <c r="D362" s="877">
        <f t="shared" si="21"/>
        <v>0</v>
      </c>
      <c r="E362" s="877">
        <f t="shared" si="22"/>
        <v>0</v>
      </c>
      <c r="G362" s="877">
        <f t="shared" si="23"/>
        <v>0</v>
      </c>
    </row>
    <row r="363" spans="2:7" x14ac:dyDescent="0.3">
      <c r="B363" s="581">
        <v>354</v>
      </c>
      <c r="C363" s="877">
        <f t="shared" si="20"/>
        <v>0</v>
      </c>
      <c r="D363" s="877">
        <f t="shared" si="21"/>
        <v>0</v>
      </c>
      <c r="E363" s="877">
        <f t="shared" si="22"/>
        <v>0</v>
      </c>
      <c r="G363" s="877">
        <f t="shared" si="23"/>
        <v>0</v>
      </c>
    </row>
    <row r="364" spans="2:7" x14ac:dyDescent="0.3">
      <c r="B364" s="581">
        <v>355</v>
      </c>
      <c r="C364" s="877">
        <f t="shared" si="20"/>
        <v>0</v>
      </c>
      <c r="D364" s="877">
        <f t="shared" si="21"/>
        <v>0</v>
      </c>
      <c r="E364" s="877">
        <f t="shared" si="22"/>
        <v>0</v>
      </c>
      <c r="G364" s="877">
        <f t="shared" si="23"/>
        <v>0</v>
      </c>
    </row>
    <row r="365" spans="2:7" x14ac:dyDescent="0.3">
      <c r="B365" s="581">
        <v>356</v>
      </c>
      <c r="C365" s="877">
        <f t="shared" si="20"/>
        <v>0</v>
      </c>
      <c r="D365" s="877">
        <f t="shared" si="21"/>
        <v>0</v>
      </c>
      <c r="E365" s="877">
        <f t="shared" si="22"/>
        <v>0</v>
      </c>
      <c r="G365" s="877">
        <f t="shared" si="23"/>
        <v>0</v>
      </c>
    </row>
    <row r="366" spans="2:7" x14ac:dyDescent="0.3">
      <c r="B366" s="581">
        <v>357</v>
      </c>
      <c r="C366" s="877">
        <f t="shared" si="20"/>
        <v>0</v>
      </c>
      <c r="D366" s="877">
        <f t="shared" si="21"/>
        <v>0</v>
      </c>
      <c r="E366" s="877">
        <f t="shared" si="22"/>
        <v>0</v>
      </c>
      <c r="G366" s="877">
        <f t="shared" si="23"/>
        <v>0</v>
      </c>
    </row>
    <row r="367" spans="2:7" x14ac:dyDescent="0.3">
      <c r="B367" s="581">
        <v>358</v>
      </c>
      <c r="C367" s="877">
        <f t="shared" si="20"/>
        <v>0</v>
      </c>
      <c r="D367" s="877">
        <f t="shared" si="21"/>
        <v>0</v>
      </c>
      <c r="E367" s="877">
        <f t="shared" si="22"/>
        <v>0</v>
      </c>
      <c r="G367" s="877">
        <f t="shared" si="23"/>
        <v>0</v>
      </c>
    </row>
    <row r="368" spans="2:7" x14ac:dyDescent="0.3">
      <c r="B368" s="581">
        <v>359</v>
      </c>
      <c r="C368" s="877">
        <f t="shared" si="20"/>
        <v>0</v>
      </c>
      <c r="D368" s="877">
        <f t="shared" si="21"/>
        <v>0</v>
      </c>
      <c r="E368" s="877">
        <f t="shared" si="22"/>
        <v>0</v>
      </c>
      <c r="G368" s="877">
        <f t="shared" si="23"/>
        <v>0</v>
      </c>
    </row>
    <row r="369" spans="2:7" x14ac:dyDescent="0.3">
      <c r="B369" s="581">
        <v>360</v>
      </c>
      <c r="C369" s="877">
        <f t="shared" si="20"/>
        <v>0</v>
      </c>
      <c r="D369" s="877">
        <f t="shared" si="21"/>
        <v>0</v>
      </c>
      <c r="E369" s="877">
        <f t="shared" si="22"/>
        <v>0</v>
      </c>
      <c r="G369" s="877">
        <f t="shared" si="23"/>
        <v>0</v>
      </c>
    </row>
    <row r="370" spans="2:7" x14ac:dyDescent="0.3">
      <c r="B370" s="581">
        <v>361</v>
      </c>
      <c r="C370" s="877">
        <f t="shared" si="20"/>
        <v>0</v>
      </c>
      <c r="D370" s="877">
        <f t="shared" si="21"/>
        <v>0</v>
      </c>
      <c r="E370" s="877">
        <f t="shared" si="22"/>
        <v>0</v>
      </c>
      <c r="G370" s="877">
        <f t="shared" si="23"/>
        <v>0</v>
      </c>
    </row>
    <row r="371" spans="2:7" x14ac:dyDescent="0.3">
      <c r="B371" s="581">
        <v>362</v>
      </c>
      <c r="C371" s="877">
        <f t="shared" si="20"/>
        <v>0</v>
      </c>
      <c r="D371" s="877">
        <f t="shared" si="21"/>
        <v>0</v>
      </c>
      <c r="E371" s="877">
        <f t="shared" si="22"/>
        <v>0</v>
      </c>
      <c r="G371" s="877">
        <f t="shared" si="23"/>
        <v>0</v>
      </c>
    </row>
  </sheetData>
  <sheetProtection algorithmName="SHA-512" hashValue="LBrDOuXvCG2u/LMgYwou3pFM0sOcpOlzpT9v6E9Gn3Slvtz50b2UiHiVSi6scmdAq6uIVAkXZuuRjv0dY1ro7g==" saltValue="Xj2BUA77W2Q6NlXc9/j18g==" spinCount="100000" sheet="1" objects="1" scenarios="1"/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897D4ACB-3120-4083-837B-3598AC9AC15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165-30DB-411F-BC0B-8247EB6E6022}">
  <sheetPr codeName="Sheet3">
    <tabColor theme="4"/>
  </sheetPr>
  <dimension ref="A1:A70"/>
  <sheetViews>
    <sheetView workbookViewId="0"/>
  </sheetViews>
  <sheetFormatPr defaultColWidth="8.77734375" defaultRowHeight="13.8" x14ac:dyDescent="0.25"/>
  <cols>
    <col min="1" max="1" width="5.6640625" style="550" customWidth="1"/>
    <col min="2" max="13" width="8.77734375" style="550"/>
    <col min="14" max="14" width="25.44140625" style="550" customWidth="1"/>
    <col min="15" max="16384" width="8.77734375" style="550"/>
  </cols>
  <sheetData>
    <row r="1" spans="1:1" ht="14.4" x14ac:dyDescent="0.3">
      <c r="A1" s="733" t="s">
        <v>454</v>
      </c>
    </row>
    <row r="70" spans="1:1" x14ac:dyDescent="0.25">
      <c r="A70" s="551"/>
    </row>
  </sheetData>
  <sheetProtection algorithmName="SHA-512" hashValue="0uqXezNW8YNO23S93Ex4V9ZJ1lno0x+PGMqgRPAmI6istPOXwPgIaIACgemctti90A9PR7jtbxLtVq65YTF1gQ==" saltValue="eWoII5J4gzCa42CbKZb6wA==" spinCount="100000" sheet="1" objects="1" scenarios="1"/>
  <hyperlinks>
    <hyperlink ref="A1" location="'Table of contents'!A1" display="Table of contents" xr:uid="{31463FDB-12D4-4C6F-AAA2-C158C56B928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1FAB-509C-4139-833B-C5953F857165}">
  <sheetPr codeName="Sheet19">
    <tabColor theme="6" tint="-0.249977111117893"/>
  </sheetPr>
  <dimension ref="A1:J35"/>
  <sheetViews>
    <sheetView topLeftCell="A9" workbookViewId="0">
      <selection activeCell="C26" sqref="C26"/>
    </sheetView>
  </sheetViews>
  <sheetFormatPr defaultColWidth="0" defaultRowHeight="14.4" zeroHeight="1" x14ac:dyDescent="0.3"/>
  <cols>
    <col min="1" max="1" width="5.21875" style="581" customWidth="1"/>
    <col min="2" max="2" width="24.21875" style="581" customWidth="1"/>
    <col min="3" max="3" width="19.109375" style="581" customWidth="1"/>
    <col min="4" max="4" width="3.88671875" style="581" customWidth="1"/>
    <col min="5" max="5" width="19.109375" style="581" customWidth="1"/>
    <col min="6" max="6" width="20" style="581" customWidth="1"/>
    <col min="7" max="7" width="3.44140625" style="581" customWidth="1"/>
    <col min="8" max="8" width="20.88671875" style="581" customWidth="1"/>
    <col min="9" max="9" width="15" style="581" customWidth="1"/>
    <col min="10" max="10" width="8.77734375" style="581" customWidth="1"/>
    <col min="11" max="16384" width="8.77734375" style="581" hidden="1"/>
  </cols>
  <sheetData>
    <row r="1" spans="1:9" x14ac:dyDescent="0.3">
      <c r="A1" s="626" t="s">
        <v>454</v>
      </c>
    </row>
    <row r="2" spans="1:9" ht="16.2" thickBot="1" x14ac:dyDescent="0.35">
      <c r="A2" s="809" t="s">
        <v>293</v>
      </c>
      <c r="E2" s="809" t="s">
        <v>294</v>
      </c>
      <c r="H2" s="810" t="s">
        <v>305</v>
      </c>
    </row>
    <row r="3" spans="1:9" x14ac:dyDescent="0.3">
      <c r="B3" s="811" t="s">
        <v>281</v>
      </c>
      <c r="C3" s="812">
        <f>SUM(C4:C7)</f>
        <v>301140</v>
      </c>
      <c r="E3" s="822" t="s">
        <v>281</v>
      </c>
      <c r="F3" s="823">
        <f>SUM(F4:F7)</f>
        <v>301140</v>
      </c>
      <c r="H3" s="833" t="s">
        <v>281</v>
      </c>
      <c r="I3" s="834">
        <f>SUM(I4:I7)</f>
        <v>301140</v>
      </c>
    </row>
    <row r="4" spans="1:9" x14ac:dyDescent="0.3">
      <c r="B4" s="813" t="s">
        <v>160</v>
      </c>
      <c r="C4" s="814">
        <f>'Total Result'!C17</f>
        <v>257600</v>
      </c>
      <c r="E4" s="824" t="s">
        <v>160</v>
      </c>
      <c r="F4" s="825">
        <f>C4</f>
        <v>257600</v>
      </c>
      <c r="H4" s="835" t="s">
        <v>160</v>
      </c>
      <c r="I4" s="836">
        <f>C4</f>
        <v>257600</v>
      </c>
    </row>
    <row r="5" spans="1:9" x14ac:dyDescent="0.3">
      <c r="B5" s="813" t="s">
        <v>94</v>
      </c>
      <c r="C5" s="814">
        <f>'Total Result'!C18</f>
        <v>43540</v>
      </c>
      <c r="E5" s="824" t="s">
        <v>94</v>
      </c>
      <c r="F5" s="825">
        <f>C5</f>
        <v>43540</v>
      </c>
      <c r="H5" s="835" t="s">
        <v>94</v>
      </c>
      <c r="I5" s="836">
        <f>C5</f>
        <v>43540</v>
      </c>
    </row>
    <row r="6" spans="1:9" x14ac:dyDescent="0.3">
      <c r="B6" s="813" t="s">
        <v>15</v>
      </c>
      <c r="C6" s="814">
        <f>'ROI Number insert'!F13</f>
        <v>0</v>
      </c>
      <c r="E6" s="824" t="s">
        <v>15</v>
      </c>
      <c r="F6" s="825">
        <f>C6</f>
        <v>0</v>
      </c>
      <c r="H6" s="835" t="s">
        <v>15</v>
      </c>
      <c r="I6" s="836">
        <f>C6</f>
        <v>0</v>
      </c>
    </row>
    <row r="7" spans="1:9" ht="15" thickBot="1" x14ac:dyDescent="0.35">
      <c r="B7" s="813" t="s">
        <v>26</v>
      </c>
      <c r="C7" s="814">
        <f>'ROI Number insert'!F15</f>
        <v>0</v>
      </c>
      <c r="E7" s="824" t="s">
        <v>26</v>
      </c>
      <c r="F7" s="825">
        <f>C7</f>
        <v>0</v>
      </c>
      <c r="H7" s="835" t="s">
        <v>26</v>
      </c>
      <c r="I7" s="836">
        <f>C7</f>
        <v>0</v>
      </c>
    </row>
    <row r="8" spans="1:9" ht="15.6" thickTop="1" thickBot="1" x14ac:dyDescent="0.35">
      <c r="B8" s="813" t="s">
        <v>282</v>
      </c>
      <c r="C8" s="674">
        <v>7.0000000000000007E-2</v>
      </c>
      <c r="E8" s="824" t="s">
        <v>282</v>
      </c>
      <c r="F8" s="674">
        <v>0.13</v>
      </c>
      <c r="H8" s="835" t="s">
        <v>282</v>
      </c>
      <c r="I8" s="674">
        <v>0.15</v>
      </c>
    </row>
    <row r="9" spans="1:9" ht="15.6" thickTop="1" thickBot="1" x14ac:dyDescent="0.35">
      <c r="B9" s="813" t="s">
        <v>275</v>
      </c>
      <c r="C9" s="674">
        <v>4.7500000000000001E-2</v>
      </c>
      <c r="E9" s="824" t="s">
        <v>275</v>
      </c>
      <c r="F9" s="848">
        <f>C9</f>
        <v>4.7500000000000001E-2</v>
      </c>
      <c r="H9" s="837" t="s">
        <v>275</v>
      </c>
      <c r="I9" s="849">
        <f>C9</f>
        <v>4.7500000000000001E-2</v>
      </c>
    </row>
    <row r="10" spans="1:9" ht="15" thickTop="1" x14ac:dyDescent="0.3">
      <c r="B10" s="813" t="s">
        <v>283</v>
      </c>
      <c r="C10" s="815">
        <f>C3*-1</f>
        <v>-301140</v>
      </c>
      <c r="E10" s="824" t="s">
        <v>283</v>
      </c>
      <c r="F10" s="826">
        <f>F3*-1</f>
        <v>-301140</v>
      </c>
      <c r="H10" s="833" t="s">
        <v>283</v>
      </c>
      <c r="I10" s="838">
        <f>I3*-1</f>
        <v>-301140</v>
      </c>
    </row>
    <row r="11" spans="1:9" x14ac:dyDescent="0.3">
      <c r="B11" s="813" t="s">
        <v>284</v>
      </c>
      <c r="C11" s="815">
        <f>'ROI details'!C32</f>
        <v>-36578.779495030998</v>
      </c>
      <c r="E11" s="824" t="s">
        <v>284</v>
      </c>
      <c r="F11" s="826">
        <f>C11</f>
        <v>-36578.779495030998</v>
      </c>
      <c r="H11" s="835" t="s">
        <v>205</v>
      </c>
      <c r="I11" s="839">
        <f>'ROI details'!I19</f>
        <v>134056.07452160004</v>
      </c>
    </row>
    <row r="12" spans="1:9" x14ac:dyDescent="0.3">
      <c r="B12" s="813" t="s">
        <v>285</v>
      </c>
      <c r="C12" s="816">
        <f>'ROI details'!C33</f>
        <v>-36240.330931133351</v>
      </c>
      <c r="E12" s="824" t="s">
        <v>285</v>
      </c>
      <c r="F12" s="827">
        <f>C12</f>
        <v>-36240.330931133351</v>
      </c>
      <c r="H12" s="835" t="s">
        <v>289</v>
      </c>
      <c r="I12" s="840">
        <f>NPV(I9,I11)-I3</f>
        <v>-173162.84055217181</v>
      </c>
    </row>
    <row r="13" spans="1:9" x14ac:dyDescent="0.3">
      <c r="B13" s="813" t="s">
        <v>286</v>
      </c>
      <c r="C13" s="816">
        <f>'ROI details'!C34</f>
        <v>-35912.384097525646</v>
      </c>
      <c r="E13" s="824" t="s">
        <v>286</v>
      </c>
      <c r="F13" s="827">
        <f>C13</f>
        <v>-35912.384097525646</v>
      </c>
      <c r="H13" s="835" t="s">
        <v>20</v>
      </c>
      <c r="I13" s="841">
        <f>C27</f>
        <v>0.2</v>
      </c>
    </row>
    <row r="14" spans="1:9" x14ac:dyDescent="0.3">
      <c r="B14" s="813" t="s">
        <v>287</v>
      </c>
      <c r="C14" s="816">
        <f>'ROI details'!C35</f>
        <v>-35595.813950824057</v>
      </c>
      <c r="E14" s="824" t="s">
        <v>287</v>
      </c>
      <c r="F14" s="827">
        <f>C14</f>
        <v>-35595.813950824057</v>
      </c>
      <c r="H14" s="835" t="s">
        <v>95</v>
      </c>
      <c r="I14" s="840">
        <f>(I12-I6-I7-I5)*C34/I13</f>
        <v>-975162.7824847732</v>
      </c>
    </row>
    <row r="15" spans="1:9" x14ac:dyDescent="0.3">
      <c r="B15" s="813" t="s">
        <v>288</v>
      </c>
      <c r="C15" s="816">
        <f>'ROI details'!C36</f>
        <v>-35291.538546274431</v>
      </c>
      <c r="E15" s="824" t="s">
        <v>288</v>
      </c>
      <c r="F15" s="827">
        <f>C15+'ROI details'!I4</f>
        <v>77366.225398187409</v>
      </c>
      <c r="H15" s="835" t="s">
        <v>290</v>
      </c>
      <c r="I15" s="842">
        <f>IRR(I10:I11)</f>
        <v>-0.55483803373314733</v>
      </c>
    </row>
    <row r="16" spans="1:9" x14ac:dyDescent="0.3">
      <c r="B16" s="813" t="s">
        <v>295</v>
      </c>
      <c r="C16" s="816">
        <f>'ROI details'!C37</f>
        <v>-35000.520885305654</v>
      </c>
      <c r="E16" s="824" t="s">
        <v>295</v>
      </c>
      <c r="F16" s="827">
        <f>C16</f>
        <v>-35000.520885305654</v>
      </c>
      <c r="H16" s="835" t="s">
        <v>291</v>
      </c>
      <c r="I16" s="843">
        <f>I12+I3</f>
        <v>127977.15944782819</v>
      </c>
    </row>
    <row r="17" spans="2:9" ht="15" thickBot="1" x14ac:dyDescent="0.35">
      <c r="B17" s="813" t="s">
        <v>296</v>
      </c>
      <c r="C17" s="816">
        <f>'ROI details'!C38</f>
        <v>-34723.770837978693</v>
      </c>
      <c r="E17" s="824" t="s">
        <v>296</v>
      </c>
      <c r="F17" s="827">
        <f>C17</f>
        <v>-34723.770837978693</v>
      </c>
      <c r="H17" s="844" t="s">
        <v>292</v>
      </c>
      <c r="I17" s="845">
        <f>I16/I3</f>
        <v>0.42497562412110046</v>
      </c>
    </row>
    <row r="18" spans="2:9" x14ac:dyDescent="0.3">
      <c r="B18" s="813" t="s">
        <v>297</v>
      </c>
      <c r="C18" s="816">
        <f>'ROI details'!C39</f>
        <v>-34462.347143290579</v>
      </c>
      <c r="E18" s="824" t="s">
        <v>297</v>
      </c>
      <c r="F18" s="827">
        <f>C18</f>
        <v>-34462.347143290579</v>
      </c>
      <c r="H18" s="833" t="s">
        <v>283</v>
      </c>
      <c r="I18" s="838">
        <f>I10</f>
        <v>-301140</v>
      </c>
    </row>
    <row r="19" spans="2:9" x14ac:dyDescent="0.3">
      <c r="B19" s="813" t="s">
        <v>298</v>
      </c>
      <c r="C19" s="816">
        <f>'ROI details'!C40</f>
        <v>-34217.359490407056</v>
      </c>
      <c r="E19" s="824" t="s">
        <v>298</v>
      </c>
      <c r="F19" s="827">
        <f>C19</f>
        <v>-34217.359490407056</v>
      </c>
      <c r="H19" s="846" t="s">
        <v>144</v>
      </c>
      <c r="I19" s="847">
        <f>'ROI details'!I20</f>
        <v>206776.58263239125</v>
      </c>
    </row>
    <row r="20" spans="2:9" x14ac:dyDescent="0.3">
      <c r="B20" s="813" t="s">
        <v>299</v>
      </c>
      <c r="C20" s="816">
        <f>'ROI details'!C41</f>
        <v>-33989.970684018655</v>
      </c>
      <c r="E20" s="824" t="s">
        <v>299</v>
      </c>
      <c r="F20" s="827">
        <f>C20+'ROI details'!I8-'ROI details'!I4</f>
        <v>112122.71339234813</v>
      </c>
      <c r="H20" s="835" t="s">
        <v>289</v>
      </c>
      <c r="I20" s="840">
        <f>NPV(I9,I19)-I3</f>
        <v>-103739.92111466231</v>
      </c>
    </row>
    <row r="21" spans="2:9" x14ac:dyDescent="0.3">
      <c r="B21" s="813" t="s">
        <v>300</v>
      </c>
      <c r="C21" s="816">
        <f>'ROI details'!C42</f>
        <v>-33781.398897138046</v>
      </c>
      <c r="E21" s="824" t="s">
        <v>300</v>
      </c>
      <c r="F21" s="827">
        <f>C21</f>
        <v>-33781.398897138046</v>
      </c>
      <c r="H21" s="835" t="s">
        <v>20</v>
      </c>
      <c r="I21" s="841">
        <f>C27</f>
        <v>0.2</v>
      </c>
    </row>
    <row r="22" spans="2:9" x14ac:dyDescent="0.3">
      <c r="B22" s="813" t="s">
        <v>301</v>
      </c>
      <c r="C22" s="816">
        <f>'ROI details'!C43</f>
        <v>-33592.920014787356</v>
      </c>
      <c r="E22" s="824" t="s">
        <v>301</v>
      </c>
      <c r="F22" s="827">
        <f>C22</f>
        <v>-33592.920014787356</v>
      </c>
      <c r="H22" s="835" t="s">
        <v>95</v>
      </c>
      <c r="I22" s="840">
        <f>(I20-I6-I7-I5)*C34/I13</f>
        <v>-662759.64501598047</v>
      </c>
    </row>
    <row r="23" spans="2:9" x14ac:dyDescent="0.3">
      <c r="B23" s="813" t="s">
        <v>302</v>
      </c>
      <c r="C23" s="816">
        <f>'ROI details'!C44</f>
        <v>-33425.870072157464</v>
      </c>
      <c r="E23" s="824" t="s">
        <v>302</v>
      </c>
      <c r="F23" s="827">
        <f>C23</f>
        <v>-33425.870072157464</v>
      </c>
      <c r="H23" s="835" t="s">
        <v>290</v>
      </c>
      <c r="I23" s="842">
        <f>IRR(I18:I19)</f>
        <v>-0.31335397943683574</v>
      </c>
    </row>
    <row r="24" spans="2:9" x14ac:dyDescent="0.3">
      <c r="B24" s="813" t="s">
        <v>303</v>
      </c>
      <c r="C24" s="816">
        <f>'ROI details'!C45</f>
        <v>-33281.647790961491</v>
      </c>
      <c r="E24" s="824" t="s">
        <v>303</v>
      </c>
      <c r="F24" s="827">
        <f>C24</f>
        <v>-33281.647790961491</v>
      </c>
      <c r="H24" s="835" t="s">
        <v>291</v>
      </c>
      <c r="I24" s="843">
        <f>I20+I3</f>
        <v>197400.07888533769</v>
      </c>
    </row>
    <row r="25" spans="2:9" ht="15" thickBot="1" x14ac:dyDescent="0.35">
      <c r="B25" s="813" t="s">
        <v>304</v>
      </c>
      <c r="C25" s="816">
        <f>'ROI details'!C46</f>
        <v>-33161.717217849095</v>
      </c>
      <c r="E25" s="824" t="s">
        <v>304</v>
      </c>
      <c r="F25" s="827">
        <f>C25+'ROI details'!I12</f>
        <v>417849.74045764701</v>
      </c>
      <c r="H25" s="844" t="s">
        <v>292</v>
      </c>
      <c r="I25" s="845">
        <f>I24/I10</f>
        <v>-0.65550932750660051</v>
      </c>
    </row>
    <row r="26" spans="2:9" x14ac:dyDescent="0.3">
      <c r="B26" s="813" t="s">
        <v>289</v>
      </c>
      <c r="C26" s="816">
        <f>NPV(C9,C11:C25)-C3</f>
        <v>-668870.02852577856</v>
      </c>
      <c r="E26" s="824" t="s">
        <v>289</v>
      </c>
      <c r="F26" s="827">
        <f>NPV(F9,F11:F25)-F3</f>
        <v>-262835.03738098626</v>
      </c>
      <c r="H26" s="833" t="s">
        <v>283</v>
      </c>
      <c r="I26" s="838">
        <f>I10</f>
        <v>-301140</v>
      </c>
    </row>
    <row r="27" spans="2:9" x14ac:dyDescent="0.3">
      <c r="B27" s="813" t="s">
        <v>20</v>
      </c>
      <c r="C27" s="817">
        <f>'ROI Number insert'!F9</f>
        <v>0.2</v>
      </c>
      <c r="E27" s="824" t="s">
        <v>20</v>
      </c>
      <c r="F27" s="828">
        <f>C27</f>
        <v>0.2</v>
      </c>
      <c r="H27" s="835" t="s">
        <v>148</v>
      </c>
      <c r="I27" s="839">
        <f>'ROI details'!I21</f>
        <v>445478.41976147844</v>
      </c>
    </row>
    <row r="28" spans="2:9" x14ac:dyDescent="0.3">
      <c r="B28" s="813" t="s">
        <v>95</v>
      </c>
      <c r="C28" s="816">
        <f>(C26-C6-C7-C5)*C34/C27</f>
        <v>-3205845.1283660033</v>
      </c>
      <c r="E28" s="824" t="s">
        <v>95</v>
      </c>
      <c r="F28" s="827">
        <f>(F26-F6-F7-F5)*C34/F27</f>
        <v>-1378687.6682144383</v>
      </c>
      <c r="H28" s="835" t="s">
        <v>289</v>
      </c>
      <c r="I28" s="840">
        <f>NPV(I9,I27)-I3</f>
        <v>124137.72769592208</v>
      </c>
    </row>
    <row r="29" spans="2:9" x14ac:dyDescent="0.3">
      <c r="B29" s="813" t="s">
        <v>290</v>
      </c>
      <c r="C29" s="818" t="e">
        <f>IRR(C10:C25)</f>
        <v>#NUM!</v>
      </c>
      <c r="E29" s="824" t="s">
        <v>290</v>
      </c>
      <c r="F29" s="829">
        <f>IRR(F10:F25)</f>
        <v>-1.9708090810797274E-2</v>
      </c>
      <c r="H29" s="835" t="s">
        <v>20</v>
      </c>
      <c r="I29" s="841">
        <f>C27</f>
        <v>0.2</v>
      </c>
    </row>
    <row r="30" spans="2:9" x14ac:dyDescent="0.3">
      <c r="B30" s="813" t="s">
        <v>291</v>
      </c>
      <c r="C30" s="819">
        <f>C26+C3</f>
        <v>-367730.02852577856</v>
      </c>
      <c r="E30" s="824" t="s">
        <v>291</v>
      </c>
      <c r="F30" s="830">
        <f>F26+F3</f>
        <v>38304.962619013735</v>
      </c>
      <c r="H30" s="835" t="s">
        <v>95</v>
      </c>
      <c r="I30" s="840">
        <f>(I28-I6-I7-I5)*C34/I13</f>
        <v>362689.77463164931</v>
      </c>
    </row>
    <row r="31" spans="2:9" ht="15" thickBot="1" x14ac:dyDescent="0.35">
      <c r="B31" s="820" t="s">
        <v>292</v>
      </c>
      <c r="C31" s="821">
        <f>C30/C3</f>
        <v>-1.2211264811243228</v>
      </c>
      <c r="E31" s="831" t="s">
        <v>292</v>
      </c>
      <c r="F31" s="832">
        <f>F30/F3</f>
        <v>0.12719984930269554</v>
      </c>
      <c r="H31" s="835" t="s">
        <v>290</v>
      </c>
      <c r="I31" s="842">
        <f>IRR(I26:I27)</f>
        <v>0.47930670041003687</v>
      </c>
    </row>
    <row r="32" spans="2:9" x14ac:dyDescent="0.3">
      <c r="H32" s="835" t="s">
        <v>291</v>
      </c>
      <c r="I32" s="843">
        <f>I28+I19</f>
        <v>330914.31032831332</v>
      </c>
    </row>
    <row r="33" spans="2:9" ht="15" thickBot="1" x14ac:dyDescent="0.35">
      <c r="H33" s="844" t="s">
        <v>292</v>
      </c>
      <c r="I33" s="845">
        <f>I32/I19</f>
        <v>1.6003471288458953</v>
      </c>
    </row>
    <row r="34" spans="2:9" x14ac:dyDescent="0.3">
      <c r="B34" s="581" t="s">
        <v>520</v>
      </c>
      <c r="C34" s="918">
        <v>0.9</v>
      </c>
    </row>
    <row r="35" spans="2:9" x14ac:dyDescent="0.3"/>
  </sheetData>
  <sheetProtection algorithmName="SHA-512" hashValue="drIIX5lk9G/Q5hq5IX1l9mfuwKLx2Clb0jA5EfffjmsnEnq5oaYkxKvJTRyrof5Nkwc0m0Hh3VV7yIJ/zGI9Hg==" saltValue="/z/zpAbzsdlEIuWZTvR4sA==" spinCount="100000" sheet="1" objects="1" scenarios="1"/>
  <hyperlinks>
    <hyperlink ref="A1" location="'Table of contents'!A1" display="Table of contents" xr:uid="{950EB45E-DF0F-41D3-A026-B15CC5665D68}"/>
  </hyperlinks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FE85-8BB3-4347-A831-DBE7CB9E4D70}">
  <sheetPr codeName="Sheet4">
    <tabColor theme="6"/>
  </sheetPr>
  <dimension ref="A1:F38"/>
  <sheetViews>
    <sheetView workbookViewId="0"/>
  </sheetViews>
  <sheetFormatPr defaultColWidth="8.77734375" defaultRowHeight="14.4" x14ac:dyDescent="0.3"/>
  <cols>
    <col min="1" max="1" width="3.77734375" style="1" customWidth="1"/>
    <col min="2" max="2" width="4" style="1" customWidth="1"/>
    <col min="3" max="3" width="46.88671875" style="1" customWidth="1"/>
    <col min="4" max="4" width="17.21875" style="1" customWidth="1"/>
    <col min="5" max="16384" width="8.77734375" style="1"/>
  </cols>
  <sheetData>
    <row r="1" spans="1:6" x14ac:dyDescent="0.3">
      <c r="A1" s="626" t="s">
        <v>454</v>
      </c>
    </row>
    <row r="2" spans="1:6" x14ac:dyDescent="0.3">
      <c r="A2" s="552" t="s">
        <v>348</v>
      </c>
    </row>
    <row r="3" spans="1:6" ht="28.95" customHeight="1" x14ac:dyDescent="0.35">
      <c r="A3" s="120"/>
      <c r="B3" s="984" t="s">
        <v>361</v>
      </c>
      <c r="C3" s="984"/>
      <c r="D3" s="984"/>
      <c r="E3" s="984"/>
      <c r="F3" s="984"/>
    </row>
    <row r="4" spans="1:6" x14ac:dyDescent="0.3">
      <c r="C4" s="1" t="s">
        <v>358</v>
      </c>
      <c r="D4" s="127">
        <f>'Total Result'!C21</f>
        <v>301140</v>
      </c>
    </row>
    <row r="5" spans="1:6" x14ac:dyDescent="0.3">
      <c r="C5" s="1" t="s">
        <v>349</v>
      </c>
      <c r="D5" s="292">
        <v>25000</v>
      </c>
      <c r="F5" s="427"/>
    </row>
    <row r="6" spans="1:6" x14ac:dyDescent="0.3">
      <c r="C6" s="1" t="s">
        <v>350</v>
      </c>
      <c r="D6" s="1">
        <f>ROUNDUP(D4/D5,0)+2</f>
        <v>15</v>
      </c>
    </row>
    <row r="7" spans="1:6" x14ac:dyDescent="0.3">
      <c r="C7" s="1" t="s">
        <v>359</v>
      </c>
      <c r="D7" s="127">
        <f>D6*D5</f>
        <v>375000</v>
      </c>
    </row>
    <row r="8" spans="1:6" x14ac:dyDescent="0.3">
      <c r="B8" s="290" t="s">
        <v>363</v>
      </c>
      <c r="D8" s="127"/>
    </row>
    <row r="9" spans="1:6" x14ac:dyDescent="0.3">
      <c r="C9" s="1" t="s">
        <v>360</v>
      </c>
      <c r="D9" s="127">
        <f>D7-D4</f>
        <v>73860</v>
      </c>
    </row>
    <row r="10" spans="1:6" ht="28.95" customHeight="1" x14ac:dyDescent="0.3">
      <c r="B10" s="985" t="s">
        <v>367</v>
      </c>
      <c r="C10" s="985"/>
      <c r="D10" s="985"/>
      <c r="E10" s="985"/>
      <c r="F10" s="985"/>
    </row>
    <row r="11" spans="1:6" ht="14.55" customHeight="1" x14ac:dyDescent="0.3">
      <c r="B11" s="421"/>
      <c r="C11" s="422" t="s">
        <v>368</v>
      </c>
      <c r="D11" s="423">
        <f>D9/D6</f>
        <v>4924</v>
      </c>
      <c r="E11" s="421"/>
      <c r="F11" s="421"/>
    </row>
    <row r="12" spans="1:6" x14ac:dyDescent="0.3">
      <c r="B12" s="553" t="s">
        <v>356</v>
      </c>
      <c r="D12" s="127"/>
    </row>
    <row r="13" spans="1:6" x14ac:dyDescent="0.3">
      <c r="C13" s="427" t="s">
        <v>351</v>
      </c>
      <c r="D13" s="127">
        <f>'Financial Statement'!C22/12</f>
        <v>-3048.2316245859165</v>
      </c>
    </row>
    <row r="14" spans="1:6" x14ac:dyDescent="0.3">
      <c r="C14" s="427" t="s">
        <v>355</v>
      </c>
      <c r="D14" s="127">
        <f>D13*85%</f>
        <v>-2590.9968808980288</v>
      </c>
    </row>
    <row r="15" spans="1:6" x14ac:dyDescent="0.3">
      <c r="C15" s="1" t="s">
        <v>353</v>
      </c>
      <c r="D15" s="127">
        <f>D14/D6</f>
        <v>-172.73312539320193</v>
      </c>
    </row>
    <row r="16" spans="1:6" x14ac:dyDescent="0.3">
      <c r="C16" s="1" t="s">
        <v>354</v>
      </c>
      <c r="D16" s="412">
        <f>D15*12/D5</f>
        <v>-8.2911900188736926E-2</v>
      </c>
    </row>
    <row r="17" spans="1:6" x14ac:dyDescent="0.3">
      <c r="C17" s="1" t="s">
        <v>352</v>
      </c>
      <c r="D17" s="127">
        <f>D13-D14</f>
        <v>-457.23474368788766</v>
      </c>
    </row>
    <row r="18" spans="1:6" x14ac:dyDescent="0.3">
      <c r="C18" s="1" t="s">
        <v>357</v>
      </c>
      <c r="D18" s="424">
        <f>'Total Result'!C13</f>
        <v>-8.2326420989773048</v>
      </c>
    </row>
    <row r="19" spans="1:6" ht="28.95" customHeight="1" x14ac:dyDescent="0.35">
      <c r="A19" s="120"/>
      <c r="B19" s="984" t="s">
        <v>362</v>
      </c>
      <c r="C19" s="984"/>
      <c r="D19" s="984"/>
      <c r="E19" s="984"/>
      <c r="F19" s="984"/>
    </row>
    <row r="20" spans="1:6" x14ac:dyDescent="0.3">
      <c r="C20" s="1" t="s">
        <v>364</v>
      </c>
    </row>
    <row r="21" spans="1:6" x14ac:dyDescent="0.3">
      <c r="C21" s="1" t="s">
        <v>365</v>
      </c>
    </row>
    <row r="22" spans="1:6" x14ac:dyDescent="0.3">
      <c r="B22" s="290" t="s">
        <v>366</v>
      </c>
    </row>
    <row r="23" spans="1:6" ht="41.55" customHeight="1" x14ac:dyDescent="0.3">
      <c r="B23" s="985" t="s">
        <v>369</v>
      </c>
      <c r="C23" s="985"/>
      <c r="D23" s="985"/>
      <c r="E23" s="985"/>
      <c r="F23" s="985"/>
    </row>
    <row r="24" spans="1:6" x14ac:dyDescent="0.3">
      <c r="C24" s="1" t="s">
        <v>370</v>
      </c>
    </row>
    <row r="25" spans="1:6" x14ac:dyDescent="0.3">
      <c r="C25" s="1" t="s">
        <v>371</v>
      </c>
    </row>
    <row r="26" spans="1:6" ht="28.95" customHeight="1" x14ac:dyDescent="0.3">
      <c r="C26" s="986" t="s">
        <v>372</v>
      </c>
      <c r="D26" s="986"/>
      <c r="E26" s="986"/>
      <c r="F26" s="986"/>
    </row>
    <row r="28" spans="1:6" ht="18" x14ac:dyDescent="0.35">
      <c r="A28" s="120" t="s">
        <v>373</v>
      </c>
    </row>
    <row r="29" spans="1:6" x14ac:dyDescent="0.3">
      <c r="B29" s="290" t="s">
        <v>382</v>
      </c>
    </row>
    <row r="30" spans="1:6" x14ac:dyDescent="0.3">
      <c r="C30" s="1" t="s">
        <v>374</v>
      </c>
    </row>
    <row r="31" spans="1:6" x14ac:dyDescent="0.3">
      <c r="C31" s="1" t="s">
        <v>375</v>
      </c>
      <c r="D31" s="127">
        <f>'Total Result'!C25</f>
        <v>1588000</v>
      </c>
    </row>
    <row r="32" spans="1:6" x14ac:dyDescent="0.3">
      <c r="C32" s="1" t="s">
        <v>376</v>
      </c>
      <c r="D32" s="127">
        <f>'Total Result'!C26</f>
        <v>1288000</v>
      </c>
    </row>
    <row r="33" spans="2:4" x14ac:dyDescent="0.3">
      <c r="C33" s="1" t="s">
        <v>377</v>
      </c>
      <c r="D33" s="127">
        <f>D31-D32</f>
        <v>300000</v>
      </c>
    </row>
    <row r="34" spans="2:4" x14ac:dyDescent="0.3">
      <c r="C34" s="1" t="s">
        <v>378</v>
      </c>
      <c r="D34" s="127">
        <f>D33*10%</f>
        <v>30000</v>
      </c>
    </row>
    <row r="35" spans="2:4" x14ac:dyDescent="0.3">
      <c r="C35" s="1" t="s">
        <v>379</v>
      </c>
      <c r="D35" s="127">
        <f>D32+D34</f>
        <v>1318000</v>
      </c>
    </row>
    <row r="36" spans="2:4" x14ac:dyDescent="0.3">
      <c r="C36" s="1" t="s">
        <v>380</v>
      </c>
      <c r="D36" s="127">
        <f>D31-D35</f>
        <v>270000</v>
      </c>
    </row>
    <row r="37" spans="2:4" x14ac:dyDescent="0.3">
      <c r="C37" s="1" t="s">
        <v>381</v>
      </c>
      <c r="D37" s="412">
        <f>D36/D31</f>
        <v>0.17002518891687657</v>
      </c>
    </row>
    <row r="38" spans="2:4" x14ac:dyDescent="0.3">
      <c r="B38" s="290" t="s">
        <v>383</v>
      </c>
    </row>
  </sheetData>
  <sheetProtection algorithmName="SHA-512" hashValue="SwvefjZ85ngWEFJgefvqA2mmSbpDrj9H3s1uDAkSg3qmgcMDbeDuPWdOYfSb3bm1EjJkfhbMSiZQEUp+frg1+A==" saltValue="n76Kd8yx0PIa0vmJtHCMjA==" spinCount="100000" sheet="1" objects="1" scenarios="1"/>
  <mergeCells count="5">
    <mergeCell ref="B3:F3"/>
    <mergeCell ref="B19:F19"/>
    <mergeCell ref="B10:F10"/>
    <mergeCell ref="B23:F23"/>
    <mergeCell ref="C26:F26"/>
  </mergeCells>
  <hyperlinks>
    <hyperlink ref="A1" location="'Table of contents'!A1" display="Table of contents" xr:uid="{7F4FF498-03CB-4828-A291-E2D112AA9945}"/>
  </hyperlinks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C832-ECBE-4BAF-B4C3-F82EB940B8EA}">
  <sheetPr codeName="Sheet17">
    <tabColor rgb="FFFFFF00"/>
  </sheetPr>
  <dimension ref="A1:H21"/>
  <sheetViews>
    <sheetView workbookViewId="0">
      <selection activeCell="A13" sqref="A13"/>
    </sheetView>
  </sheetViews>
  <sheetFormatPr defaultColWidth="0" defaultRowHeight="14.4" zeroHeight="1" x14ac:dyDescent="0.3"/>
  <cols>
    <col min="1" max="1" width="34.77734375" style="896" customWidth="1"/>
    <col min="2" max="2" width="23" style="896" customWidth="1"/>
    <col min="3" max="3" width="14.21875" style="896" customWidth="1"/>
    <col min="4" max="4" width="4.33203125" style="896" customWidth="1"/>
    <col min="5" max="5" width="23" style="896" customWidth="1"/>
    <col min="6" max="6" width="14.21875" style="896" customWidth="1"/>
    <col min="7" max="7" width="8.77734375" style="896" customWidth="1"/>
    <col min="8" max="8" width="27.77734375" style="896" customWidth="1"/>
    <col min="9" max="16384" width="8.77734375" style="896" hidden="1"/>
  </cols>
  <sheetData>
    <row r="1" spans="1:8" ht="16.2" thickBot="1" x14ac:dyDescent="0.35">
      <c r="A1" s="895" t="s">
        <v>454</v>
      </c>
      <c r="B1" s="991" t="s">
        <v>318</v>
      </c>
      <c r="C1" s="991"/>
      <c r="E1" s="991" t="s">
        <v>319</v>
      </c>
      <c r="F1" s="991"/>
    </row>
    <row r="2" spans="1:8" ht="18" x14ac:dyDescent="0.3">
      <c r="B2" s="987" t="s">
        <v>155</v>
      </c>
      <c r="C2" s="988"/>
      <c r="E2" s="989" t="s">
        <v>155</v>
      </c>
      <c r="F2" s="990"/>
      <c r="H2" s="897"/>
    </row>
    <row r="3" spans="1:8" ht="15.6" x14ac:dyDescent="0.3">
      <c r="B3" s="898" t="s">
        <v>95</v>
      </c>
      <c r="C3" s="899">
        <f>'ROI Number insert'!F3</f>
        <v>1288000</v>
      </c>
      <c r="E3" s="909" t="s">
        <v>313</v>
      </c>
      <c r="F3" s="910">
        <f>'ROI Number insert ARV'!E3</f>
        <v>0</v>
      </c>
      <c r="H3" s="897"/>
    </row>
    <row r="4" spans="1:8" ht="15.6" x14ac:dyDescent="0.3">
      <c r="B4" s="898" t="s">
        <v>20</v>
      </c>
      <c r="C4" s="900">
        <f>'Calculating offering price'!C13</f>
        <v>0.2</v>
      </c>
      <c r="E4" s="909" t="s">
        <v>20</v>
      </c>
      <c r="F4" s="911">
        <f>'ROI Number insert ARV'!E9</f>
        <v>0.2</v>
      </c>
      <c r="H4" s="897"/>
    </row>
    <row r="5" spans="1:8" ht="15.6" x14ac:dyDescent="0.3">
      <c r="B5" s="898" t="s">
        <v>156</v>
      </c>
      <c r="C5" s="901">
        <f>'ROI Number insert'!F4</f>
        <v>25</v>
      </c>
      <c r="E5" s="909" t="s">
        <v>156</v>
      </c>
      <c r="F5" s="912">
        <f>'ROI Number insert ARV'!E4</f>
        <v>0</v>
      </c>
      <c r="H5" s="897"/>
    </row>
    <row r="6" spans="1:8" ht="15.6" x14ac:dyDescent="0.3">
      <c r="B6" s="898" t="s">
        <v>157</v>
      </c>
      <c r="C6" s="902">
        <v>12</v>
      </c>
      <c r="E6" s="909" t="s">
        <v>157</v>
      </c>
      <c r="F6" s="913">
        <v>12</v>
      </c>
      <c r="H6" s="897"/>
    </row>
    <row r="7" spans="1:8" ht="15.6" x14ac:dyDescent="0.3">
      <c r="B7" s="898" t="s">
        <v>158</v>
      </c>
      <c r="C7" s="900">
        <f>'ROI Number insert'!F5</f>
        <v>5.5E-2</v>
      </c>
      <c r="E7" s="909" t="s">
        <v>158</v>
      </c>
      <c r="F7" s="911">
        <f>'ROI Number insert ARV'!E5</f>
        <v>0</v>
      </c>
      <c r="H7" s="897"/>
    </row>
    <row r="8" spans="1:8" ht="15.6" x14ac:dyDescent="0.3">
      <c r="B8" s="898" t="s">
        <v>159</v>
      </c>
      <c r="C8" s="903">
        <f>C5*C6</f>
        <v>300</v>
      </c>
      <c r="E8" s="909" t="s">
        <v>159</v>
      </c>
      <c r="F8" s="914">
        <f>F5*F6</f>
        <v>0</v>
      </c>
      <c r="H8" s="897"/>
    </row>
    <row r="9" spans="1:8" ht="15.6" x14ac:dyDescent="0.3">
      <c r="B9" s="898" t="s">
        <v>160</v>
      </c>
      <c r="C9" s="899">
        <f>C3*C4</f>
        <v>257600</v>
      </c>
      <c r="E9" s="909" t="s">
        <v>160</v>
      </c>
      <c r="F9" s="910">
        <f>F3*F4</f>
        <v>0</v>
      </c>
      <c r="H9" s="897"/>
    </row>
    <row r="10" spans="1:8" ht="15.6" x14ac:dyDescent="0.3">
      <c r="B10" s="898" t="s">
        <v>109</v>
      </c>
      <c r="C10" s="899">
        <f>C3-C9</f>
        <v>1030400</v>
      </c>
      <c r="E10" s="909" t="s">
        <v>109</v>
      </c>
      <c r="F10" s="910">
        <f>F3-F9</f>
        <v>0</v>
      </c>
      <c r="H10" s="897"/>
    </row>
    <row r="11" spans="1:8" ht="16.2" thickBot="1" x14ac:dyDescent="0.35">
      <c r="B11" s="904" t="s">
        <v>161</v>
      </c>
      <c r="C11" s="905">
        <f>-PMT(C7/C6,C8,C10,0)</f>
        <v>6327.5575204682691</v>
      </c>
      <c r="E11" s="915" t="s">
        <v>161</v>
      </c>
      <c r="F11" s="916" t="e">
        <f>-PMT(F7/F6,F8,F10,0)</f>
        <v>#NUM!</v>
      </c>
      <c r="H11" s="897"/>
    </row>
    <row r="12" spans="1:8" ht="15" thickBot="1" x14ac:dyDescent="0.35">
      <c r="H12" s="897"/>
    </row>
    <row r="13" spans="1:8" ht="18.600000000000001" thickBot="1" x14ac:dyDescent="0.35">
      <c r="A13" s="895" t="s">
        <v>531</v>
      </c>
      <c r="B13" s="987" t="s">
        <v>244</v>
      </c>
      <c r="C13" s="988"/>
      <c r="E13" s="989" t="s">
        <v>244</v>
      </c>
      <c r="F13" s="990"/>
      <c r="H13" s="897"/>
    </row>
    <row r="14" spans="1:8" ht="16.8" thickTop="1" thickBot="1" x14ac:dyDescent="0.35">
      <c r="B14" s="906" t="s">
        <v>245</v>
      </c>
      <c r="C14" s="907">
        <v>0</v>
      </c>
      <c r="E14" s="917" t="s">
        <v>245</v>
      </c>
      <c r="F14" s="651">
        <v>0</v>
      </c>
      <c r="H14" s="897"/>
    </row>
    <row r="15" spans="1:8" ht="16.8" thickTop="1" thickBot="1" x14ac:dyDescent="0.35">
      <c r="B15" s="898" t="s">
        <v>156</v>
      </c>
      <c r="C15" s="908">
        <v>0</v>
      </c>
      <c r="E15" s="909" t="s">
        <v>156</v>
      </c>
      <c r="F15" s="649">
        <v>0</v>
      </c>
      <c r="H15" s="897"/>
    </row>
    <row r="16" spans="1:8" ht="16.8" thickTop="1" thickBot="1" x14ac:dyDescent="0.35">
      <c r="B16" s="898" t="s">
        <v>157</v>
      </c>
      <c r="C16" s="902">
        <v>12</v>
      </c>
      <c r="E16" s="909" t="s">
        <v>157</v>
      </c>
      <c r="F16" s="913">
        <v>12</v>
      </c>
      <c r="H16" s="897"/>
    </row>
    <row r="17" spans="2:6" ht="16.8" thickTop="1" thickBot="1" x14ac:dyDescent="0.35">
      <c r="B17" s="898" t="s">
        <v>158</v>
      </c>
      <c r="C17" s="696">
        <v>0</v>
      </c>
      <c r="E17" s="909" t="s">
        <v>158</v>
      </c>
      <c r="F17" s="696">
        <v>0</v>
      </c>
    </row>
    <row r="18" spans="2:6" ht="16.2" thickTop="1" x14ac:dyDescent="0.3">
      <c r="B18" s="898" t="s">
        <v>159</v>
      </c>
      <c r="C18" s="903">
        <f>C15*C16</f>
        <v>0</v>
      </c>
      <c r="E18" s="909" t="s">
        <v>159</v>
      </c>
      <c r="F18" s="914">
        <f>F15*F16</f>
        <v>0</v>
      </c>
    </row>
    <row r="19" spans="2:6" ht="16.2" thickBot="1" x14ac:dyDescent="0.35">
      <c r="B19" s="904" t="s">
        <v>161</v>
      </c>
      <c r="C19" s="905" t="e">
        <f>-PMT(C17/C16,C18,C14,0)</f>
        <v>#NUM!</v>
      </c>
      <c r="E19" s="915" t="s">
        <v>161</v>
      </c>
      <c r="F19" s="916" t="e">
        <f>-PMT(F17/F16,F18,F14,0)</f>
        <v>#NUM!</v>
      </c>
    </row>
    <row r="20" spans="2:6" x14ac:dyDescent="0.3"/>
    <row r="21" spans="2:6" x14ac:dyDescent="0.3"/>
  </sheetData>
  <mergeCells count="6">
    <mergeCell ref="B2:C2"/>
    <mergeCell ref="B13:C13"/>
    <mergeCell ref="E2:F2"/>
    <mergeCell ref="E13:F13"/>
    <mergeCell ref="B1:C1"/>
    <mergeCell ref="E1:F1"/>
  </mergeCells>
  <hyperlinks>
    <hyperlink ref="A1" location="'Table of contents'!A1" display="Table of contents" xr:uid="{E0D21217-816E-47D1-A10B-FAE215A17580}"/>
    <hyperlink ref="A13" location="'Calculating offering price'!C31" display="Back to insert" xr:uid="{2A82D0CF-CB16-46BE-B8D6-2CC8DAD0DB2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A803-7845-49F8-9A08-7AB41A9D3784}">
  <sheetPr codeName="Sheet18">
    <tabColor rgb="FFFFFF00"/>
  </sheetPr>
  <dimension ref="A1:H17"/>
  <sheetViews>
    <sheetView workbookViewId="0">
      <selection activeCell="C5" sqref="C5"/>
    </sheetView>
  </sheetViews>
  <sheetFormatPr defaultColWidth="0" defaultRowHeight="14.4" zeroHeight="1" x14ac:dyDescent="0.3"/>
  <cols>
    <col min="1" max="1" width="35.21875" style="581" customWidth="1"/>
    <col min="2" max="2" width="22.33203125" style="581" customWidth="1"/>
    <col min="3" max="3" width="12.77734375" style="581" customWidth="1"/>
    <col min="4" max="4" width="3.21875" style="581" customWidth="1"/>
    <col min="5" max="5" width="22.33203125" style="581" customWidth="1"/>
    <col min="6" max="6" width="12.77734375" style="581" customWidth="1"/>
    <col min="7" max="7" width="8.77734375" style="581" customWidth="1"/>
    <col min="8" max="8" width="27.33203125" style="581" hidden="1" customWidth="1"/>
    <col min="9" max="16384" width="8.77734375" style="581" hidden="1"/>
  </cols>
  <sheetData>
    <row r="1" spans="1:8" ht="16.2" thickBot="1" x14ac:dyDescent="0.35">
      <c r="A1" s="626" t="s">
        <v>454</v>
      </c>
      <c r="B1" s="996" t="s">
        <v>318</v>
      </c>
      <c r="C1" s="996"/>
      <c r="E1" s="996" t="s">
        <v>319</v>
      </c>
      <c r="F1" s="996"/>
      <c r="H1" s="1"/>
    </row>
    <row r="2" spans="1:8" ht="16.2" thickBot="1" x14ac:dyDescent="0.35">
      <c r="B2" s="992" t="s">
        <v>162</v>
      </c>
      <c r="C2" s="993"/>
      <c r="E2" s="994" t="s">
        <v>162</v>
      </c>
      <c r="F2" s="995"/>
      <c r="H2" s="1"/>
    </row>
    <row r="3" spans="1:8" ht="16.8" thickTop="1" thickBot="1" x14ac:dyDescent="0.35">
      <c r="B3" s="882" t="s">
        <v>163</v>
      </c>
      <c r="C3" s="713">
        <v>0</v>
      </c>
      <c r="E3" s="886" t="s">
        <v>163</v>
      </c>
      <c r="F3" s="713">
        <v>0</v>
      </c>
      <c r="H3" s="1"/>
    </row>
    <row r="4" spans="1:8" ht="16.8" thickTop="1" thickBot="1" x14ac:dyDescent="0.35">
      <c r="B4" s="883" t="s">
        <v>164</v>
      </c>
      <c r="C4" s="674">
        <v>0</v>
      </c>
      <c r="E4" s="887" t="s">
        <v>164</v>
      </c>
      <c r="F4" s="674">
        <v>0</v>
      </c>
      <c r="H4" s="1"/>
    </row>
    <row r="5" spans="1:8" ht="16.8" thickTop="1" thickBot="1" x14ac:dyDescent="0.35">
      <c r="B5" s="883" t="s">
        <v>165</v>
      </c>
      <c r="C5" s="713">
        <v>0</v>
      </c>
      <c r="E5" s="887" t="s">
        <v>165</v>
      </c>
      <c r="F5" s="713">
        <v>0</v>
      </c>
      <c r="H5" s="1"/>
    </row>
    <row r="6" spans="1:8" ht="16.8" thickTop="1" thickBot="1" x14ac:dyDescent="0.35">
      <c r="B6" s="884" t="s">
        <v>166</v>
      </c>
      <c r="C6" s="885">
        <f>C3*C4/12+C5</f>
        <v>0</v>
      </c>
      <c r="E6" s="888" t="s">
        <v>166</v>
      </c>
      <c r="F6" s="889">
        <f>F3*F4/12+F5</f>
        <v>0</v>
      </c>
      <c r="H6" s="1"/>
    </row>
    <row r="7" spans="1:8" x14ac:dyDescent="0.3">
      <c r="H7" s="1"/>
    </row>
    <row r="8" spans="1:8" hidden="1" x14ac:dyDescent="0.3">
      <c r="H8" s="1"/>
    </row>
    <row r="9" spans="1:8" hidden="1" x14ac:dyDescent="0.3">
      <c r="H9" s="1"/>
    </row>
    <row r="10" spans="1:8" hidden="1" x14ac:dyDescent="0.3">
      <c r="H10" s="1"/>
    </row>
    <row r="11" spans="1:8" hidden="1" x14ac:dyDescent="0.3">
      <c r="H11" s="1"/>
    </row>
    <row r="12" spans="1:8" hidden="1" x14ac:dyDescent="0.3">
      <c r="H12" s="1"/>
    </row>
    <row r="13" spans="1:8" hidden="1" x14ac:dyDescent="0.3">
      <c r="H13" s="1"/>
    </row>
    <row r="14" spans="1:8" hidden="1" x14ac:dyDescent="0.3">
      <c r="H14" s="1"/>
    </row>
    <row r="15" spans="1:8" hidden="1" x14ac:dyDescent="0.3">
      <c r="H15" s="1"/>
    </row>
    <row r="16" spans="1:8" hidden="1" x14ac:dyDescent="0.3">
      <c r="H16" s="1"/>
    </row>
    <row r="17" spans="8:8" hidden="1" x14ac:dyDescent="0.3">
      <c r="H17" s="1"/>
    </row>
  </sheetData>
  <sheetProtection algorithmName="SHA-512" hashValue="B6H6R3/b+yHEvcLkmwjRd+xGonp/6MuqLEYke9HT+tZ71ZUtm2hAvXNxeYDAPpPSHABMMyXIIoz1pvobkOuz2A==" saltValue="uc+laD/GAfBsQg20t1UUpw==" spinCount="100000" sheet="1" objects="1" scenarios="1"/>
  <mergeCells count="4">
    <mergeCell ref="B2:C2"/>
    <mergeCell ref="E2:F2"/>
    <mergeCell ref="B1:C1"/>
    <mergeCell ref="E1:F1"/>
  </mergeCells>
  <hyperlinks>
    <hyperlink ref="A1" location="'Table of contents'!A1" display="Table of contents" xr:uid="{4C28D523-3EC5-48BF-8D82-1DC89155162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A68-8534-44D7-B79F-279E69C2F6EB}">
  <sheetPr codeName="Sheet8">
    <tabColor theme="4" tint="0.39997558519241921"/>
  </sheetPr>
  <dimension ref="A1:C22"/>
  <sheetViews>
    <sheetView workbookViewId="0">
      <selection activeCell="E19" sqref="E19"/>
    </sheetView>
  </sheetViews>
  <sheetFormatPr defaultColWidth="8.77734375" defaultRowHeight="14.4" x14ac:dyDescent="0.3"/>
  <cols>
    <col min="1" max="1" width="8.77734375" style="1"/>
    <col min="2" max="2" width="39.77734375" style="1" customWidth="1"/>
    <col min="3" max="3" width="19.21875" style="1" customWidth="1"/>
    <col min="4" max="4" width="8.77734375" style="1"/>
    <col min="5" max="5" width="27.21875" style="1" customWidth="1"/>
    <col min="6" max="16384" width="8.77734375" style="1"/>
  </cols>
  <sheetData>
    <row r="1" spans="1:3" x14ac:dyDescent="0.3">
      <c r="A1" s="626" t="s">
        <v>454</v>
      </c>
    </row>
    <row r="2" spans="1:3" ht="21" x14ac:dyDescent="0.4">
      <c r="B2" s="980" t="s">
        <v>253</v>
      </c>
      <c r="C2" s="980"/>
    </row>
    <row r="3" spans="1:3" x14ac:dyDescent="0.3">
      <c r="B3" s="290" t="s">
        <v>240</v>
      </c>
      <c r="C3" s="298">
        <f>SUM(C4:C6)</f>
        <v>0</v>
      </c>
    </row>
    <row r="4" spans="1:3" x14ac:dyDescent="0.3">
      <c r="B4" s="295" t="s">
        <v>254</v>
      </c>
      <c r="C4" s="292">
        <f>('Calculating offering price ARV'!C51+'Calculating offering price ARV'!D49+'Calculating offering price ARV'!E49)*12</f>
        <v>0</v>
      </c>
    </row>
    <row r="5" spans="1:3" x14ac:dyDescent="0.3">
      <c r="B5" s="295" t="s">
        <v>255</v>
      </c>
      <c r="C5" s="293">
        <f>SUM('Calculating offering price ARV'!C53:C56)</f>
        <v>0</v>
      </c>
    </row>
    <row r="6" spans="1:3" x14ac:dyDescent="0.3">
      <c r="B6" s="296" t="s">
        <v>256</v>
      </c>
      <c r="C6" s="294">
        <f>-'ROI Number insert ARV'!E26</f>
        <v>0</v>
      </c>
    </row>
    <row r="7" spans="1:3" x14ac:dyDescent="0.3">
      <c r="B7" s="290" t="s">
        <v>241</v>
      </c>
      <c r="C7" s="298">
        <f>SUM(C8:C18)</f>
        <v>17888.089249411765</v>
      </c>
    </row>
    <row r="8" spans="1:3" x14ac:dyDescent="0.3">
      <c r="B8" s="295" t="s">
        <v>257</v>
      </c>
      <c r="C8" s="292">
        <f>'ROI Number insert ARV'!E41</f>
        <v>0</v>
      </c>
    </row>
    <row r="9" spans="1:3" x14ac:dyDescent="0.3">
      <c r="B9" s="295" t="s">
        <v>258</v>
      </c>
      <c r="C9" s="292">
        <f>'ROI Number insert ARV'!E38</f>
        <v>1500</v>
      </c>
    </row>
    <row r="10" spans="1:3" x14ac:dyDescent="0.3">
      <c r="B10" s="295" t="s">
        <v>259</v>
      </c>
      <c r="C10" s="292">
        <f>'ROI Number insert ARV'!E35</f>
        <v>1571.1435294117646</v>
      </c>
    </row>
    <row r="11" spans="1:3" x14ac:dyDescent="0.3">
      <c r="B11" s="295" t="s">
        <v>260</v>
      </c>
      <c r="C11" s="292">
        <f>'ROI Number insert ARV'!E39</f>
        <v>0</v>
      </c>
    </row>
    <row r="12" spans="1:3" x14ac:dyDescent="0.3">
      <c r="B12" s="295" t="s">
        <v>261</v>
      </c>
      <c r="C12" s="292">
        <f>'ROI Number insert ARV'!E40</f>
        <v>0</v>
      </c>
    </row>
    <row r="13" spans="1:3" x14ac:dyDescent="0.3">
      <c r="B13" s="295" t="s">
        <v>262</v>
      </c>
      <c r="C13" s="292">
        <f>'ROI Number insert ARV'!E34</f>
        <v>0</v>
      </c>
    </row>
    <row r="14" spans="1:3" x14ac:dyDescent="0.3">
      <c r="B14" s="295" t="s">
        <v>39</v>
      </c>
      <c r="C14" s="292">
        <f>'ROI Number insert ARV'!E37</f>
        <v>10884</v>
      </c>
    </row>
    <row r="15" spans="1:3" x14ac:dyDescent="0.3">
      <c r="B15" s="295" t="s">
        <v>190</v>
      </c>
      <c r="C15" s="292">
        <f>'ROI Number insert ARV'!E42</f>
        <v>0</v>
      </c>
    </row>
    <row r="16" spans="1:3" x14ac:dyDescent="0.3">
      <c r="B16" s="295" t="s">
        <v>263</v>
      </c>
      <c r="C16" s="292">
        <f>'ROI Number insert ARV'!E43</f>
        <v>0</v>
      </c>
    </row>
    <row r="17" spans="2:3" x14ac:dyDescent="0.3">
      <c r="B17" s="295" t="s">
        <v>267</v>
      </c>
      <c r="C17" s="292">
        <f>'ROI Number insert ARV'!H16</f>
        <v>0</v>
      </c>
    </row>
    <row r="18" spans="2:3" x14ac:dyDescent="0.3">
      <c r="B18" s="296" t="s">
        <v>264</v>
      </c>
      <c r="C18" s="297">
        <f>'ROI Number insert ARV'!E32</f>
        <v>3932.9457199999997</v>
      </c>
    </row>
    <row r="19" spans="2:3" x14ac:dyDescent="0.3">
      <c r="B19" s="299" t="s">
        <v>218</v>
      </c>
      <c r="C19" s="300">
        <f>C3-C7</f>
        <v>-17888.089249411765</v>
      </c>
    </row>
    <row r="20" spans="2:3" x14ac:dyDescent="0.3">
      <c r="B20" s="1" t="s">
        <v>265</v>
      </c>
      <c r="C20" s="292" t="e">
        <f>'ROI Number insert ARV'!E30</f>
        <v>#NUM!</v>
      </c>
    </row>
    <row r="21" spans="2:3" x14ac:dyDescent="0.3">
      <c r="B21" s="291" t="s">
        <v>266</v>
      </c>
      <c r="C21" s="297">
        <f>'ROI Number insert ARV'!H17</f>
        <v>0</v>
      </c>
    </row>
    <row r="22" spans="2:3" ht="15.6" x14ac:dyDescent="0.3">
      <c r="B22" s="177" t="s">
        <v>141</v>
      </c>
      <c r="C22" s="301" t="e">
        <f>C19-SUM(C20:C21)</f>
        <v>#NUM!</v>
      </c>
    </row>
  </sheetData>
  <mergeCells count="1">
    <mergeCell ref="B2:C2"/>
  </mergeCells>
  <hyperlinks>
    <hyperlink ref="A1" location="'Table of contents'!A1" display="Table of contents" xr:uid="{2DA52B62-911F-4E39-B3E7-73EC9FBA699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C6F-B511-49D2-890F-A02756542E87}">
  <sheetPr codeName="Sheet10">
    <tabColor theme="4" tint="0.39997558519241921"/>
  </sheetPr>
  <dimension ref="A1:J118"/>
  <sheetViews>
    <sheetView workbookViewId="0">
      <selection activeCell="C1" sqref="C1"/>
    </sheetView>
  </sheetViews>
  <sheetFormatPr defaultColWidth="8.77734375" defaultRowHeight="14.4" x14ac:dyDescent="0.3"/>
  <cols>
    <col min="1" max="1" width="17.1093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2.109375" style="3" hidden="1" customWidth="1"/>
    <col min="7" max="7" width="27.21875" style="3" customWidth="1"/>
    <col min="8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97" t="s">
        <v>1</v>
      </c>
      <c r="C2" s="998"/>
      <c r="F2" s="5"/>
    </row>
    <row r="3" spans="1:8" ht="31.05" customHeight="1" x14ac:dyDescent="0.3">
      <c r="B3" s="314" t="s">
        <v>2</v>
      </c>
      <c r="C3" s="374" t="str">
        <f>'Calculating offering price'!C3</f>
        <v>Condominium</v>
      </c>
      <c r="F3" s="6" t="s">
        <v>4</v>
      </c>
    </row>
    <row r="4" spans="1:8" ht="15.6" x14ac:dyDescent="0.3">
      <c r="B4" s="315" t="s">
        <v>5</v>
      </c>
      <c r="C4" s="373">
        <f>'Calculating offering price'!C4</f>
        <v>1588000</v>
      </c>
      <c r="F4" s="7" t="s">
        <v>6</v>
      </c>
      <c r="H4" s="4"/>
    </row>
    <row r="5" spans="1:8" ht="15.6" x14ac:dyDescent="0.3">
      <c r="B5" s="316" t="s">
        <v>7</v>
      </c>
      <c r="C5" s="375">
        <f>'Calculating offering price'!C5</f>
        <v>516823.52941176464</v>
      </c>
      <c r="D5" s="8" t="s">
        <v>236</v>
      </c>
      <c r="F5" s="3" t="s">
        <v>8</v>
      </c>
      <c r="H5" s="4"/>
    </row>
    <row r="6" spans="1:8" ht="13.5" customHeight="1" x14ac:dyDescent="0.3">
      <c r="B6" s="316" t="s">
        <v>9</v>
      </c>
      <c r="C6" s="376">
        <f>'Calculating offering price'!C6</f>
        <v>1861</v>
      </c>
      <c r="F6" s="3" t="s">
        <v>10</v>
      </c>
      <c r="H6" s="4"/>
    </row>
    <row r="7" spans="1:8" ht="15.6" x14ac:dyDescent="0.3">
      <c r="B7" s="316" t="s">
        <v>11</v>
      </c>
      <c r="C7" s="9">
        <f>C5*0.8</f>
        <v>413458.82352941175</v>
      </c>
      <c r="F7" s="3" t="s">
        <v>12</v>
      </c>
      <c r="H7" s="4"/>
    </row>
    <row r="8" spans="1:8" ht="15" customHeight="1" thickBot="1" x14ac:dyDescent="0.35">
      <c r="B8" s="316" t="s">
        <v>13</v>
      </c>
      <c r="C8" s="9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317" t="s">
        <v>15</v>
      </c>
      <c r="C9" s="648">
        <v>0</v>
      </c>
      <c r="D9" s="4"/>
      <c r="F9" s="3" t="s">
        <v>16</v>
      </c>
      <c r="H9" s="4"/>
    </row>
    <row r="10" spans="1:8" ht="16.8" thickTop="1" thickBot="1" x14ac:dyDescent="0.35">
      <c r="B10" s="316" t="s">
        <v>17</v>
      </c>
      <c r="C10" s="9" t="e">
        <f>C37</f>
        <v>#NUM!</v>
      </c>
      <c r="D10" s="4"/>
      <c r="F10" s="3" t="s">
        <v>3</v>
      </c>
      <c r="H10" s="4"/>
    </row>
    <row r="11" spans="1:8" ht="16.8" thickTop="1" thickBot="1" x14ac:dyDescent="0.35">
      <c r="B11" s="316" t="s">
        <v>18</v>
      </c>
      <c r="C11" s="649">
        <v>0</v>
      </c>
      <c r="D11" s="4"/>
      <c r="H11" s="4"/>
    </row>
    <row r="12" spans="1:8" ht="16.2" thickTop="1" x14ac:dyDescent="0.3">
      <c r="B12" s="316" t="s">
        <v>19</v>
      </c>
      <c r="C12" s="9" t="e">
        <f>C10*C11</f>
        <v>#NUM!</v>
      </c>
      <c r="D12" s="4"/>
      <c r="H12" s="10"/>
    </row>
    <row r="13" spans="1:8" ht="15.6" x14ac:dyDescent="0.3">
      <c r="B13" s="316" t="s">
        <v>20</v>
      </c>
      <c r="C13" s="391">
        <f>'Calculating offering price'!C13</f>
        <v>0.2</v>
      </c>
      <c r="D13" s="4"/>
      <c r="H13" s="4"/>
    </row>
    <row r="14" spans="1:8" ht="16.2" thickBot="1" x14ac:dyDescent="0.35">
      <c r="A14" s="196"/>
      <c r="B14" s="318" t="s">
        <v>214</v>
      </c>
      <c r="C14" s="11" t="e">
        <f>C7-C9-C12-C8</f>
        <v>#NUM!</v>
      </c>
      <c r="D14" s="4"/>
      <c r="H14" s="4"/>
    </row>
    <row r="15" spans="1:8" ht="16.2" thickBot="1" x14ac:dyDescent="0.35">
      <c r="B15" s="999" t="s">
        <v>21</v>
      </c>
      <c r="C15" s="1000"/>
      <c r="D15" s="4"/>
      <c r="H15" s="4"/>
    </row>
    <row r="16" spans="1:8" ht="15.6" x14ac:dyDescent="0.3">
      <c r="B16" s="319" t="s">
        <v>22</v>
      </c>
      <c r="C16" s="239" t="e">
        <f>C14*C13</f>
        <v>#NUM!</v>
      </c>
      <c r="D16" s="4"/>
      <c r="H16" s="4"/>
    </row>
    <row r="17" spans="2:9" ht="15.6" x14ac:dyDescent="0.3">
      <c r="B17" s="320" t="s">
        <v>234</v>
      </c>
      <c r="C17" s="240" t="e">
        <f>C14*4.5%</f>
        <v>#NUM!</v>
      </c>
      <c r="D17" s="8" t="s">
        <v>23</v>
      </c>
      <c r="H17" s="4"/>
    </row>
    <row r="18" spans="2:9" ht="15.6" x14ac:dyDescent="0.3">
      <c r="B18" s="320" t="s">
        <v>24</v>
      </c>
      <c r="C18" s="240" t="e">
        <f>C9+C16+C17</f>
        <v>#NUM!</v>
      </c>
      <c r="D18" s="4"/>
      <c r="H18" s="4"/>
    </row>
    <row r="19" spans="2:9" ht="16.05" customHeight="1" thickBot="1" x14ac:dyDescent="0.35">
      <c r="B19" s="321" t="s">
        <v>232</v>
      </c>
      <c r="C19" s="241">
        <f>'Calculating offering price'!C19</f>
        <v>208051</v>
      </c>
      <c r="D19" s="936" t="s">
        <v>235</v>
      </c>
      <c r="E19" s="937"/>
      <c r="F19" s="937"/>
      <c r="G19" s="937"/>
      <c r="H19" s="937"/>
    </row>
    <row r="20" spans="2:9" ht="21.75" customHeight="1" thickBot="1" x14ac:dyDescent="0.35">
      <c r="B20" s="1001" t="s">
        <v>7</v>
      </c>
      <c r="C20" s="1002"/>
      <c r="D20" s="8"/>
      <c r="E20" s="8"/>
      <c r="F20" s="8"/>
      <c r="G20" s="4"/>
      <c r="H20" s="4"/>
    </row>
    <row r="21" spans="2:9" ht="27.45" customHeight="1" x14ac:dyDescent="0.3">
      <c r="B21" s="322" t="s">
        <v>242</v>
      </c>
      <c r="C21" s="242" t="e">
        <f>C46*C6</f>
        <v>#DIV/0!</v>
      </c>
      <c r="D21" s="938" t="s">
        <v>25</v>
      </c>
      <c r="E21" s="939"/>
      <c r="F21" s="939"/>
      <c r="G21" s="939"/>
      <c r="H21" s="939"/>
      <c r="I21" s="244"/>
    </row>
    <row r="22" spans="2:9" ht="18.75" customHeight="1" x14ac:dyDescent="0.3">
      <c r="B22" s="323" t="str">
        <f>B66</f>
        <v>Conservative CF Multiplier Evaluation</v>
      </c>
      <c r="C22" s="12">
        <f>C78</f>
        <v>-113375</v>
      </c>
      <c r="F22" s="4"/>
      <c r="G22" s="4"/>
      <c r="H22" s="4"/>
    </row>
    <row r="23" spans="2:9" ht="16.2" thickBot="1" x14ac:dyDescent="0.35">
      <c r="B23" s="323" t="str">
        <f>B47</f>
        <v>CF Multiplier Evaluation</v>
      </c>
      <c r="C23" s="12">
        <f>C59</f>
        <v>-106705.88235294117</v>
      </c>
      <c r="H23" s="4"/>
    </row>
    <row r="24" spans="2:9" ht="16.2" thickBot="1" x14ac:dyDescent="0.35">
      <c r="B24" s="934" t="s">
        <v>26</v>
      </c>
      <c r="C24" s="935"/>
      <c r="H24" s="4"/>
    </row>
    <row r="25" spans="2:9" ht="15.6" x14ac:dyDescent="0.3">
      <c r="B25" s="324" t="s">
        <v>27</v>
      </c>
      <c r="C25" s="243" t="e">
        <f>C14*(100%-C13)</f>
        <v>#NUM!</v>
      </c>
      <c r="D25" s="8" t="s">
        <v>28</v>
      </c>
      <c r="H25" s="4"/>
    </row>
    <row r="26" spans="2:9" x14ac:dyDescent="0.3">
      <c r="B26" s="325" t="s">
        <v>29</v>
      </c>
      <c r="C26" s="311" t="e">
        <f>'Mortgage Caculator'!F11</f>
        <v>#NUM!</v>
      </c>
      <c r="D26" s="2" t="s">
        <v>30</v>
      </c>
    </row>
    <row r="27" spans="2:9" ht="15.6" x14ac:dyDescent="0.3">
      <c r="B27" s="326" t="s">
        <v>31</v>
      </c>
      <c r="C27" s="13" t="e">
        <f>C26*12</f>
        <v>#NUM!</v>
      </c>
      <c r="H27" s="4"/>
    </row>
    <row r="28" spans="2:9" ht="15.6" x14ac:dyDescent="0.3">
      <c r="B28" s="327" t="s">
        <v>32</v>
      </c>
      <c r="C28" s="377">
        <f>'Calculating offering price'!C28</f>
        <v>3932.9457199999997</v>
      </c>
      <c r="D28" s="3" t="s">
        <v>211</v>
      </c>
      <c r="H28" s="4"/>
    </row>
    <row r="29" spans="2:9" ht="15.6" x14ac:dyDescent="0.3">
      <c r="B29" s="328" t="s">
        <v>33</v>
      </c>
      <c r="C29" s="14">
        <f>C28/12</f>
        <v>327.74547666666666</v>
      </c>
      <c r="E29" s="15"/>
      <c r="F29" s="15"/>
      <c r="H29" s="4"/>
    </row>
    <row r="30" spans="2:9" ht="27" customHeight="1" thickBot="1" x14ac:dyDescent="0.35">
      <c r="B30" s="329" t="s">
        <v>34</v>
      </c>
      <c r="C30" s="245">
        <f>'Debt payment Calculator'!F6</f>
        <v>0</v>
      </c>
      <c r="D30" s="940" t="s">
        <v>35</v>
      </c>
      <c r="E30" s="939"/>
      <c r="F30" s="939"/>
      <c r="G30" s="939"/>
      <c r="H30" s="939"/>
    </row>
    <row r="31" spans="2:9" ht="16.5" customHeight="1" thickTop="1" thickBot="1" x14ac:dyDescent="0.35">
      <c r="B31" s="330" t="s">
        <v>246</v>
      </c>
      <c r="C31" s="648">
        <v>0</v>
      </c>
      <c r="D31" s="282" t="s">
        <v>30</v>
      </c>
      <c r="E31" s="271"/>
      <c r="F31" s="271"/>
      <c r="G31" s="271"/>
      <c r="H31" s="271"/>
    </row>
    <row r="32" spans="2:9" ht="16.2" thickTop="1" x14ac:dyDescent="0.3">
      <c r="B32" s="331" t="s">
        <v>36</v>
      </c>
      <c r="C32" s="377">
        <f>'Calculating offering price'!C32</f>
        <v>1500</v>
      </c>
      <c r="F32" s="4"/>
      <c r="G32" s="4"/>
      <c r="H32" s="4"/>
    </row>
    <row r="33" spans="2:9" ht="13.5" customHeight="1" x14ac:dyDescent="0.3">
      <c r="B33" s="331" t="s">
        <v>37</v>
      </c>
      <c r="C33" s="16">
        <f>'Calculating offering price'!C33</f>
        <v>1571.1435294117646</v>
      </c>
      <c r="D33" s="2" t="s">
        <v>38</v>
      </c>
      <c r="F33" s="4"/>
      <c r="G33" s="4"/>
      <c r="H33" s="4"/>
    </row>
    <row r="34" spans="2:9" ht="15.6" x14ac:dyDescent="0.3">
      <c r="B34" s="332" t="s">
        <v>39</v>
      </c>
      <c r="C34" s="378">
        <f>'Calculating offering price'!C34</f>
        <v>907</v>
      </c>
      <c r="F34" s="4"/>
      <c r="G34" s="4"/>
      <c r="H34" s="4"/>
    </row>
    <row r="35" spans="2:9" ht="15.6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 t="e">
        <f>C27+C28+(C30*12)+C32+C33+C35</f>
        <v>#NUM!</v>
      </c>
      <c r="F36" s="4"/>
      <c r="G36" s="4"/>
      <c r="H36" s="4"/>
    </row>
    <row r="37" spans="2:9" ht="16.2" thickBot="1" x14ac:dyDescent="0.35">
      <c r="B37" s="335" t="s">
        <v>42</v>
      </c>
      <c r="C37" s="19" t="e">
        <f>C36/12</f>
        <v>#NUM!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5.6" x14ac:dyDescent="0.3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 t="s">
        <v>50</v>
      </c>
    </row>
    <row r="41" spans="2:9" ht="15.6" x14ac:dyDescent="0.3">
      <c r="B41" s="338" t="s">
        <v>51</v>
      </c>
      <c r="C41" s="398">
        <v>0</v>
      </c>
      <c r="D41" s="20">
        <f>C41</f>
        <v>0</v>
      </c>
      <c r="E41" s="248">
        <f>C41</f>
        <v>0</v>
      </c>
      <c r="F41" s="4"/>
      <c r="G41" s="4"/>
      <c r="H41" s="4"/>
    </row>
    <row r="42" spans="2:9" ht="15.6" x14ac:dyDescent="0.3">
      <c r="B42" s="338" t="s">
        <v>52</v>
      </c>
      <c r="C42" s="398">
        <f>'Calculating offering price'!C42</f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5.6" x14ac:dyDescent="0.3">
      <c r="B43" s="338" t="s">
        <v>9</v>
      </c>
      <c r="C43" s="398">
        <f>'Calculating offering price'!C43</f>
        <v>0</v>
      </c>
      <c r="D43" s="20">
        <f>'Calculating offering price'!D43</f>
        <v>0</v>
      </c>
      <c r="E43" s="248">
        <f>'Calculating offering price'!E43</f>
        <v>0</v>
      </c>
      <c r="F43" s="4"/>
      <c r="G43" s="4"/>
      <c r="H43" s="4"/>
    </row>
    <row r="44" spans="2:9" ht="28.95" customHeight="1" x14ac:dyDescent="0.3">
      <c r="B44" s="339" t="s">
        <v>53</v>
      </c>
      <c r="C44" s="399">
        <f>'Calculating offering price'!C44</f>
        <v>0</v>
      </c>
      <c r="D44" s="400">
        <f>'Calculating offering price'!D44</f>
        <v>0</v>
      </c>
      <c r="E44" s="401">
        <f>'Calculating offering price'!E44</f>
        <v>0</v>
      </c>
      <c r="F44" s="4"/>
      <c r="G44" s="937" t="s">
        <v>212</v>
      </c>
      <c r="H44" s="937"/>
      <c r="I44" s="937"/>
    </row>
    <row r="45" spans="2:9" ht="16.2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27"/>
      <c r="C48" s="628" t="s">
        <v>56</v>
      </c>
      <c r="D48" s="644" t="s">
        <v>57</v>
      </c>
      <c r="E48" s="645" t="s">
        <v>58</v>
      </c>
      <c r="G48" s="4"/>
      <c r="H48" s="4"/>
    </row>
    <row r="49" spans="2:10" ht="16.8" thickTop="1" thickBot="1" x14ac:dyDescent="0.35">
      <c r="B49" s="629" t="s">
        <v>59</v>
      </c>
      <c r="C49" s="651">
        <v>0</v>
      </c>
      <c r="D49" s="672">
        <v>0</v>
      </c>
      <c r="E49" s="672">
        <v>0</v>
      </c>
      <c r="F49" s="8" t="s">
        <v>60</v>
      </c>
      <c r="G49" s="4"/>
      <c r="H49" s="4"/>
    </row>
    <row r="50" spans="2:10" ht="15" customHeight="1" thickTop="1" thickBot="1" x14ac:dyDescent="0.35">
      <c r="B50" s="630" t="s">
        <v>61</v>
      </c>
      <c r="C50" s="652">
        <v>0</v>
      </c>
      <c r="D50" s="23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30" t="s">
        <v>62</v>
      </c>
      <c r="C51" s="631">
        <f>C49*C50</f>
        <v>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30" t="s">
        <v>63</v>
      </c>
      <c r="C52" s="631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30" t="s">
        <v>64</v>
      </c>
      <c r="C53" s="651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30" t="s">
        <v>65</v>
      </c>
      <c r="C54" s="651">
        <v>0</v>
      </c>
      <c r="D54" s="26"/>
      <c r="E54" s="27"/>
      <c r="F54" s="24"/>
      <c r="G54" s="24"/>
      <c r="H54" s="24"/>
      <c r="I54" s="25"/>
      <c r="J54" s="25"/>
    </row>
    <row r="55" spans="2:10" ht="16.8" thickTop="1" thickBot="1" x14ac:dyDescent="0.35">
      <c r="B55" s="630" t="s">
        <v>66</v>
      </c>
      <c r="C55" s="651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30" t="s">
        <v>67</v>
      </c>
      <c r="C56" s="651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30" t="s">
        <v>68</v>
      </c>
      <c r="C57" s="631">
        <f>SUM(D49,E49,C51,C53:C56)</f>
        <v>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32" t="s">
        <v>69</v>
      </c>
      <c r="C58" s="633">
        <f>C57-C52</f>
        <v>-907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34" t="s">
        <v>7</v>
      </c>
      <c r="C59" s="635">
        <f>C58/0.85%</f>
        <v>-106705.88235294117</v>
      </c>
      <c r="D59" s="24" t="s">
        <v>501</v>
      </c>
      <c r="E59" s="24"/>
      <c r="F59" s="24"/>
      <c r="G59" s="24"/>
      <c r="H59" s="24"/>
      <c r="I59" s="25"/>
      <c r="J59" s="25"/>
    </row>
    <row r="60" spans="2:10" ht="15.6" x14ac:dyDescent="0.3">
      <c r="B60" s="634" t="s">
        <v>5</v>
      </c>
      <c r="C60" s="635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36" t="s">
        <v>72</v>
      </c>
      <c r="C61" s="637" t="e">
        <f>C14*0.6%</f>
        <v>#NUM!</v>
      </c>
      <c r="D61" s="927" t="s">
        <v>213</v>
      </c>
      <c r="E61" s="927"/>
      <c r="F61" s="927"/>
      <c r="G61" s="927"/>
      <c r="H61" s="927"/>
      <c r="I61" s="23"/>
      <c r="J61" s="23"/>
    </row>
    <row r="62" spans="2:10" s="32" customFormat="1" ht="15.6" x14ac:dyDescent="0.3">
      <c r="B62" s="638" t="s">
        <v>74</v>
      </c>
      <c r="C62" s="639" t="e">
        <f>(C60-C14)/C60</f>
        <v>#NUM!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640" t="s">
        <v>76</v>
      </c>
      <c r="C63" s="641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642" t="s">
        <v>78</v>
      </c>
      <c r="C64" s="643">
        <f>(C60-C59)/C60</f>
        <v>1.0671951400207438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0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-907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-113375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 t="e">
        <f>C14*0.8%</f>
        <v>#NUM!</v>
      </c>
      <c r="D80" s="941" t="s">
        <v>73</v>
      </c>
      <c r="E80" s="941"/>
      <c r="F80" s="941"/>
      <c r="G80" s="941"/>
      <c r="H80" s="941"/>
      <c r="I80" s="941"/>
    </row>
    <row r="81" spans="2:9" ht="15.6" x14ac:dyDescent="0.3">
      <c r="B81" s="351" t="s">
        <v>74</v>
      </c>
      <c r="C81" s="260" t="e">
        <f>(C79-C14)/C79</f>
        <v>#NUM!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1.0713948362720402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42" t="s">
        <v>81</v>
      </c>
      <c r="C86" s="943"/>
      <c r="D86" s="2" t="s">
        <v>224</v>
      </c>
    </row>
    <row r="87" spans="2:9" ht="15.6" x14ac:dyDescent="0.3">
      <c r="B87" s="356" t="s">
        <v>82</v>
      </c>
      <c r="C87" s="382">
        <f>'Calculating offering price'!C87</f>
        <v>0.02</v>
      </c>
      <c r="D87" s="2" t="s">
        <v>223</v>
      </c>
    </row>
    <row r="88" spans="2:9" ht="15.6" x14ac:dyDescent="0.3">
      <c r="B88" s="356" t="s">
        <v>83</v>
      </c>
      <c r="C88" s="383">
        <f>'Calculating offering price'!C88</f>
        <v>5</v>
      </c>
      <c r="D88" s="2" t="s">
        <v>84</v>
      </c>
    </row>
    <row r="89" spans="2:9" ht="15.6" x14ac:dyDescent="0.3">
      <c r="B89" s="356" t="s">
        <v>250</v>
      </c>
      <c r="C89" s="287">
        <f ca="1">TODAY()</f>
        <v>44982</v>
      </c>
      <c r="D89" s="2"/>
    </row>
    <row r="90" spans="2:9" ht="15.6" x14ac:dyDescent="0.3">
      <c r="B90" s="356" t="s">
        <v>251</v>
      </c>
      <c r="C90" s="287">
        <f ca="1">C89+C88*366</f>
        <v>46812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 ARV'!E3</f>
        <v>1753280.3154816001</v>
      </c>
    </row>
    <row r="94" spans="2:9" ht="15.6" x14ac:dyDescent="0.3">
      <c r="B94" s="359" t="s">
        <v>88</v>
      </c>
      <c r="C94" s="44">
        <f>'ROI Number insert'!F3</f>
        <v>1288000</v>
      </c>
    </row>
    <row r="95" spans="2:9" ht="15.6" x14ac:dyDescent="0.3">
      <c r="B95" s="360" t="s">
        <v>89</v>
      </c>
      <c r="C95" s="45">
        <f>FV(C87,C88,,-C94)</f>
        <v>1422056.0745216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134056.07452160004</v>
      </c>
      <c r="D96" s="3" t="s">
        <v>92</v>
      </c>
    </row>
    <row r="97" spans="2:4" ht="15" thickBot="1" x14ac:dyDescent="0.35"/>
    <row r="98" spans="2:4" ht="18" x14ac:dyDescent="0.35">
      <c r="B98" s="944" t="s">
        <v>219</v>
      </c>
      <c r="C98" s="945"/>
    </row>
    <row r="99" spans="2:4" ht="15.6" x14ac:dyDescent="0.3">
      <c r="B99" s="363" t="s">
        <v>82</v>
      </c>
      <c r="C99" s="384">
        <f>'Calculating offering price'!C99</f>
        <v>1.4999999999999999E-2</v>
      </c>
      <c r="D99" s="3" t="s">
        <v>221</v>
      </c>
    </row>
    <row r="100" spans="2:4" ht="15.6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48642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 ARV'!E3</f>
        <v>1842938.8301399359</v>
      </c>
    </row>
    <row r="105" spans="2:4" ht="15.6" x14ac:dyDescent="0.3">
      <c r="B105" s="365" t="s">
        <v>88</v>
      </c>
      <c r="C105" s="49">
        <f>'ROI Number insert'!F3</f>
        <v>1288000</v>
      </c>
    </row>
    <row r="106" spans="2:4" ht="15.6" x14ac:dyDescent="0.3">
      <c r="B106" s="363" t="s">
        <v>89</v>
      </c>
      <c r="C106" s="47">
        <f>FV(C99,C100,,-C105)</f>
        <v>1494776.5826323912</v>
      </c>
    </row>
    <row r="107" spans="2:4" ht="16.2" thickBot="1" x14ac:dyDescent="0.35">
      <c r="B107" s="364" t="s">
        <v>91</v>
      </c>
      <c r="C107" s="48">
        <f>C106-C105</f>
        <v>206776.58263239125</v>
      </c>
    </row>
    <row r="108" spans="2:4" ht="15" thickBot="1" x14ac:dyDescent="0.35"/>
    <row r="109" spans="2:4" ht="18" x14ac:dyDescent="0.35">
      <c r="B109" s="925" t="s">
        <v>220</v>
      </c>
      <c r="C109" s="926"/>
    </row>
    <row r="110" spans="2:4" ht="15.6" x14ac:dyDescent="0.3">
      <c r="B110" s="366" t="s">
        <v>82</v>
      </c>
      <c r="C110" s="385">
        <f>'Calculating offering price'!C110</f>
        <v>0.02</v>
      </c>
      <c r="D110" s="3" t="s">
        <v>222</v>
      </c>
    </row>
    <row r="111" spans="2:4" ht="15.6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50472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 ARV'!E3</f>
        <v>2137238.9212587173</v>
      </c>
    </row>
    <row r="116" spans="2:3" ht="15.6" x14ac:dyDescent="0.3">
      <c r="B116" s="368" t="s">
        <v>88</v>
      </c>
      <c r="C116" s="195">
        <f>'ROI Number insert'!F3</f>
        <v>1288000</v>
      </c>
    </row>
    <row r="117" spans="2:3" ht="15.6" x14ac:dyDescent="0.3">
      <c r="B117" s="366" t="s">
        <v>89</v>
      </c>
      <c r="C117" s="193">
        <f>FV(C110,C111,,-'ROI Number insert'!F3)</f>
        <v>1733478.4197614784</v>
      </c>
    </row>
    <row r="118" spans="2:3" ht="16.2" thickBot="1" x14ac:dyDescent="0.35">
      <c r="B118" s="367" t="s">
        <v>91</v>
      </c>
      <c r="C118" s="194">
        <f>C117-C116</f>
        <v>445478.41976147844</v>
      </c>
    </row>
  </sheetData>
  <mergeCells count="13">
    <mergeCell ref="B109:C109"/>
    <mergeCell ref="D30:H30"/>
    <mergeCell ref="G44:I44"/>
    <mergeCell ref="D61:H61"/>
    <mergeCell ref="D80:I80"/>
    <mergeCell ref="B86:C86"/>
    <mergeCell ref="B98:C98"/>
    <mergeCell ref="B24:C24"/>
    <mergeCell ref="B2:C2"/>
    <mergeCell ref="B15:C15"/>
    <mergeCell ref="D19:H19"/>
    <mergeCell ref="B20:C20"/>
    <mergeCell ref="D21:H21"/>
  </mergeCells>
  <dataValidations count="1">
    <dataValidation type="list" allowBlank="1" showInputMessage="1" showErrorMessage="1" sqref="C3" xr:uid="{21C3F5E9-1E49-4473-B51E-12482D7B96B9}">
      <formula1>$F$4:$F$10</formula1>
    </dataValidation>
  </dataValidations>
  <hyperlinks>
    <hyperlink ref="B26" location="'Mortgage Caculator'!A1" display="Mortgage payment/month" xr:uid="{B39433A9-7AAC-46F2-9A11-80B6DA89CDF5}"/>
    <hyperlink ref="B30" location="'Debt payment Calculator'!A1" display="Debt Service/Month" xr:uid="{3DD408BF-61AE-4E3B-AB0E-24CE94DEEA9C}"/>
    <hyperlink ref="A1" location="'Table of contents'!A1" display="Table of contents" xr:uid="{2726E39B-17EE-4174-B303-01A4CF9E95B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pinner 1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7</xdr:col>
                    <xdr:colOff>198120</xdr:colOff>
                    <xdr:row>40</xdr:row>
                    <xdr:rowOff>30480</xdr:rowOff>
                  </from>
                  <to>
                    <xdr:col>7</xdr:col>
                    <xdr:colOff>441960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Spinner 3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Spinner 4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Spinner 5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Spinner 6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0AA-02C8-46DB-834C-BB2417C02D51}">
  <sheetPr codeName="Sheet6">
    <tabColor theme="4" tint="0.39997558519241921"/>
  </sheetPr>
  <dimension ref="A1:K50"/>
  <sheetViews>
    <sheetView workbookViewId="0"/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6.77734375" style="1" customWidth="1"/>
    <col min="12" max="16384" width="8.77734375" style="1"/>
  </cols>
  <sheetData>
    <row r="1" spans="1:11" x14ac:dyDescent="0.3">
      <c r="A1" s="626" t="s">
        <v>454</v>
      </c>
    </row>
    <row r="2" spans="1:11" ht="21.6" thickBot="1" x14ac:dyDescent="0.45">
      <c r="B2" s="426" t="s">
        <v>141</v>
      </c>
      <c r="G2" s="425" t="s">
        <v>142</v>
      </c>
      <c r="I2" s="117"/>
    </row>
    <row r="3" spans="1:11" ht="15.6" x14ac:dyDescent="0.3">
      <c r="B3" s="1" t="s">
        <v>199</v>
      </c>
      <c r="G3" s="178" t="s">
        <v>205</v>
      </c>
      <c r="H3" s="179" t="s">
        <v>21</v>
      </c>
      <c r="I3" s="396">
        <f>C11</f>
        <v>1331540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 t="e">
        <f>SUM('Principle Recapture ARV'!E9:E69)</f>
        <v>#NUM!</v>
      </c>
    </row>
    <row r="5" spans="1:11" ht="15.6" x14ac:dyDescent="0.3">
      <c r="B5" s="169">
        <v>1</v>
      </c>
      <c r="C5" s="170" t="e">
        <f>'ROI Number insert ARV'!E47</f>
        <v>#NUM!</v>
      </c>
      <c r="D5" s="171" t="e">
        <f>C5/$C$11</f>
        <v>#NUM!</v>
      </c>
      <c r="E5" s="172" t="e">
        <f>C5/12</f>
        <v>#NUM!</v>
      </c>
      <c r="G5" s="163"/>
      <c r="H5" s="181" t="s">
        <v>146</v>
      </c>
      <c r="I5" s="183" t="e">
        <f>I4/I3</f>
        <v>#NUM!</v>
      </c>
    </row>
    <row r="6" spans="1:11" ht="16.2" thickBot="1" x14ac:dyDescent="0.35">
      <c r="B6" s="169">
        <v>2</v>
      </c>
      <c r="C6" s="17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6" s="171" t="e">
        <f t="shared" ref="D6:D9" si="0">C6/$C$11</f>
        <v>#NUM!</v>
      </c>
      <c r="E6" s="172" t="e">
        <f>C6/12</f>
        <v>#NUM!</v>
      </c>
      <c r="G6" s="163"/>
      <c r="H6" s="181" t="s">
        <v>147</v>
      </c>
      <c r="I6" s="183" t="e">
        <f>I5/10</f>
        <v>#NUM!</v>
      </c>
    </row>
    <row r="7" spans="1:11" s="76" customFormat="1" ht="15.6" x14ac:dyDescent="0.3">
      <c r="B7" s="174">
        <v>3</v>
      </c>
      <c r="C7" s="17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7" s="171" t="e">
        <f t="shared" si="0"/>
        <v>#NUM!</v>
      </c>
      <c r="E7" s="175" t="e">
        <f>C7/12</f>
        <v>#NUM!</v>
      </c>
      <c r="G7" s="121" t="s">
        <v>144</v>
      </c>
      <c r="H7" s="122" t="s">
        <v>21</v>
      </c>
      <c r="I7" s="395">
        <f>C11</f>
        <v>1331540</v>
      </c>
      <c r="K7" s="1"/>
    </row>
    <row r="8" spans="1:11" ht="15.6" x14ac:dyDescent="0.3">
      <c r="B8" s="169">
        <v>4</v>
      </c>
      <c r="C8" s="17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8" s="171" t="e">
        <f t="shared" si="0"/>
        <v>#NUM!</v>
      </c>
      <c r="E8" s="172" t="e">
        <f>C8/12</f>
        <v>#NUM!</v>
      </c>
      <c r="G8" s="124"/>
      <c r="H8" s="125" t="s">
        <v>145</v>
      </c>
      <c r="I8" s="126" t="e">
        <f>SUM('Principle Recapture ARV'!E9:E129)</f>
        <v>#NUM!</v>
      </c>
    </row>
    <row r="9" spans="1:11" ht="15.6" x14ac:dyDescent="0.3">
      <c r="B9" s="169">
        <v>5</v>
      </c>
      <c r="C9" s="17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9" s="171" t="e">
        <f t="shared" si="0"/>
        <v>#NUM!</v>
      </c>
      <c r="E9" s="172" t="e">
        <f>C9/12</f>
        <v>#NUM!</v>
      </c>
      <c r="G9" s="124"/>
      <c r="H9" s="125" t="s">
        <v>146</v>
      </c>
      <c r="I9" s="129" t="e">
        <f>I8/I7</f>
        <v>#NUM!</v>
      </c>
    </row>
    <row r="10" spans="1:11" ht="16.2" thickBot="1" x14ac:dyDescent="0.35">
      <c r="B10" s="169" t="s">
        <v>152</v>
      </c>
      <c r="C10" s="170" t="e">
        <f>SUM(C5:C9)</f>
        <v>#NUM!</v>
      </c>
      <c r="G10" s="224"/>
      <c r="H10" s="130" t="s">
        <v>147</v>
      </c>
      <c r="I10" s="225" t="e">
        <f>I9/10</f>
        <v>#NUM!</v>
      </c>
    </row>
    <row r="11" spans="1:11" ht="15.6" x14ac:dyDescent="0.3">
      <c r="B11" s="169" t="s">
        <v>21</v>
      </c>
      <c r="C11" s="170">
        <f>'Total Result'!D6</f>
        <v>1331540</v>
      </c>
      <c r="G11" s="226" t="s">
        <v>148</v>
      </c>
      <c r="H11" s="227" t="s">
        <v>21</v>
      </c>
      <c r="I11" s="394">
        <f>C11</f>
        <v>1331540</v>
      </c>
    </row>
    <row r="12" spans="1:11" s="76" customFormat="1" ht="15.6" x14ac:dyDescent="0.3">
      <c r="B12" s="174" t="s">
        <v>153</v>
      </c>
      <c r="C12" s="176" t="e">
        <f>C10/C11/5</f>
        <v>#NUM!</v>
      </c>
      <c r="G12" s="131"/>
      <c r="H12" s="132" t="s">
        <v>145</v>
      </c>
      <c r="I12" s="133" t="e">
        <f>SUM('Principle Recapture ARV'!E9:E189)</f>
        <v>#NUM!</v>
      </c>
      <c r="K12" s="1"/>
    </row>
    <row r="13" spans="1:11" ht="31.2" x14ac:dyDescent="0.3">
      <c r="B13" s="173" t="s">
        <v>154</v>
      </c>
      <c r="C13" s="234" t="e">
        <f>_xlfn.RRI(10,D5,D9)</f>
        <v>#NUM!</v>
      </c>
      <c r="G13" s="131"/>
      <c r="H13" s="132" t="s">
        <v>146</v>
      </c>
      <c r="I13" s="134" t="e">
        <f>I12/I11</f>
        <v>#NUM!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 t="e">
        <f>I13/15</f>
        <v>#NUM!</v>
      </c>
    </row>
    <row r="15" spans="1:11" ht="21.6" thickBot="1" x14ac:dyDescent="0.45">
      <c r="B15" s="138" t="s">
        <v>140</v>
      </c>
      <c r="C15" s="138" t="s">
        <v>149</v>
      </c>
      <c r="D15" s="138" t="s">
        <v>150</v>
      </c>
      <c r="E15" s="138" t="s">
        <v>151</v>
      </c>
      <c r="G15" s="425" t="s">
        <v>143</v>
      </c>
    </row>
    <row r="16" spans="1:11" ht="15.6" x14ac:dyDescent="0.3">
      <c r="B16" s="139">
        <v>1</v>
      </c>
      <c r="C16" s="140" t="e">
        <f>C5</f>
        <v>#NUM!</v>
      </c>
      <c r="D16" s="141" t="e">
        <f>C16/$C$27</f>
        <v>#NUM!</v>
      </c>
      <c r="E16" s="142" t="e">
        <f>C16/12</f>
        <v>#NUM!</v>
      </c>
      <c r="G16" s="184" t="s">
        <v>95</v>
      </c>
      <c r="H16" s="215">
        <f>'ROI Number insert'!F3</f>
        <v>1288000</v>
      </c>
    </row>
    <row r="17" spans="2:11" ht="16.2" thickBot="1" x14ac:dyDescent="0.35">
      <c r="B17" s="139">
        <v>2</v>
      </c>
      <c r="C17" s="140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17" s="141" t="e">
        <f t="shared" ref="D17:D25" si="1">C17/$C$27</f>
        <v>#NUM!</v>
      </c>
      <c r="E17" s="142" t="e">
        <f t="shared" ref="E17:E25" si="2">C17/12</f>
        <v>#NUM!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18" s="141" t="e">
        <f t="shared" si="1"/>
        <v>#NUM!</v>
      </c>
      <c r="E18" s="142" t="e">
        <f t="shared" si="2"/>
        <v>#NUM!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19" s="141" t="e">
        <f t="shared" si="1"/>
        <v>#NUM!</v>
      </c>
      <c r="E19" s="142" t="e">
        <f t="shared" si="2"/>
        <v>#NUM!</v>
      </c>
      <c r="G19" s="186" t="s">
        <v>201</v>
      </c>
      <c r="H19" s="217">
        <f>'Calculating offering price ARV'!C95</f>
        <v>1422056.0745216</v>
      </c>
      <c r="I19" s="218">
        <f>H19-H16</f>
        <v>134056.07452160004</v>
      </c>
      <c r="J19" s="221">
        <f>I19/C11</f>
        <v>0.10067746708442858</v>
      </c>
      <c r="K19" s="222">
        <f>_xlfn.RRI(5,H16,H19)</f>
        <v>2.0000000000000018E-2</v>
      </c>
    </row>
    <row r="20" spans="2:11" ht="15.6" x14ac:dyDescent="0.3">
      <c r="B20" s="139">
        <v>5</v>
      </c>
      <c r="C20" s="140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20" s="141" t="e">
        <f t="shared" si="1"/>
        <v>#NUM!</v>
      </c>
      <c r="E20" s="142" t="e">
        <f t="shared" si="2"/>
        <v>#NUM!</v>
      </c>
      <c r="G20" s="186" t="s">
        <v>202</v>
      </c>
      <c r="H20" s="392">
        <f>'Calculating offering price ARV'!C106</f>
        <v>1494776.5826323912</v>
      </c>
      <c r="I20" s="218">
        <f>H20-H16</f>
        <v>206776.58263239125</v>
      </c>
      <c r="J20" s="221">
        <f>I20/C11</f>
        <v>0.15529130377787467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21" s="141" t="e">
        <f t="shared" si="1"/>
        <v>#NUM!</v>
      </c>
      <c r="E21" s="142" t="e">
        <f t="shared" si="2"/>
        <v>#NUM!</v>
      </c>
      <c r="G21" s="188" t="s">
        <v>203</v>
      </c>
      <c r="H21" s="393">
        <f>'Calculating offering price ARV'!C117</f>
        <v>1733478.4197614784</v>
      </c>
      <c r="I21" s="220">
        <f>H21-H16</f>
        <v>445478.41976147844</v>
      </c>
      <c r="J21" s="221">
        <f>I21/C11</f>
        <v>0.33455879640226988</v>
      </c>
      <c r="K21" s="223">
        <f>_xlfn.RRI(15,H16,H21)</f>
        <v>2.0000000000000018E-2</v>
      </c>
    </row>
    <row r="22" spans="2:11" ht="15.6" x14ac:dyDescent="0.3">
      <c r="B22" s="139">
        <v>7</v>
      </c>
      <c r="C22" s="140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22" s="141" t="e">
        <f t="shared" si="1"/>
        <v>#NUM!</v>
      </c>
      <c r="E22" s="142" t="e">
        <f t="shared" si="2"/>
        <v>#NUM!</v>
      </c>
    </row>
    <row r="23" spans="2:11" ht="21.6" thickBot="1" x14ac:dyDescent="0.45">
      <c r="B23" s="139">
        <v>8</v>
      </c>
      <c r="C23" s="140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23" s="141" t="e">
        <f t="shared" si="1"/>
        <v>#NUM!</v>
      </c>
      <c r="E23" s="142" t="e">
        <f t="shared" si="2"/>
        <v>#NUM!</v>
      </c>
      <c r="G23" s="192" t="s">
        <v>206</v>
      </c>
    </row>
    <row r="24" spans="2:11" ht="15.6" x14ac:dyDescent="0.3">
      <c r="B24" s="139">
        <v>9</v>
      </c>
      <c r="C24" s="140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24" s="141" t="e">
        <f t="shared" si="1"/>
        <v>#NUM!</v>
      </c>
      <c r="E24" s="142" t="e">
        <f t="shared" si="2"/>
        <v>#NUM!</v>
      </c>
      <c r="G24" s="209" t="s">
        <v>95</v>
      </c>
      <c r="H24" s="210">
        <f>'ROI Number insert'!F3</f>
        <v>1288000</v>
      </c>
    </row>
    <row r="25" spans="2:11" ht="15.6" x14ac:dyDescent="0.3">
      <c r="B25" s="139">
        <v>10</v>
      </c>
      <c r="C25" s="140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25" s="141" t="e">
        <f t="shared" si="1"/>
        <v>#NUM!</v>
      </c>
      <c r="E25" s="142" t="e">
        <f t="shared" si="2"/>
        <v>#NUM!</v>
      </c>
      <c r="G25" s="211" t="s">
        <v>94</v>
      </c>
      <c r="H25" s="212">
        <f>'ROI Number insert'!F10</f>
        <v>43540</v>
      </c>
      <c r="I25" s="117"/>
    </row>
    <row r="26" spans="2:11" ht="15.6" x14ac:dyDescent="0.3">
      <c r="B26" s="139" t="s">
        <v>152</v>
      </c>
      <c r="C26" s="140" t="e">
        <f>SUM(C16:C25)</f>
        <v>#NUM!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1331540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 t="e">
        <f>C26/C27/10</f>
        <v>#NUM!</v>
      </c>
      <c r="D28" s="117"/>
      <c r="G28" s="211" t="s">
        <v>208</v>
      </c>
      <c r="H28" s="212">
        <f>'ROI Number insert ARV'!E50</f>
        <v>136000</v>
      </c>
      <c r="I28" s="164"/>
      <c r="J28" s="165"/>
    </row>
    <row r="29" spans="2:11" ht="31.2" x14ac:dyDescent="0.3">
      <c r="B29" s="144" t="s">
        <v>154</v>
      </c>
      <c r="C29" s="235" t="e">
        <f>_xlfn.RRI(10,D16,D25)</f>
        <v>#NUM!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212">
        <f>H29-SUM(H24:H28)</f>
        <v>532460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301140</v>
      </c>
    </row>
    <row r="32" spans="2:11" ht="16.2" thickBot="1" x14ac:dyDescent="0.35">
      <c r="B32" s="146">
        <v>1</v>
      </c>
      <c r="C32" s="147" t="e">
        <f>C16</f>
        <v>#NUM!</v>
      </c>
      <c r="D32" s="148" t="e">
        <f>C32/$C$48</f>
        <v>#NUM!</v>
      </c>
      <c r="E32" s="147" t="e">
        <f>C32/12</f>
        <v>#NUM!</v>
      </c>
      <c r="G32" s="213" t="s">
        <v>146</v>
      </c>
      <c r="H32" s="214">
        <f>H30/H31</f>
        <v>1.7681477053861991</v>
      </c>
    </row>
    <row r="33" spans="2:11" ht="21.6" thickBot="1" x14ac:dyDescent="0.45">
      <c r="B33" s="146">
        <v>2</v>
      </c>
      <c r="C33" s="149" t="e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#NUM!</v>
      </c>
      <c r="D33" s="148" t="e">
        <f t="shared" ref="D33:D46" si="3">C33/$C$48</f>
        <v>#NUM!</v>
      </c>
      <c r="E33" s="147" t="e">
        <f t="shared" ref="E33:E46" si="4">C33/12</f>
        <v>#NUM!</v>
      </c>
      <c r="G33" s="192" t="s">
        <v>217</v>
      </c>
    </row>
    <row r="34" spans="2:11" s="76" customFormat="1" ht="31.8" thickBot="1" x14ac:dyDescent="0.35">
      <c r="B34" s="199">
        <v>3</v>
      </c>
      <c r="C34" s="149" t="e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#NUM!</v>
      </c>
      <c r="D34" s="201" t="e">
        <f t="shared" si="3"/>
        <v>#NUM!</v>
      </c>
      <c r="E34" s="202" t="e">
        <f t="shared" si="4"/>
        <v>#NUM!</v>
      </c>
      <c r="G34" s="204" t="s">
        <v>218</v>
      </c>
      <c r="H34" s="206">
        <f>'ROI Number insert ARV'!E45</f>
        <v>-17888.089249411765</v>
      </c>
      <c r="I34" s="203"/>
      <c r="J34" s="203"/>
      <c r="K34" s="203"/>
    </row>
    <row r="35" spans="2:11" ht="16.2" thickBot="1" x14ac:dyDescent="0.35">
      <c r="B35" s="146">
        <v>4</v>
      </c>
      <c r="C35" s="149" t="e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#NUM!</v>
      </c>
      <c r="D35" s="148" t="e">
        <f t="shared" si="3"/>
        <v>#NUM!</v>
      </c>
      <c r="E35" s="147" t="e">
        <f t="shared" si="4"/>
        <v>#NUM!</v>
      </c>
      <c r="G35" s="205" t="s">
        <v>217</v>
      </c>
      <c r="H35" s="312" t="e">
        <f>H34/'ROI Number insert ARV'!E3</f>
        <v>#DIV/0!</v>
      </c>
    </row>
    <row r="36" spans="2:11" ht="15.6" x14ac:dyDescent="0.3">
      <c r="B36" s="146">
        <v>5</v>
      </c>
      <c r="C36" s="149" t="e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#NUM!</v>
      </c>
      <c r="D36" s="148" t="e">
        <f t="shared" si="3"/>
        <v>#NUM!</v>
      </c>
      <c r="E36" s="147" t="e">
        <f t="shared" si="4"/>
        <v>#NUM!</v>
      </c>
    </row>
    <row r="37" spans="2:11" ht="15.6" x14ac:dyDescent="0.3">
      <c r="B37" s="146">
        <v>6</v>
      </c>
      <c r="C37" s="149" t="e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#NUM!</v>
      </c>
      <c r="D37" s="148" t="e">
        <f t="shared" si="3"/>
        <v>#NUM!</v>
      </c>
      <c r="E37" s="147" t="e">
        <f t="shared" si="4"/>
        <v>#NUM!</v>
      </c>
      <c r="G37" s="177"/>
    </row>
    <row r="38" spans="2:11" ht="15.6" x14ac:dyDescent="0.3">
      <c r="B38" s="146">
        <v>7</v>
      </c>
      <c r="C38" s="149" t="e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#NUM!</v>
      </c>
      <c r="D38" s="148" t="e">
        <f t="shared" si="3"/>
        <v>#NUM!</v>
      </c>
      <c r="E38" s="147" t="e">
        <f t="shared" si="4"/>
        <v>#NUM!</v>
      </c>
    </row>
    <row r="39" spans="2:11" s="203" customFormat="1" ht="15.6" x14ac:dyDescent="0.3">
      <c r="B39" s="199">
        <v>8</v>
      </c>
      <c r="C39" s="149" t="e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#NUM!</v>
      </c>
      <c r="D39" s="148" t="e">
        <f t="shared" si="3"/>
        <v>#NUM!</v>
      </c>
      <c r="E39" s="202" t="e">
        <f t="shared" si="4"/>
        <v>#NUM!</v>
      </c>
    </row>
    <row r="40" spans="2:11" ht="15.6" x14ac:dyDescent="0.3">
      <c r="B40" s="146">
        <v>9</v>
      </c>
      <c r="C40" s="149" t="e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#NUM!</v>
      </c>
      <c r="D40" s="148" t="e">
        <f t="shared" si="3"/>
        <v>#NUM!</v>
      </c>
      <c r="E40" s="147" t="e">
        <f t="shared" si="4"/>
        <v>#NUM!</v>
      </c>
    </row>
    <row r="41" spans="2:11" ht="15.6" x14ac:dyDescent="0.3">
      <c r="B41" s="146">
        <v>10</v>
      </c>
      <c r="C41" s="149" t="e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#NUM!</v>
      </c>
      <c r="D41" s="148" t="e">
        <f t="shared" si="3"/>
        <v>#NUM!</v>
      </c>
      <c r="E41" s="147" t="e">
        <f t="shared" si="4"/>
        <v>#NUM!</v>
      </c>
    </row>
    <row r="42" spans="2:11" ht="15.6" x14ac:dyDescent="0.3">
      <c r="B42" s="146">
        <v>11</v>
      </c>
      <c r="C42" s="149" t="e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#NUM!</v>
      </c>
      <c r="D42" s="148" t="e">
        <f t="shared" si="3"/>
        <v>#NUM!</v>
      </c>
      <c r="E42" s="147" t="e">
        <f t="shared" si="4"/>
        <v>#NUM!</v>
      </c>
    </row>
    <row r="43" spans="2:11" ht="15.6" x14ac:dyDescent="0.3">
      <c r="B43" s="146">
        <v>12</v>
      </c>
      <c r="C43" s="149" t="e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#NUM!</v>
      </c>
      <c r="D43" s="148" t="e">
        <f t="shared" si="3"/>
        <v>#NUM!</v>
      </c>
      <c r="E43" s="147" t="e">
        <f t="shared" si="4"/>
        <v>#NUM!</v>
      </c>
    </row>
    <row r="44" spans="2:11" ht="15.6" x14ac:dyDescent="0.3">
      <c r="B44" s="146">
        <v>13</v>
      </c>
      <c r="C44" s="149" t="e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#NUM!</v>
      </c>
      <c r="D44" s="148" t="e">
        <f t="shared" si="3"/>
        <v>#NUM!</v>
      </c>
      <c r="E44" s="147" t="e">
        <f t="shared" si="4"/>
        <v>#NUM!</v>
      </c>
    </row>
    <row r="45" spans="2:11" ht="15.6" x14ac:dyDescent="0.3">
      <c r="B45" s="146">
        <v>14</v>
      </c>
      <c r="C45" s="149" t="e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#NUM!</v>
      </c>
      <c r="D45" s="148" t="e">
        <f t="shared" si="3"/>
        <v>#NUM!</v>
      </c>
      <c r="E45" s="147" t="e">
        <f t="shared" si="4"/>
        <v>#NUM!</v>
      </c>
    </row>
    <row r="46" spans="2:11" ht="15.6" x14ac:dyDescent="0.3">
      <c r="B46" s="146">
        <v>15</v>
      </c>
      <c r="C46" s="149" t="e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#NUM!</v>
      </c>
      <c r="D46" s="148" t="e">
        <f t="shared" si="3"/>
        <v>#NUM!</v>
      </c>
      <c r="E46" s="147" t="e">
        <f t="shared" si="4"/>
        <v>#NUM!</v>
      </c>
    </row>
    <row r="47" spans="2:11" ht="15.6" x14ac:dyDescent="0.3">
      <c r="B47" s="150" t="s">
        <v>152</v>
      </c>
      <c r="C47" s="151" t="e">
        <f>SUM(C32:C46)</f>
        <v>#NUM!</v>
      </c>
      <c r="D47" s="152"/>
      <c r="E47" s="153"/>
    </row>
    <row r="48" spans="2:11" ht="15.6" x14ac:dyDescent="0.3">
      <c r="B48" s="154" t="s">
        <v>21</v>
      </c>
      <c r="C48" s="155">
        <f>C11</f>
        <v>1331540</v>
      </c>
      <c r="D48" s="152"/>
      <c r="E48" s="153"/>
    </row>
    <row r="49" spans="2:5" ht="15.6" x14ac:dyDescent="0.3">
      <c r="B49" s="154" t="s">
        <v>153</v>
      </c>
      <c r="C49" s="156" t="e">
        <f>C47/C48/15</f>
        <v>#NUM!</v>
      </c>
      <c r="D49" s="152"/>
      <c r="E49" s="153"/>
    </row>
    <row r="50" spans="2:5" ht="31.2" x14ac:dyDescent="0.3">
      <c r="B50" s="157" t="s">
        <v>154</v>
      </c>
      <c r="C50" s="236" t="e">
        <f>_xlfn.RRI(15,D33,D46)</f>
        <v>#NUM!</v>
      </c>
      <c r="D50" s="166"/>
      <c r="E50" s="167"/>
    </row>
  </sheetData>
  <hyperlinks>
    <hyperlink ref="G15" location="'Calculating offering price ARV'!A85" display="Passive Appreciation" xr:uid="{9898A40D-81C7-4FC0-859D-783D7E84E252}"/>
    <hyperlink ref="G2" location="'PR ARV result'!A1" display="Principle Recapture" xr:uid="{F580024C-57B3-4F92-A685-84C7577F4FC2}"/>
    <hyperlink ref="B2" location="'Total CF'!A1" display="Cash Flow" xr:uid="{AEF0F1F2-8C37-4CCD-97F8-9AE538B19625}"/>
    <hyperlink ref="A1" location="'Table of contents'!A1" display="Table of contents" xr:uid="{7A97DF16-2346-4743-9050-26B3B598EBF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B90-E09A-4D9E-8C8A-019F72CE1EA5}">
  <sheetPr codeName="Sheet12">
    <tabColor theme="4" tint="0.39997558519241921"/>
  </sheetPr>
  <dimension ref="A1:N249"/>
  <sheetViews>
    <sheetView workbookViewId="0">
      <selection activeCell="D1" sqref="D1:H1"/>
    </sheetView>
  </sheetViews>
  <sheetFormatPr defaultRowHeight="15.6" x14ac:dyDescent="0.3"/>
  <cols>
    <col min="1" max="1" width="2.109375" style="1" customWidth="1"/>
    <col min="2" max="2" width="21.77734375" style="1" customWidth="1"/>
    <col min="3" max="3" width="2.77734375" style="1" customWidth="1"/>
    <col min="4" max="4" width="35.33203125" customWidth="1"/>
    <col min="5" max="5" width="19.109375" style="161" customWidth="1"/>
    <col min="6" max="6" width="20.33203125" customWidth="1"/>
    <col min="7" max="7" width="23.21875" style="162" customWidth="1"/>
    <col min="8" max="8" width="24" customWidth="1"/>
    <col min="9" max="9" width="17.88671875" hidden="1" customWidth="1"/>
    <col min="10" max="10" width="18.77734375" customWidth="1"/>
    <col min="11" max="11" width="19.33203125" customWidth="1"/>
    <col min="12" max="12" width="18.44140625" customWidth="1"/>
    <col min="13" max="13" width="19.33203125" customWidth="1"/>
    <col min="14" max="14" width="14.109375" customWidth="1"/>
    <col min="15" max="15" width="13.21875" customWidth="1"/>
  </cols>
  <sheetData>
    <row r="1" spans="1:13" ht="42" customHeight="1" thickBot="1" x14ac:dyDescent="0.35">
      <c r="A1"/>
      <c r="B1" s="646" t="s">
        <v>454</v>
      </c>
      <c r="D1" s="948" t="s">
        <v>93</v>
      </c>
      <c r="E1" s="948"/>
      <c r="F1" s="948"/>
      <c r="G1" s="948"/>
      <c r="H1" s="948"/>
      <c r="I1" s="1"/>
      <c r="J1" s="1"/>
      <c r="K1" s="1"/>
      <c r="L1" s="1"/>
    </row>
    <row r="2" spans="1:13" ht="17.25" customHeight="1" thickBot="1" x14ac:dyDescent="0.35">
      <c r="D2" s="50" t="s">
        <v>5</v>
      </c>
      <c r="E2" s="51">
        <f>'Calculating offering price'!C4</f>
        <v>1588000</v>
      </c>
      <c r="F2" s="52"/>
      <c r="G2" s="1003" t="s">
        <v>94</v>
      </c>
      <c r="H2" s="1004"/>
      <c r="I2" s="1"/>
      <c r="J2" s="1"/>
      <c r="K2" s="1"/>
      <c r="L2" s="1"/>
      <c r="M2" s="1"/>
    </row>
    <row r="3" spans="1:13" ht="16.2" thickBot="1" x14ac:dyDescent="0.35">
      <c r="D3" s="305" t="s">
        <v>313</v>
      </c>
      <c r="E3" s="380">
        <f>'ROI Number insert'!F18</f>
        <v>0</v>
      </c>
      <c r="F3" s="285" t="s">
        <v>248</v>
      </c>
      <c r="G3" s="238" t="s">
        <v>96</v>
      </c>
      <c r="H3" s="386">
        <f>'ROI Number insert'!I3</f>
        <v>0.02</v>
      </c>
      <c r="I3" s="1"/>
      <c r="J3" s="1"/>
      <c r="K3" s="1"/>
      <c r="L3" s="1"/>
      <c r="M3" s="1"/>
    </row>
    <row r="4" spans="1:13" ht="16.8" thickTop="1" thickBot="1" x14ac:dyDescent="0.35">
      <c r="C4" s="306"/>
      <c r="D4" s="302" t="s">
        <v>97</v>
      </c>
      <c r="E4" s="649">
        <v>0</v>
      </c>
      <c r="F4" s="285" t="s">
        <v>249</v>
      </c>
      <c r="G4" s="53" t="s">
        <v>98</v>
      </c>
      <c r="H4" s="54">
        <f>'ROI Number insert'!I4</f>
        <v>25760</v>
      </c>
      <c r="I4" s="1"/>
      <c r="J4" s="1"/>
      <c r="K4" s="1"/>
      <c r="L4" s="1"/>
      <c r="M4" s="1"/>
    </row>
    <row r="5" spans="1:13" ht="16.8" thickTop="1" thickBot="1" x14ac:dyDescent="0.35">
      <c r="C5" s="306"/>
      <c r="D5" s="303" t="s">
        <v>99</v>
      </c>
      <c r="E5" s="696">
        <v>0</v>
      </c>
      <c r="F5" s="1"/>
      <c r="G5" s="53" t="s">
        <v>100</v>
      </c>
      <c r="H5" s="387">
        <f>'ROI Number insert'!I5</f>
        <v>1200</v>
      </c>
      <c r="I5" s="1"/>
      <c r="J5" s="1"/>
      <c r="K5" s="1"/>
      <c r="L5" s="1"/>
      <c r="M5" s="1"/>
    </row>
    <row r="6" spans="1:13" ht="16.8" thickTop="1" thickBot="1" x14ac:dyDescent="0.35">
      <c r="C6" s="306"/>
      <c r="D6" s="303" t="s">
        <v>101</v>
      </c>
      <c r="E6" s="397">
        <f>'ROI Number insert'!F6</f>
        <v>0.02</v>
      </c>
      <c r="F6" s="1"/>
      <c r="G6" s="53" t="s">
        <v>102</v>
      </c>
      <c r="H6" s="387">
        <f>'ROI Number insert'!I6</f>
        <v>1200</v>
      </c>
      <c r="I6" s="1"/>
      <c r="J6" s="1"/>
      <c r="K6" s="1"/>
      <c r="L6" s="1"/>
      <c r="M6" s="1"/>
    </row>
    <row r="7" spans="1:13" ht="16.8" thickTop="1" thickBot="1" x14ac:dyDescent="0.35">
      <c r="D7" s="56" t="s">
        <v>238</v>
      </c>
      <c r="E7" s="696">
        <v>0</v>
      </c>
      <c r="F7" s="1"/>
      <c r="G7" s="57" t="s">
        <v>103</v>
      </c>
      <c r="H7" s="388">
        <f>'ROI Number insert'!I7</f>
        <v>2500</v>
      </c>
      <c r="I7" s="1"/>
      <c r="J7" s="1"/>
      <c r="K7" s="1"/>
      <c r="L7" s="1"/>
      <c r="M7" s="1"/>
    </row>
    <row r="8" spans="1:13" ht="16.8" thickTop="1" thickBot="1" x14ac:dyDescent="0.35">
      <c r="D8" s="55" t="s">
        <v>104</v>
      </c>
      <c r="E8" s="696">
        <v>0</v>
      </c>
      <c r="F8" s="1"/>
      <c r="G8" s="57" t="s">
        <v>105</v>
      </c>
      <c r="H8" s="389">
        <f>'ROI Number insert'!I8</f>
        <v>0</v>
      </c>
      <c r="I8" s="1"/>
      <c r="J8" s="1"/>
      <c r="K8" s="1"/>
      <c r="L8" s="1"/>
      <c r="M8" s="1"/>
    </row>
    <row r="9" spans="1:13" ht="16.8" thickTop="1" thickBot="1" x14ac:dyDescent="0.35">
      <c r="D9" s="56" t="s">
        <v>20</v>
      </c>
      <c r="E9" s="58">
        <f>'Calculating offering price'!C13</f>
        <v>0.2</v>
      </c>
      <c r="F9" s="1"/>
      <c r="G9" s="59" t="s">
        <v>106</v>
      </c>
      <c r="H9" s="60">
        <f>'ROI Number insert'!I9</f>
        <v>12880</v>
      </c>
      <c r="I9" s="1"/>
      <c r="J9" s="1"/>
      <c r="K9" s="1"/>
      <c r="L9" s="1"/>
      <c r="M9" s="1"/>
    </row>
    <row r="10" spans="1:13" ht="16.2" thickBot="1" x14ac:dyDescent="0.35">
      <c r="D10" s="55" t="s">
        <v>447</v>
      </c>
      <c r="E10" s="61">
        <v>500</v>
      </c>
      <c r="F10" s="1"/>
      <c r="G10" s="951" t="s">
        <v>26</v>
      </c>
      <c r="H10" s="952"/>
      <c r="I10" s="1"/>
      <c r="J10" s="1"/>
      <c r="K10" s="1"/>
      <c r="L10" s="1"/>
      <c r="M10" s="1"/>
    </row>
    <row r="11" spans="1:13" x14ac:dyDescent="0.3">
      <c r="D11" s="55" t="s">
        <v>108</v>
      </c>
      <c r="E11" s="62">
        <f>E3*E9</f>
        <v>0</v>
      </c>
      <c r="F11" s="1"/>
      <c r="G11" s="279" t="s">
        <v>27</v>
      </c>
      <c r="H11" s="280">
        <f>E12</f>
        <v>0</v>
      </c>
      <c r="I11" s="1"/>
      <c r="J11" s="1"/>
      <c r="K11" s="1"/>
      <c r="L11" s="1"/>
      <c r="M11" s="1"/>
    </row>
    <row r="12" spans="1:13" ht="16.2" thickBot="1" x14ac:dyDescent="0.35">
      <c r="D12" s="63" t="s">
        <v>109</v>
      </c>
      <c r="E12" s="64">
        <f>E3-E11</f>
        <v>0</v>
      </c>
      <c r="F12" s="1"/>
      <c r="G12" s="198" t="s">
        <v>110</v>
      </c>
      <c r="H12" s="65" t="e">
        <f>'Calculating offering price ARV'!C26</f>
        <v>#NUM!</v>
      </c>
      <c r="I12" s="1"/>
      <c r="J12" s="1"/>
      <c r="K12" s="1"/>
      <c r="L12" s="1"/>
      <c r="M12" s="1"/>
    </row>
    <row r="13" spans="1:13" ht="31.2" x14ac:dyDescent="0.3">
      <c r="D13" s="237" t="s">
        <v>15</v>
      </c>
      <c r="E13" s="66">
        <f>'Calculating offering price ARV'!C9</f>
        <v>0</v>
      </c>
      <c r="F13" s="1"/>
      <c r="G13" s="67" t="s">
        <v>31</v>
      </c>
      <c r="H13" s="68" t="e">
        <f>H12*12</f>
        <v>#NUM!</v>
      </c>
      <c r="I13" s="1"/>
      <c r="J13" s="1"/>
      <c r="K13" s="1"/>
      <c r="L13" s="1"/>
      <c r="M13" s="1"/>
    </row>
    <row r="14" spans="1:13" ht="31.2" x14ac:dyDescent="0.3">
      <c r="D14" s="69" t="s">
        <v>215</v>
      </c>
      <c r="E14" s="381">
        <v>5</v>
      </c>
      <c r="F14" s="1"/>
      <c r="G14" s="70" t="s">
        <v>111</v>
      </c>
      <c r="H14" s="71">
        <f>'Calculating offering price ARV'!C28</f>
        <v>3932.9457199999997</v>
      </c>
      <c r="I14" s="1"/>
      <c r="J14" s="1"/>
      <c r="K14" s="1"/>
      <c r="L14" s="1"/>
      <c r="M14" s="1"/>
    </row>
    <row r="15" spans="1:13" x14ac:dyDescent="0.3">
      <c r="D15" s="69" t="s">
        <v>26</v>
      </c>
      <c r="E15" s="72" t="e">
        <f>E16*E14</f>
        <v>#NUM!</v>
      </c>
      <c r="F15" s="1"/>
      <c r="G15" s="70" t="s">
        <v>33</v>
      </c>
      <c r="H15" s="73">
        <f>H14/12</f>
        <v>327.74547666666666</v>
      </c>
      <c r="I15" s="1"/>
      <c r="J15" s="74"/>
      <c r="K15" s="74"/>
      <c r="L15" s="74"/>
      <c r="M15" s="74"/>
    </row>
    <row r="16" spans="1:13" ht="16.05" customHeight="1" thickBot="1" x14ac:dyDescent="0.35">
      <c r="D16" s="369" t="s">
        <v>216</v>
      </c>
      <c r="E16" s="370" t="e">
        <f>H23</f>
        <v>#NUM!</v>
      </c>
      <c r="F16" s="1"/>
      <c r="G16" s="275" t="s">
        <v>112</v>
      </c>
      <c r="H16" s="276">
        <f>'Calculating offering price ARV'!C30</f>
        <v>0</v>
      </c>
      <c r="I16" s="1"/>
      <c r="J16" s="1"/>
      <c r="K16" s="1"/>
      <c r="L16" s="1"/>
      <c r="M16" s="74"/>
    </row>
    <row r="17" spans="1:13" s="79" customFormat="1" x14ac:dyDescent="0.3">
      <c r="A17" s="76"/>
      <c r="B17" s="76"/>
      <c r="C17" s="1"/>
      <c r="D17" s="709" t="s">
        <v>209</v>
      </c>
      <c r="E17" s="710">
        <f>'ROI Number insert'!F17</f>
        <v>2000000</v>
      </c>
      <c r="F17" s="76"/>
      <c r="G17" s="281" t="s">
        <v>246</v>
      </c>
      <c r="H17" s="283">
        <f>'Calculating offering price ARV'!C31</f>
        <v>0</v>
      </c>
      <c r="I17" s="76"/>
      <c r="J17" s="76"/>
      <c r="K17" s="76"/>
      <c r="L17" s="76"/>
      <c r="M17" s="78"/>
    </row>
    <row r="18" spans="1:13" s="79" customFormat="1" ht="16.2" thickBot="1" x14ac:dyDescent="0.35">
      <c r="A18" s="76"/>
      <c r="B18" s="76"/>
      <c r="C18" s="1"/>
      <c r="D18" s="711" t="s">
        <v>313</v>
      </c>
      <c r="E18" s="712">
        <f>'ROI Number insert'!F18</f>
        <v>0</v>
      </c>
      <c r="F18" s="76"/>
      <c r="G18" s="277" t="s">
        <v>36</v>
      </c>
      <c r="H18" s="278">
        <f>'Calculating offering price ARV'!C32</f>
        <v>1500</v>
      </c>
      <c r="I18" s="76"/>
      <c r="J18" s="76"/>
      <c r="K18" s="76"/>
      <c r="L18" s="76"/>
      <c r="M18" s="78"/>
    </row>
    <row r="19" spans="1:13" s="79" customFormat="1" x14ac:dyDescent="0.3">
      <c r="A19" s="76"/>
      <c r="B19" s="76"/>
      <c r="C19" s="1"/>
      <c r="D19" s="371" t="s">
        <v>114</v>
      </c>
      <c r="E19" s="372" t="e">
        <f>E11+E13+E15+E10</f>
        <v>#NUM!</v>
      </c>
      <c r="F19" s="76"/>
      <c r="G19" s="77" t="s">
        <v>37</v>
      </c>
      <c r="H19" s="75">
        <f>'Calculating offering price ARV'!C33</f>
        <v>1571.1435294117646</v>
      </c>
      <c r="I19" s="76"/>
      <c r="J19" s="76"/>
      <c r="K19" s="76"/>
      <c r="L19" s="76"/>
      <c r="M19" s="78"/>
    </row>
    <row r="20" spans="1:13" s="79" customFormat="1" ht="16.2" thickBot="1" x14ac:dyDescent="0.35">
      <c r="A20" s="76"/>
      <c r="B20" s="76"/>
      <c r="C20" s="1"/>
      <c r="D20" s="91" t="s">
        <v>115</v>
      </c>
      <c r="E20" s="92">
        <f>E11+E10</f>
        <v>500</v>
      </c>
      <c r="F20" s="76"/>
      <c r="G20" s="80" t="s">
        <v>39</v>
      </c>
      <c r="H20" s="81">
        <f>'Calculating offering price ARV'!C34</f>
        <v>907</v>
      </c>
      <c r="I20" s="76"/>
      <c r="J20" s="76"/>
      <c r="K20" s="76"/>
      <c r="L20" s="76"/>
      <c r="M20" s="78"/>
    </row>
    <row r="21" spans="1:13" s="79" customFormat="1" ht="42.6" thickBot="1" x14ac:dyDescent="0.35">
      <c r="A21" s="76"/>
      <c r="B21" s="76"/>
      <c r="C21" s="1"/>
      <c r="D21" s="197" t="s">
        <v>116</v>
      </c>
      <c r="E21" s="197"/>
      <c r="F21" s="76"/>
      <c r="G21" s="82" t="s">
        <v>40</v>
      </c>
      <c r="H21" s="83">
        <f>H20*12</f>
        <v>10884</v>
      </c>
      <c r="I21" s="76"/>
      <c r="J21" s="1"/>
      <c r="K21" s="1"/>
      <c r="L21" s="76"/>
      <c r="M21" s="78"/>
    </row>
    <row r="22" spans="1:13" s="79" customFormat="1" ht="15.45" customHeight="1" thickBot="1" x14ac:dyDescent="0.35">
      <c r="A22" s="76"/>
      <c r="B22" s="76"/>
      <c r="C22" s="1"/>
      <c r="D22" s="955" t="s">
        <v>117</v>
      </c>
      <c r="E22" s="956"/>
      <c r="F22" s="76"/>
      <c r="G22" s="84" t="s">
        <v>41</v>
      </c>
      <c r="H22" s="85" t="e">
        <f>H13+H14+H16+H18+H19+H21+H17</f>
        <v>#NUM!</v>
      </c>
      <c r="I22" s="76"/>
      <c r="J22" s="76"/>
      <c r="K22" s="76"/>
      <c r="L22" s="76"/>
      <c r="M22" s="86"/>
    </row>
    <row r="23" spans="1:13" ht="16.2" thickBot="1" x14ac:dyDescent="0.35">
      <c r="D23" s="93" t="s">
        <v>118</v>
      </c>
      <c r="E23" s="94">
        <f>'Calculating offering price ARV'!C57</f>
        <v>0</v>
      </c>
      <c r="F23" s="1"/>
      <c r="G23" s="87" t="s">
        <v>42</v>
      </c>
      <c r="H23" s="88" t="e">
        <f>H22/12</f>
        <v>#NUM!</v>
      </c>
      <c r="I23" s="1"/>
      <c r="J23" s="89"/>
      <c r="K23" s="1"/>
      <c r="L23" s="1"/>
      <c r="M23" s="89"/>
    </row>
    <row r="24" spans="1:13" ht="16.2" thickBot="1" x14ac:dyDescent="0.35">
      <c r="D24" s="95" t="s">
        <v>119</v>
      </c>
      <c r="E24" s="96">
        <f>E23*12</f>
        <v>0</v>
      </c>
      <c r="F24" s="90"/>
      <c r="G24" s="268" t="s">
        <v>225</v>
      </c>
      <c r="H24" s="284" t="s">
        <v>230</v>
      </c>
      <c r="I24" s="1"/>
      <c r="J24" s="89"/>
      <c r="K24" s="1"/>
      <c r="L24" s="1"/>
      <c r="M24" s="89"/>
    </row>
    <row r="25" spans="1:13" ht="16.8" thickTop="1" thickBot="1" x14ac:dyDescent="0.35">
      <c r="D25" s="97" t="s">
        <v>120</v>
      </c>
      <c r="E25" s="697">
        <v>0</v>
      </c>
      <c r="F25" s="90"/>
      <c r="I25" s="1" t="s">
        <v>226</v>
      </c>
      <c r="J25" s="89"/>
      <c r="K25" s="1"/>
      <c r="L25" s="1"/>
      <c r="M25" s="89"/>
    </row>
    <row r="26" spans="1:13" ht="16.2" thickTop="1" x14ac:dyDescent="0.3">
      <c r="D26" s="98" t="s">
        <v>121</v>
      </c>
      <c r="E26" s="99">
        <f>E24*E25</f>
        <v>0</v>
      </c>
      <c r="F26" s="1"/>
      <c r="G26" s="52"/>
      <c r="H26" s="1"/>
      <c r="I26" s="1" t="s">
        <v>227</v>
      </c>
      <c r="J26" s="89"/>
      <c r="K26" s="1"/>
      <c r="L26" s="1"/>
      <c r="M26" s="89"/>
    </row>
    <row r="27" spans="1:13" ht="16.2" thickBot="1" x14ac:dyDescent="0.35">
      <c r="D27" s="272" t="s">
        <v>240</v>
      </c>
      <c r="E27" s="100">
        <f>E24-E26</f>
        <v>0</v>
      </c>
      <c r="F27" s="89"/>
      <c r="G27" s="52"/>
      <c r="H27" s="1"/>
      <c r="I27" s="1" t="s">
        <v>229</v>
      </c>
      <c r="J27" s="1"/>
      <c r="K27" s="1"/>
      <c r="L27" s="1"/>
      <c r="M27" s="1"/>
    </row>
    <row r="28" spans="1:13" ht="21.6" thickBot="1" x14ac:dyDescent="0.35">
      <c r="D28" s="953" t="s">
        <v>187</v>
      </c>
      <c r="E28" s="954"/>
      <c r="F28" s="89"/>
      <c r="G28" s="1"/>
      <c r="H28" s="1"/>
      <c r="I28" s="1" t="s">
        <v>228</v>
      </c>
      <c r="J28" s="1"/>
      <c r="K28" s="1"/>
      <c r="L28" s="1"/>
      <c r="M28" s="1"/>
    </row>
    <row r="29" spans="1:13" x14ac:dyDescent="0.3">
      <c r="D29" s="101" t="s">
        <v>122</v>
      </c>
      <c r="E29" s="102" t="e">
        <f>H12</f>
        <v>#NUM!</v>
      </c>
      <c r="F29" s="1"/>
      <c r="G29" s="1"/>
      <c r="H29" s="1"/>
      <c r="I29" s="1" t="s">
        <v>230</v>
      </c>
      <c r="J29" s="1"/>
      <c r="K29" s="1"/>
      <c r="L29" s="1"/>
      <c r="M29" s="1"/>
    </row>
    <row r="30" spans="1:13" ht="16.2" thickBot="1" x14ac:dyDescent="0.35">
      <c r="D30" s="103" t="s">
        <v>123</v>
      </c>
      <c r="E30" s="104" t="e">
        <f>E29*12</f>
        <v>#NUM!</v>
      </c>
      <c r="F30" s="1"/>
      <c r="G30" s="1"/>
      <c r="H30" s="1"/>
      <c r="I30" s="1" t="s">
        <v>231</v>
      </c>
      <c r="J30" s="1"/>
      <c r="K30" s="1"/>
      <c r="L30" s="1"/>
      <c r="M30" s="1"/>
    </row>
    <row r="31" spans="1:13" ht="24" thickBot="1" x14ac:dyDescent="0.35">
      <c r="D31" s="946" t="s">
        <v>239</v>
      </c>
      <c r="E31" s="947"/>
      <c r="F31" s="1"/>
      <c r="G31" s="1"/>
      <c r="H31" s="1"/>
      <c r="I31" s="1"/>
      <c r="J31" s="1"/>
      <c r="K31" s="1"/>
      <c r="L31" s="1"/>
      <c r="M31" s="1"/>
    </row>
    <row r="32" spans="1:13" x14ac:dyDescent="0.3">
      <c r="D32" s="105" t="s">
        <v>124</v>
      </c>
      <c r="E32" s="106">
        <f>H14</f>
        <v>3932.9457199999997</v>
      </c>
      <c r="F32" s="1"/>
      <c r="G32" s="1"/>
      <c r="H32" s="1"/>
      <c r="I32" s="1"/>
      <c r="J32" s="1"/>
      <c r="K32" s="1"/>
      <c r="L32" s="1"/>
      <c r="M32" s="1"/>
    </row>
    <row r="33" spans="4:13" ht="31.2" x14ac:dyDescent="0.3">
      <c r="D33" s="107" t="s">
        <v>125</v>
      </c>
      <c r="E33" s="379">
        <f>E23*8%</f>
        <v>0</v>
      </c>
      <c r="F33" s="1"/>
      <c r="G33" s="1"/>
      <c r="H33" s="1"/>
      <c r="I33" s="1"/>
      <c r="J33" s="1"/>
      <c r="K33" s="1"/>
      <c r="L33" s="1"/>
      <c r="M33" s="1"/>
    </row>
    <row r="34" spans="4:13" x14ac:dyDescent="0.3">
      <c r="D34" s="107" t="s">
        <v>126</v>
      </c>
      <c r="E34" s="108">
        <f>E33*12</f>
        <v>0</v>
      </c>
      <c r="F34" s="1"/>
      <c r="G34" s="1"/>
      <c r="H34" s="1"/>
      <c r="I34" s="1"/>
      <c r="J34" s="1"/>
      <c r="K34" s="1"/>
      <c r="L34" s="1"/>
      <c r="M34" s="1"/>
    </row>
    <row r="35" spans="4:13" x14ac:dyDescent="0.3">
      <c r="D35" s="107" t="s">
        <v>37</v>
      </c>
      <c r="E35" s="108">
        <f>H19</f>
        <v>1571.1435294117646</v>
      </c>
      <c r="F35" s="1"/>
      <c r="G35" s="1"/>
      <c r="H35" s="1"/>
      <c r="I35" s="1"/>
      <c r="J35" s="1"/>
      <c r="K35" s="1"/>
      <c r="L35" s="1"/>
      <c r="M35" s="1"/>
    </row>
    <row r="36" spans="4:13" x14ac:dyDescent="0.3">
      <c r="D36" s="109" t="s">
        <v>127</v>
      </c>
      <c r="E36" s="110">
        <f>H20</f>
        <v>907</v>
      </c>
      <c r="F36" s="1"/>
      <c r="G36" s="1"/>
      <c r="H36" s="1"/>
      <c r="I36" s="1"/>
      <c r="J36" s="1"/>
      <c r="K36" s="1"/>
      <c r="L36" s="1"/>
      <c r="M36" s="1"/>
    </row>
    <row r="37" spans="4:13" x14ac:dyDescent="0.3">
      <c r="D37" s="107" t="s">
        <v>128</v>
      </c>
      <c r="E37" s="108">
        <f>E36*12</f>
        <v>10884</v>
      </c>
      <c r="F37" s="1"/>
      <c r="G37" s="52"/>
      <c r="H37" s="1"/>
      <c r="I37" s="1"/>
      <c r="J37" s="1"/>
      <c r="K37" s="1"/>
      <c r="L37" s="1"/>
      <c r="M37" s="1"/>
    </row>
    <row r="38" spans="4:13" x14ac:dyDescent="0.3">
      <c r="D38" s="107" t="s">
        <v>129</v>
      </c>
      <c r="E38" s="108">
        <f>H18</f>
        <v>1500</v>
      </c>
      <c r="F38" s="1"/>
      <c r="G38" s="52"/>
      <c r="H38" s="1"/>
      <c r="I38" s="1"/>
      <c r="J38" s="1"/>
      <c r="K38" s="1"/>
      <c r="L38" s="1"/>
      <c r="M38" s="1"/>
    </row>
    <row r="39" spans="4:13" x14ac:dyDescent="0.3">
      <c r="D39" s="107" t="s">
        <v>130</v>
      </c>
      <c r="E39" s="379">
        <f>'ROI Number insert'!F39</f>
        <v>0</v>
      </c>
      <c r="F39" s="1"/>
      <c r="G39" s="52"/>
      <c r="H39" s="1"/>
      <c r="I39" s="1"/>
      <c r="J39" s="1"/>
      <c r="K39" s="1"/>
      <c r="L39" s="1"/>
      <c r="M39" s="1"/>
    </row>
    <row r="40" spans="4:13" x14ac:dyDescent="0.3">
      <c r="D40" s="107" t="s">
        <v>131</v>
      </c>
      <c r="E40" s="379">
        <f>'ROI Number insert'!F40</f>
        <v>0</v>
      </c>
      <c r="F40" s="1"/>
      <c r="G40" s="52"/>
      <c r="H40" s="1"/>
      <c r="I40" s="1"/>
      <c r="J40" s="1"/>
      <c r="K40" s="1"/>
      <c r="L40" s="1"/>
      <c r="M40" s="1"/>
    </row>
    <row r="41" spans="4:13" x14ac:dyDescent="0.3">
      <c r="D41" s="107" t="s">
        <v>132</v>
      </c>
      <c r="E41" s="112">
        <f>E27*0.05</f>
        <v>0</v>
      </c>
      <c r="F41" s="1"/>
      <c r="G41" s="52"/>
      <c r="H41" s="1"/>
      <c r="I41" s="1"/>
      <c r="J41" s="1"/>
      <c r="K41" s="1"/>
      <c r="L41" s="1"/>
      <c r="M41" s="1"/>
    </row>
    <row r="42" spans="4:13" x14ac:dyDescent="0.3">
      <c r="D42" s="107" t="s">
        <v>133</v>
      </c>
      <c r="E42" s="108">
        <f>E27*0.01</f>
        <v>0</v>
      </c>
      <c r="F42" s="1"/>
      <c r="G42" s="52"/>
      <c r="H42" s="1"/>
      <c r="I42" s="1"/>
      <c r="J42" s="1"/>
      <c r="K42" s="1"/>
      <c r="L42" s="1"/>
      <c r="M42" s="1"/>
    </row>
    <row r="43" spans="4:13" ht="16.2" thickBot="1" x14ac:dyDescent="0.35">
      <c r="D43" s="113" t="s">
        <v>134</v>
      </c>
      <c r="E43" s="390">
        <f>'ROI Number insert'!F43</f>
        <v>0</v>
      </c>
      <c r="F43" s="1"/>
      <c r="G43" s="111"/>
      <c r="H43" s="1"/>
      <c r="I43" s="1"/>
      <c r="J43" s="1"/>
      <c r="K43" s="1"/>
      <c r="L43" s="1"/>
      <c r="M43" s="1"/>
    </row>
    <row r="44" spans="4:13" ht="16.2" thickBot="1" x14ac:dyDescent="0.35">
      <c r="D44" s="273" t="s">
        <v>241</v>
      </c>
      <c r="E44" s="274">
        <f>E32+E34+E35+E37+E38+E39+E40+E41+E42+E43</f>
        <v>17888.089249411765</v>
      </c>
      <c r="F44" s="1"/>
      <c r="G44" s="111"/>
      <c r="H44" s="1"/>
      <c r="I44" s="1"/>
      <c r="J44" s="1"/>
      <c r="K44" s="1"/>
      <c r="L44" s="1"/>
      <c r="M44" s="1"/>
    </row>
    <row r="45" spans="4:13" x14ac:dyDescent="0.3">
      <c r="D45" s="229" t="s">
        <v>135</v>
      </c>
      <c r="E45" s="230">
        <f>E27-E44</f>
        <v>-17888.089249411765</v>
      </c>
      <c r="F45" s="1"/>
      <c r="G45" s="111"/>
      <c r="H45" s="1"/>
      <c r="I45" s="1"/>
      <c r="J45" s="1"/>
      <c r="K45" s="1"/>
      <c r="L45" s="1"/>
      <c r="M45" s="1"/>
    </row>
    <row r="46" spans="4:13" ht="16.2" thickBot="1" x14ac:dyDescent="0.35">
      <c r="D46" s="231" t="s">
        <v>138</v>
      </c>
      <c r="E46" s="232" t="e">
        <f>E30</f>
        <v>#NUM!</v>
      </c>
      <c r="F46" s="1"/>
      <c r="G46" s="111"/>
      <c r="H46" s="1"/>
      <c r="I46" s="1"/>
      <c r="J46" s="1"/>
      <c r="K46" s="1"/>
      <c r="L46" s="1"/>
      <c r="M46" s="1"/>
    </row>
    <row r="47" spans="4:13" ht="16.2" thickBot="1" x14ac:dyDescent="0.35">
      <c r="D47" s="114" t="s">
        <v>136</v>
      </c>
      <c r="E47" s="233" t="e">
        <f>E45-E46</f>
        <v>#NUM!</v>
      </c>
      <c r="F47" s="1"/>
      <c r="G47" s="111"/>
      <c r="H47" s="1"/>
      <c r="I47" s="1"/>
      <c r="J47" s="1"/>
      <c r="K47" s="1"/>
      <c r="L47" s="1"/>
      <c r="M47" s="1"/>
    </row>
    <row r="48" spans="4:13" ht="16.2" thickBot="1" x14ac:dyDescent="0.35">
      <c r="D48" s="115" t="s">
        <v>137</v>
      </c>
      <c r="E48" s="116" t="e">
        <f>E47/12</f>
        <v>#NUM!</v>
      </c>
      <c r="F48" s="1"/>
      <c r="G48" s="111"/>
      <c r="H48" s="1"/>
      <c r="I48" s="1"/>
      <c r="J48" s="1"/>
      <c r="K48" s="1"/>
      <c r="L48" s="1"/>
      <c r="M48" s="1"/>
    </row>
    <row r="49" spans="4:14" ht="16.2" thickBot="1" x14ac:dyDescent="0.35">
      <c r="D49" s="1"/>
      <c r="E49" s="117"/>
      <c r="F49" s="1"/>
      <c r="G49" s="111"/>
      <c r="H49" s="89"/>
      <c r="I49" s="89"/>
      <c r="J49" s="89"/>
      <c r="K49" s="89"/>
      <c r="L49" s="1"/>
      <c r="M49" s="1"/>
    </row>
    <row r="50" spans="4:14" ht="16.2" thickBot="1" x14ac:dyDescent="0.35">
      <c r="D50" s="118" t="s">
        <v>139</v>
      </c>
      <c r="E50" s="119">
        <f>3000+(E17-100000)*7%</f>
        <v>136000</v>
      </c>
      <c r="F50" s="1"/>
      <c r="G50" s="111"/>
      <c r="H50" s="1"/>
      <c r="I50" s="1"/>
      <c r="J50" s="1"/>
      <c r="K50" s="1"/>
      <c r="L50" s="1"/>
      <c r="M50" s="1"/>
    </row>
    <row r="51" spans="4:14" x14ac:dyDescent="0.3">
      <c r="D51" s="1"/>
      <c r="E51" s="117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3">
      <c r="D52" s="1"/>
      <c r="E52" s="117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3">
      <c r="D53" s="1"/>
      <c r="E53" s="117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3">
      <c r="D54" s="1"/>
      <c r="E54" s="117"/>
      <c r="F54" s="1"/>
      <c r="G54" s="1"/>
      <c r="H54" s="1"/>
      <c r="I54" s="1"/>
      <c r="J54" s="1"/>
      <c r="K54" s="1"/>
      <c r="L54" s="1"/>
      <c r="M54" s="1"/>
      <c r="N54" s="1"/>
    </row>
    <row r="55" spans="4:14" ht="21" customHeight="1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ht="14.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ht="14.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ht="14.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ht="16.5" customHeight="1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ht="14.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3">
      <c r="D61" s="1"/>
      <c r="E61" s="117"/>
      <c r="F61" s="1"/>
      <c r="G61" s="52"/>
      <c r="H61" s="1"/>
      <c r="I61" s="1"/>
      <c r="J61" s="1"/>
      <c r="K61" s="1"/>
      <c r="L61" s="1"/>
      <c r="M61" s="1"/>
      <c r="N61" s="1"/>
    </row>
    <row r="62" spans="4:14" x14ac:dyDescent="0.3">
      <c r="F62" s="1"/>
      <c r="G62" s="52"/>
      <c r="H62" s="1"/>
      <c r="I62" s="1"/>
      <c r="J62" s="1"/>
      <c r="K62" s="1"/>
      <c r="L62" s="1"/>
      <c r="M62" s="1"/>
      <c r="N62" s="1"/>
    </row>
    <row r="63" spans="4:14" ht="14.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ht="14.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ht="14.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ht="14.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ht="14.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ht="14.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ht="14.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ht="14.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ht="14.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ht="14.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ht="14.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ht="14.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ht="14.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ht="14.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ht="14.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ht="14.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ht="14.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ht="14.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ht="14.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ht="14.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ht="14.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ht="14.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3">
      <c r="D85" s="1"/>
      <c r="E85" s="117"/>
      <c r="F85" s="1"/>
      <c r="G85" s="52"/>
      <c r="H85" s="1"/>
      <c r="I85" s="1"/>
      <c r="J85" s="1"/>
      <c r="K85" s="1"/>
      <c r="L85" s="1"/>
      <c r="M85" s="1"/>
      <c r="N85" s="1"/>
    </row>
    <row r="86" spans="4:14" ht="14.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ht="14.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ht="14.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ht="14.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ht="14.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ht="14.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ht="14.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ht="14.4" x14ac:dyDescent="0.3">
      <c r="D93" s="1"/>
      <c r="E93" s="1"/>
      <c r="F93" s="1"/>
      <c r="G93" s="52"/>
      <c r="H93" s="1"/>
      <c r="I93" s="1"/>
      <c r="J93" s="1"/>
      <c r="K93" s="1"/>
      <c r="L93" s="1"/>
      <c r="M93" s="1"/>
      <c r="N93" s="1"/>
    </row>
    <row r="94" spans="4:14" ht="14.4" x14ac:dyDescent="0.3">
      <c r="D94" s="1"/>
      <c r="E94" s="1"/>
      <c r="F94" s="1"/>
      <c r="G94" s="52"/>
      <c r="H94" s="1"/>
      <c r="I94" s="1"/>
      <c r="J94" s="1"/>
      <c r="K94" s="1"/>
      <c r="L94" s="1"/>
      <c r="M94" s="1"/>
      <c r="N94" s="1"/>
    </row>
    <row r="95" spans="4:14" ht="14.4" x14ac:dyDescent="0.3">
      <c r="D95" s="1"/>
      <c r="E95" s="1"/>
      <c r="F95" s="1"/>
      <c r="G95" s="52"/>
      <c r="H95" s="1"/>
      <c r="I95" s="1"/>
      <c r="J95" s="1"/>
      <c r="K95" s="1"/>
      <c r="L95" s="1"/>
      <c r="M95" s="1"/>
      <c r="N95" s="1"/>
    </row>
    <row r="96" spans="4:14" ht="14.4" x14ac:dyDescent="0.3">
      <c r="D96" s="1"/>
      <c r="E96" s="1"/>
      <c r="F96" s="127"/>
      <c r="G96" s="128"/>
      <c r="H96" s="1"/>
      <c r="I96" s="1"/>
      <c r="J96" s="1"/>
      <c r="K96" s="1"/>
      <c r="L96" s="1"/>
      <c r="M96" s="1"/>
      <c r="N96" s="1"/>
    </row>
    <row r="97" spans="4:14" ht="14.4" x14ac:dyDescent="0.3">
      <c r="D97" s="1"/>
      <c r="E97" s="1"/>
      <c r="F97" s="127"/>
      <c r="G97" s="128"/>
      <c r="H97" s="1"/>
      <c r="I97" s="1"/>
      <c r="J97" s="1"/>
      <c r="K97" s="1"/>
      <c r="L97" s="1"/>
      <c r="M97" s="1"/>
      <c r="N97" s="1"/>
    </row>
    <row r="98" spans="4:14" ht="14.4" x14ac:dyDescent="0.3">
      <c r="D98" s="1"/>
      <c r="E98" s="1"/>
      <c r="F98" s="1"/>
      <c r="G98" s="52"/>
      <c r="H98" s="1"/>
      <c r="I98" s="1"/>
      <c r="J98" s="1"/>
      <c r="K98" s="1"/>
      <c r="L98" s="1"/>
      <c r="M98" s="1"/>
      <c r="N98" s="1"/>
    </row>
    <row r="99" spans="4:14" ht="14.4" x14ac:dyDescent="0.3">
      <c r="D99" s="1"/>
      <c r="E99" s="1"/>
      <c r="F99" s="1"/>
      <c r="G99" s="52"/>
      <c r="H99" s="1"/>
      <c r="I99" s="1"/>
      <c r="J99" s="1"/>
      <c r="K99" s="1"/>
      <c r="L99" s="1"/>
      <c r="M99" s="1"/>
      <c r="N99" s="1"/>
    </row>
    <row r="100" spans="4:14" ht="14.4" x14ac:dyDescent="0.3">
      <c r="D100" s="1"/>
      <c r="E100" s="1"/>
      <c r="F100" s="1"/>
      <c r="G100" s="52"/>
      <c r="H100" s="1"/>
      <c r="I100" s="1"/>
      <c r="J100" s="1"/>
      <c r="K100" s="1"/>
      <c r="L100" s="1"/>
      <c r="M100" s="1"/>
      <c r="N100" s="1"/>
    </row>
    <row r="101" spans="4:14" ht="14.4" x14ac:dyDescent="0.3">
      <c r="D101" s="1"/>
      <c r="E101" s="1"/>
      <c r="F101" s="1"/>
      <c r="G101" s="52"/>
      <c r="H101" s="1"/>
      <c r="I101" s="1"/>
      <c r="J101" s="1"/>
      <c r="K101" s="1"/>
      <c r="L101" s="1"/>
      <c r="M101" s="1"/>
      <c r="N101" s="1"/>
    </row>
    <row r="102" spans="4:14" ht="14.4" x14ac:dyDescent="0.3">
      <c r="D102" s="1"/>
      <c r="E102" s="1"/>
      <c r="F102" s="1"/>
      <c r="G102" s="52"/>
      <c r="H102" s="1"/>
      <c r="I102" s="1"/>
      <c r="J102" s="1"/>
      <c r="K102" s="1"/>
      <c r="L102" s="1"/>
      <c r="M102" s="1"/>
      <c r="N102" s="1"/>
    </row>
    <row r="103" spans="4:14" ht="14.4" x14ac:dyDescent="0.3">
      <c r="D103" s="1"/>
      <c r="E103" s="1"/>
      <c r="F103" s="1"/>
      <c r="G103" s="52"/>
      <c r="H103" s="1"/>
      <c r="I103" s="1"/>
      <c r="J103" s="1"/>
      <c r="K103" s="1"/>
      <c r="L103" s="1"/>
      <c r="M103" s="1"/>
      <c r="N103" s="1"/>
    </row>
    <row r="104" spans="4:14" ht="14.4" x14ac:dyDescent="0.3">
      <c r="D104" s="1"/>
      <c r="E104" s="1"/>
      <c r="F104" s="1"/>
      <c r="G104" s="52"/>
      <c r="H104" s="1"/>
      <c r="I104" s="1"/>
      <c r="J104" s="1"/>
      <c r="K104" s="1"/>
      <c r="L104" s="1"/>
      <c r="M104" s="1"/>
      <c r="N104" s="1"/>
    </row>
    <row r="105" spans="4:14" ht="14.4" x14ac:dyDescent="0.3">
      <c r="D105" s="1"/>
      <c r="E105" s="1"/>
      <c r="F105" s="1"/>
      <c r="G105" s="52"/>
      <c r="H105" s="1"/>
      <c r="I105" s="1"/>
      <c r="J105" s="1"/>
      <c r="K105" s="1"/>
      <c r="L105" s="1"/>
      <c r="M105" s="1"/>
      <c r="N105" s="1"/>
    </row>
    <row r="106" spans="4:14" ht="14.4" x14ac:dyDescent="0.3">
      <c r="D106" s="1"/>
      <c r="E106" s="1"/>
      <c r="F106" s="1"/>
      <c r="G106" s="52"/>
      <c r="H106" s="1"/>
      <c r="I106" s="1"/>
      <c r="J106" s="1"/>
      <c r="K106" s="1"/>
      <c r="L106" s="1"/>
      <c r="M106" s="1"/>
      <c r="N106" s="1"/>
    </row>
    <row r="107" spans="4:14" ht="14.4" x14ac:dyDescent="0.3">
      <c r="D107" s="1"/>
      <c r="E107" s="1"/>
      <c r="F107" s="1"/>
      <c r="G107" s="52"/>
      <c r="H107" s="1"/>
      <c r="I107" s="1"/>
      <c r="J107" s="1"/>
      <c r="K107" s="1"/>
      <c r="L107" s="1"/>
      <c r="M107" s="1"/>
      <c r="N107" s="1"/>
    </row>
    <row r="108" spans="4:14" ht="14.4" x14ac:dyDescent="0.3">
      <c r="D108" s="1"/>
      <c r="E108" s="1"/>
      <c r="F108" s="1"/>
      <c r="G108" s="52"/>
      <c r="H108" s="1"/>
      <c r="I108" s="1"/>
      <c r="J108" s="1"/>
      <c r="K108" s="1"/>
      <c r="L108" s="1"/>
      <c r="M108" s="1"/>
      <c r="N108" s="1"/>
    </row>
    <row r="109" spans="4:14" ht="14.4" x14ac:dyDescent="0.3">
      <c r="D109" s="1"/>
      <c r="E109" s="1"/>
      <c r="F109" s="1"/>
      <c r="G109" s="52"/>
      <c r="H109" s="1"/>
      <c r="I109" s="1"/>
      <c r="J109" s="1"/>
      <c r="K109" s="1"/>
      <c r="L109" s="1"/>
      <c r="M109" s="1"/>
      <c r="N109" s="1"/>
    </row>
    <row r="110" spans="4:14" ht="14.4" x14ac:dyDescent="0.3">
      <c r="D110" s="1"/>
      <c r="E110" s="1"/>
      <c r="F110" s="1"/>
      <c r="G110" s="52"/>
      <c r="H110" s="1"/>
      <c r="I110" s="1"/>
      <c r="J110" s="1"/>
      <c r="K110" s="1"/>
      <c r="L110" s="1"/>
      <c r="M110" s="1"/>
      <c r="N110" s="1"/>
    </row>
    <row r="111" spans="4:14" ht="14.4" x14ac:dyDescent="0.3">
      <c r="D111" s="1"/>
      <c r="E111" s="1"/>
      <c r="F111" s="1"/>
      <c r="G111" s="52"/>
      <c r="H111" s="1"/>
      <c r="I111" s="1"/>
      <c r="J111" s="1"/>
      <c r="K111" s="1"/>
      <c r="L111" s="1"/>
      <c r="M111" s="1"/>
      <c r="N111" s="1"/>
    </row>
    <row r="112" spans="4:14" ht="14.4" x14ac:dyDescent="0.3">
      <c r="D112" s="1"/>
      <c r="E112" s="1"/>
      <c r="F112" s="1"/>
      <c r="G112" s="52"/>
      <c r="H112" s="1"/>
      <c r="I112" s="1"/>
      <c r="J112" s="1"/>
      <c r="K112" s="1"/>
      <c r="L112" s="1"/>
      <c r="M112" s="1"/>
      <c r="N112" s="1"/>
    </row>
    <row r="113" spans="4:14" ht="14.4" x14ac:dyDescent="0.3">
      <c r="D113" s="1"/>
      <c r="E113" s="1"/>
      <c r="F113" s="1"/>
      <c r="G113" s="52"/>
      <c r="H113" s="1"/>
      <c r="I113" s="1"/>
      <c r="J113" s="1"/>
      <c r="K113" s="1"/>
      <c r="L113" s="1"/>
      <c r="M113" s="1"/>
      <c r="N113" s="1"/>
    </row>
    <row r="114" spans="4:14" ht="14.4" x14ac:dyDescent="0.3">
      <c r="D114" s="1"/>
      <c r="E114" s="1"/>
      <c r="F114" s="1"/>
      <c r="G114" s="52"/>
      <c r="H114" s="1"/>
      <c r="I114" s="1"/>
      <c r="J114" s="1"/>
      <c r="K114" s="1"/>
      <c r="L114" s="1"/>
      <c r="M114" s="1"/>
      <c r="N114" s="1"/>
    </row>
    <row r="115" spans="4:14" ht="14.4" x14ac:dyDescent="0.3">
      <c r="D115" s="1"/>
      <c r="E115" s="1"/>
      <c r="F115" s="1"/>
      <c r="G115" s="52"/>
      <c r="H115" s="1"/>
      <c r="I115" s="1"/>
      <c r="J115" s="1"/>
      <c r="K115" s="1"/>
      <c r="L115" s="1"/>
      <c r="M115" s="1"/>
      <c r="N115" s="1"/>
    </row>
    <row r="116" spans="4:14" ht="14.4" x14ac:dyDescent="0.3">
      <c r="D116" s="1"/>
      <c r="E116" s="1"/>
      <c r="F116" s="1"/>
      <c r="G116" s="52"/>
      <c r="H116" s="1"/>
      <c r="I116" s="1"/>
      <c r="J116" s="1"/>
      <c r="K116" s="1"/>
      <c r="L116" s="1"/>
      <c r="M116" s="1"/>
      <c r="N116" s="1"/>
    </row>
    <row r="117" spans="4:14" ht="14.4" x14ac:dyDescent="0.3">
      <c r="D117" s="1"/>
      <c r="E117" s="1"/>
      <c r="F117" s="1"/>
      <c r="G117" s="52"/>
      <c r="H117" s="1"/>
      <c r="I117" s="1"/>
      <c r="J117" s="1"/>
      <c r="K117" s="1"/>
      <c r="L117" s="1"/>
      <c r="M117" s="1"/>
      <c r="N117" s="1"/>
    </row>
    <row r="118" spans="4:14" ht="14.4" x14ac:dyDescent="0.3">
      <c r="D118" s="1"/>
      <c r="E118" s="1"/>
      <c r="F118" s="1"/>
      <c r="G118" s="52"/>
      <c r="H118" s="1"/>
      <c r="I118" s="1"/>
      <c r="J118" s="1"/>
      <c r="K118" s="1"/>
      <c r="L118" s="1"/>
      <c r="M118" s="1"/>
      <c r="N118" s="1"/>
    </row>
    <row r="119" spans="4:14" ht="14.4" x14ac:dyDescent="0.3">
      <c r="D119" s="1"/>
      <c r="E119" s="1"/>
      <c r="F119" s="1"/>
      <c r="G119" s="52"/>
      <c r="H119" s="1"/>
      <c r="I119" s="1"/>
      <c r="J119" s="1"/>
      <c r="K119" s="1"/>
      <c r="L119" s="1"/>
      <c r="M119" s="1"/>
      <c r="N119" s="1"/>
    </row>
    <row r="120" spans="4:14" ht="14.4" x14ac:dyDescent="0.3">
      <c r="D120" s="1"/>
      <c r="E120" s="1"/>
      <c r="F120" s="1"/>
      <c r="G120" s="52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17"/>
      <c r="F121" s="1"/>
      <c r="G121" s="52"/>
      <c r="H121" s="1"/>
      <c r="I121" s="1"/>
      <c r="J121" s="1"/>
      <c r="K121" s="1"/>
      <c r="L121" s="1"/>
      <c r="M121" s="1"/>
      <c r="N121" s="1"/>
    </row>
    <row r="122" spans="4:14" ht="14.4" x14ac:dyDescent="0.3">
      <c r="D122" s="1"/>
      <c r="E122" s="1"/>
      <c r="F122" s="1"/>
      <c r="G122" s="52"/>
      <c r="H122" s="1"/>
      <c r="I122" s="1"/>
      <c r="J122" s="1"/>
      <c r="K122" s="1"/>
      <c r="L122" s="1"/>
      <c r="M122" s="1"/>
      <c r="N122" s="1"/>
    </row>
    <row r="123" spans="4:14" ht="14.4" x14ac:dyDescent="0.3">
      <c r="D123" s="1"/>
      <c r="E123" s="1"/>
      <c r="F123" s="1"/>
      <c r="G123" s="52"/>
      <c r="H123" s="1"/>
      <c r="I123" s="1"/>
      <c r="J123" s="1"/>
      <c r="K123" s="1"/>
      <c r="L123" s="1"/>
      <c r="M123" s="1"/>
      <c r="N123" s="1"/>
    </row>
    <row r="124" spans="4:14" ht="14.4" x14ac:dyDescent="0.3">
      <c r="D124" s="1"/>
      <c r="E124" s="1"/>
      <c r="F124" s="1"/>
      <c r="G124" s="52"/>
      <c r="H124" s="1"/>
      <c r="I124" s="1"/>
      <c r="J124" s="1"/>
      <c r="K124" s="1"/>
      <c r="L124" s="1"/>
      <c r="M124" s="1"/>
      <c r="N124" s="1"/>
    </row>
    <row r="125" spans="4:14" ht="14.4" x14ac:dyDescent="0.3">
      <c r="D125" s="1"/>
      <c r="E125" s="1"/>
      <c r="F125" s="1"/>
      <c r="G125" s="52"/>
      <c r="H125" s="1"/>
      <c r="I125" s="1"/>
      <c r="J125" s="1"/>
      <c r="K125" s="1"/>
      <c r="L125" s="1"/>
      <c r="M125" s="1"/>
      <c r="N125" s="1"/>
    </row>
    <row r="126" spans="4:14" ht="14.4" x14ac:dyDescent="0.3">
      <c r="D126" s="1"/>
      <c r="E126" s="1"/>
      <c r="F126" s="1"/>
      <c r="G126" s="52"/>
      <c r="H126" s="1"/>
      <c r="I126" s="1"/>
      <c r="J126" s="1"/>
      <c r="K126" s="1"/>
      <c r="L126" s="1"/>
      <c r="M126" s="1"/>
      <c r="N126" s="1"/>
    </row>
    <row r="127" spans="4:14" ht="14.4" x14ac:dyDescent="0.3">
      <c r="D127" s="1"/>
      <c r="E127" s="1"/>
      <c r="F127" s="1"/>
      <c r="G127" s="52"/>
      <c r="H127" s="1"/>
      <c r="I127" s="1"/>
      <c r="J127" s="1"/>
      <c r="K127" s="1"/>
      <c r="L127" s="1"/>
      <c r="M127" s="1"/>
      <c r="N127" s="1"/>
    </row>
    <row r="128" spans="4:14" ht="14.4" x14ac:dyDescent="0.3">
      <c r="D128" s="1"/>
      <c r="E128" s="1"/>
      <c r="F128" s="1"/>
      <c r="G128" s="52"/>
      <c r="H128" s="1"/>
      <c r="I128" s="1"/>
      <c r="J128" s="1"/>
      <c r="K128" s="1"/>
      <c r="L128" s="1"/>
      <c r="M128" s="1"/>
      <c r="N128" s="1"/>
    </row>
    <row r="129" spans="4:11" ht="14.4" x14ac:dyDescent="0.3">
      <c r="D129" s="1"/>
      <c r="E129" s="1"/>
      <c r="F129" s="1"/>
      <c r="G129" s="52"/>
      <c r="H129" s="1"/>
      <c r="I129" s="1"/>
      <c r="J129" s="1"/>
      <c r="K129" s="1"/>
    </row>
    <row r="130" spans="4:11" ht="14.4" x14ac:dyDescent="0.3">
      <c r="D130" s="1"/>
      <c r="E130" s="1"/>
      <c r="F130" s="1"/>
      <c r="G130" s="52"/>
      <c r="H130" s="1"/>
    </row>
    <row r="131" spans="4:11" ht="14.4" x14ac:dyDescent="0.3">
      <c r="D131" s="1"/>
      <c r="E131" s="1"/>
      <c r="F131" s="1"/>
      <c r="G131" s="52"/>
      <c r="H131" s="1"/>
      <c r="I131" s="1"/>
      <c r="J131" s="1"/>
    </row>
    <row r="132" spans="4:11" ht="14.4" x14ac:dyDescent="0.3">
      <c r="D132" s="1"/>
      <c r="E132" s="1"/>
      <c r="F132" s="1"/>
      <c r="G132" s="52"/>
      <c r="H132" s="1"/>
      <c r="I132" s="1"/>
      <c r="J132" s="1"/>
    </row>
    <row r="133" spans="4:11" ht="14.4" x14ac:dyDescent="0.3">
      <c r="D133" s="1"/>
      <c r="E133" s="1"/>
      <c r="F133" s="1"/>
      <c r="G133" s="52"/>
      <c r="H133" s="1"/>
      <c r="I133" s="1"/>
      <c r="J133" s="1"/>
    </row>
    <row r="134" spans="4:11" ht="14.4" x14ac:dyDescent="0.3">
      <c r="D134" s="1"/>
      <c r="E134" s="1"/>
      <c r="F134" s="1"/>
      <c r="G134" s="52"/>
      <c r="H134" s="1"/>
      <c r="I134" s="1"/>
      <c r="J134" s="1"/>
    </row>
    <row r="135" spans="4:11" ht="14.4" x14ac:dyDescent="0.3">
      <c r="D135" s="1"/>
      <c r="E135" s="1"/>
      <c r="F135" s="1"/>
      <c r="G135" s="52"/>
      <c r="H135" s="1"/>
      <c r="I135" s="1"/>
      <c r="J135" s="1"/>
    </row>
    <row r="136" spans="4:11" ht="14.4" x14ac:dyDescent="0.3">
      <c r="D136" s="1"/>
      <c r="E136" s="1"/>
      <c r="F136" s="1"/>
      <c r="G136" s="52"/>
      <c r="H136" s="1"/>
      <c r="I136" s="1"/>
      <c r="J136" s="1"/>
    </row>
    <row r="137" spans="4:11" ht="14.4" x14ac:dyDescent="0.3">
      <c r="D137" s="1"/>
      <c r="E137" s="1"/>
      <c r="F137" s="1"/>
      <c r="G137" s="52"/>
      <c r="H137" s="1"/>
      <c r="I137" s="1"/>
      <c r="J137" s="1"/>
    </row>
    <row r="138" spans="4:11" ht="14.4" x14ac:dyDescent="0.3">
      <c r="D138" s="1"/>
      <c r="E138" s="1"/>
      <c r="F138" s="1"/>
      <c r="G138" s="52"/>
      <c r="H138" s="1"/>
      <c r="I138" s="1"/>
      <c r="J138" s="1"/>
    </row>
    <row r="139" spans="4:11" ht="14.4" x14ac:dyDescent="0.3">
      <c r="D139" s="1"/>
      <c r="E139" s="1"/>
      <c r="F139" s="1"/>
      <c r="G139" s="52"/>
      <c r="H139" s="1"/>
      <c r="I139" s="1"/>
      <c r="J139" s="1"/>
    </row>
    <row r="140" spans="4:11" ht="14.4" x14ac:dyDescent="0.3">
      <c r="D140" s="1"/>
      <c r="E140" s="1"/>
      <c r="F140" s="1"/>
      <c r="G140" s="52"/>
      <c r="H140" s="1"/>
      <c r="I140" s="1"/>
      <c r="J140" s="1"/>
    </row>
    <row r="141" spans="4:11" ht="14.4" x14ac:dyDescent="0.3">
      <c r="D141" s="1"/>
      <c r="E141" s="1"/>
      <c r="F141" s="1"/>
      <c r="G141" s="52"/>
      <c r="H141" s="1"/>
      <c r="I141" s="1"/>
      <c r="J141" s="1"/>
    </row>
    <row r="142" spans="4:11" x14ac:dyDescent="0.3">
      <c r="D142" s="1"/>
      <c r="E142" s="117"/>
      <c r="F142" s="1"/>
      <c r="G142" s="52"/>
      <c r="H142" s="1"/>
      <c r="I142" s="1"/>
      <c r="J142" s="1"/>
    </row>
    <row r="143" spans="4:11" x14ac:dyDescent="0.3">
      <c r="D143" s="1"/>
      <c r="E143" s="117"/>
      <c r="F143" s="1"/>
      <c r="G143" s="52"/>
      <c r="H143" s="1"/>
      <c r="I143" s="1"/>
      <c r="J143" s="1"/>
    </row>
    <row r="144" spans="4:11" x14ac:dyDescent="0.3">
      <c r="D144" s="1"/>
      <c r="E144" s="117"/>
      <c r="F144" s="1"/>
      <c r="G144" s="52"/>
      <c r="H144" s="1"/>
      <c r="I144" s="1"/>
      <c r="J144" s="1"/>
    </row>
    <row r="145" spans="4:10" x14ac:dyDescent="0.3">
      <c r="D145" s="1"/>
      <c r="E145" s="117"/>
      <c r="F145" s="1"/>
      <c r="G145" s="52"/>
      <c r="H145" s="1"/>
      <c r="I145" s="1"/>
      <c r="J145" s="1"/>
    </row>
    <row r="146" spans="4:10" x14ac:dyDescent="0.3">
      <c r="D146" s="1"/>
      <c r="E146" s="117"/>
      <c r="F146" s="1"/>
      <c r="G146" s="52"/>
      <c r="H146" s="1"/>
      <c r="I146" s="1"/>
      <c r="J146" s="1"/>
    </row>
    <row r="147" spans="4:10" x14ac:dyDescent="0.3">
      <c r="D147" s="1"/>
      <c r="E147" s="117"/>
      <c r="F147" s="1"/>
      <c r="G147" s="52"/>
      <c r="H147" s="1"/>
      <c r="I147" s="1"/>
      <c r="J147" s="1"/>
    </row>
    <row r="148" spans="4:10" x14ac:dyDescent="0.3">
      <c r="D148" s="158"/>
      <c r="E148" s="159"/>
      <c r="F148" s="158"/>
      <c r="G148" s="160"/>
      <c r="H148" s="158"/>
      <c r="I148" s="158"/>
      <c r="J148" s="158"/>
    </row>
    <row r="149" spans="4:10" x14ac:dyDescent="0.3">
      <c r="D149" s="158"/>
      <c r="E149" s="159"/>
      <c r="F149" s="158"/>
      <c r="G149" s="160"/>
      <c r="H149" s="158"/>
      <c r="I149" s="158"/>
      <c r="J149" s="158"/>
    </row>
    <row r="150" spans="4:10" x14ac:dyDescent="0.3">
      <c r="D150" s="158"/>
      <c r="E150" s="159"/>
      <c r="F150" s="158"/>
      <c r="G150" s="160"/>
      <c r="H150" s="158"/>
      <c r="I150" s="158"/>
      <c r="J150" s="158"/>
    </row>
    <row r="151" spans="4:10" x14ac:dyDescent="0.3">
      <c r="D151" s="158"/>
      <c r="E151" s="159"/>
      <c r="F151" s="158"/>
      <c r="G151" s="160"/>
      <c r="H151" s="158"/>
      <c r="I151" s="158"/>
      <c r="J151" s="158"/>
    </row>
    <row r="152" spans="4:10" x14ac:dyDescent="0.3">
      <c r="D152" s="158"/>
      <c r="E152" s="159"/>
      <c r="F152" s="158"/>
      <c r="G152" s="160"/>
      <c r="H152" s="158"/>
      <c r="I152" s="158"/>
      <c r="J152" s="158"/>
    </row>
    <row r="153" spans="4:10" x14ac:dyDescent="0.3">
      <c r="D153" s="158"/>
      <c r="E153" s="159"/>
      <c r="F153" s="158"/>
      <c r="G153" s="160"/>
      <c r="H153" s="158"/>
      <c r="I153" s="158"/>
      <c r="J153" s="158"/>
    </row>
    <row r="154" spans="4:10" x14ac:dyDescent="0.3">
      <c r="D154" s="158"/>
      <c r="E154" s="159"/>
      <c r="F154" s="158"/>
      <c r="G154" s="160"/>
      <c r="H154" s="158"/>
      <c r="I154" s="158"/>
      <c r="J154" s="158"/>
    </row>
    <row r="155" spans="4:10" x14ac:dyDescent="0.3">
      <c r="D155" s="158"/>
      <c r="E155" s="159"/>
      <c r="F155" s="158"/>
      <c r="G155" s="160"/>
      <c r="H155" s="158"/>
      <c r="I155" s="158"/>
      <c r="J155" s="158"/>
    </row>
    <row r="156" spans="4:10" x14ac:dyDescent="0.3">
      <c r="D156" s="158"/>
      <c r="E156" s="159"/>
      <c r="F156" s="158"/>
      <c r="G156" s="160"/>
      <c r="H156" s="158"/>
      <c r="I156" s="158"/>
      <c r="J156" s="158"/>
    </row>
    <row r="157" spans="4:10" x14ac:dyDescent="0.3">
      <c r="D157" s="158"/>
      <c r="E157" s="159"/>
      <c r="F157" s="158"/>
      <c r="G157" s="160"/>
      <c r="H157" s="158"/>
      <c r="I157" s="158"/>
      <c r="J157" s="158"/>
    </row>
    <row r="158" spans="4:10" x14ac:dyDescent="0.3">
      <c r="D158" s="158"/>
      <c r="E158" s="159"/>
      <c r="F158" s="158"/>
      <c r="G158" s="160"/>
      <c r="H158" s="158"/>
      <c r="I158" s="158"/>
      <c r="J158" s="158"/>
    </row>
    <row r="159" spans="4:10" x14ac:dyDescent="0.3">
      <c r="D159" s="158"/>
      <c r="E159" s="159"/>
      <c r="F159" s="158"/>
      <c r="G159" s="160"/>
      <c r="H159" s="158"/>
      <c r="I159" s="158"/>
      <c r="J159" s="158"/>
    </row>
    <row r="160" spans="4:10" x14ac:dyDescent="0.3">
      <c r="D160" s="158"/>
      <c r="E160" s="159"/>
      <c r="F160" s="158"/>
      <c r="G160" s="160"/>
      <c r="H160" s="158"/>
      <c r="I160" s="158"/>
      <c r="J160" s="158"/>
    </row>
    <row r="161" spans="4:10" x14ac:dyDescent="0.3">
      <c r="D161" s="158"/>
      <c r="E161" s="159"/>
      <c r="F161" s="158"/>
      <c r="G161" s="160"/>
      <c r="H161" s="158"/>
      <c r="I161" s="158"/>
      <c r="J161" s="158"/>
    </row>
    <row r="162" spans="4:10" x14ac:dyDescent="0.3">
      <c r="D162" s="158"/>
      <c r="E162" s="159"/>
      <c r="F162" s="158"/>
      <c r="G162" s="160"/>
      <c r="H162" s="158"/>
      <c r="I162" s="158"/>
      <c r="J162" s="158"/>
    </row>
    <row r="163" spans="4:10" x14ac:dyDescent="0.3">
      <c r="D163" s="158"/>
      <c r="E163" s="159"/>
      <c r="F163" s="158"/>
      <c r="G163" s="160"/>
      <c r="H163" s="158"/>
      <c r="I163" s="158"/>
      <c r="J163" s="158"/>
    </row>
    <row r="164" spans="4:10" x14ac:dyDescent="0.3">
      <c r="D164" s="158"/>
      <c r="E164" s="159"/>
      <c r="F164" s="158"/>
      <c r="G164" s="160"/>
      <c r="H164" s="158"/>
      <c r="I164" s="158"/>
      <c r="J164" s="158"/>
    </row>
    <row r="165" spans="4:10" x14ac:dyDescent="0.3">
      <c r="D165" s="158"/>
      <c r="E165" s="159"/>
      <c r="F165" s="158"/>
      <c r="G165" s="160"/>
      <c r="H165" s="158"/>
      <c r="I165" s="158"/>
      <c r="J165" s="158"/>
    </row>
    <row r="166" spans="4:10" x14ac:dyDescent="0.3">
      <c r="D166" s="158"/>
      <c r="E166" s="159"/>
      <c r="F166" s="158"/>
      <c r="G166" s="160"/>
      <c r="H166" s="158"/>
      <c r="I166" s="158"/>
      <c r="J166" s="158"/>
    </row>
    <row r="167" spans="4:10" x14ac:dyDescent="0.3">
      <c r="D167" s="158"/>
      <c r="E167" s="159"/>
      <c r="F167" s="158"/>
      <c r="G167" s="160"/>
      <c r="H167" s="158"/>
      <c r="I167" s="158"/>
      <c r="J167" s="158"/>
    </row>
    <row r="168" spans="4:10" x14ac:dyDescent="0.3">
      <c r="D168" s="158"/>
      <c r="E168" s="159"/>
      <c r="F168" s="158"/>
      <c r="G168" s="160"/>
      <c r="H168" s="158"/>
      <c r="I168" s="158"/>
      <c r="J168" s="158"/>
    </row>
    <row r="169" spans="4:10" x14ac:dyDescent="0.3">
      <c r="D169" s="158"/>
      <c r="E169" s="159"/>
      <c r="F169" s="158"/>
      <c r="G169" s="160"/>
      <c r="H169" s="158"/>
      <c r="I169" s="158"/>
      <c r="J169" s="158"/>
    </row>
    <row r="170" spans="4:10" x14ac:dyDescent="0.3">
      <c r="D170" s="158"/>
      <c r="E170" s="159"/>
      <c r="F170" s="158"/>
      <c r="G170" s="160"/>
      <c r="H170" s="158"/>
      <c r="I170" s="158"/>
      <c r="J170" s="158"/>
    </row>
    <row r="171" spans="4:10" x14ac:dyDescent="0.3">
      <c r="D171" s="158"/>
      <c r="E171" s="159"/>
      <c r="F171" s="158"/>
      <c r="G171" s="160"/>
      <c r="H171" s="158"/>
      <c r="I171" s="158"/>
      <c r="J171" s="158"/>
    </row>
    <row r="172" spans="4:10" x14ac:dyDescent="0.3">
      <c r="D172" s="158"/>
      <c r="E172" s="159"/>
      <c r="F172" s="158"/>
      <c r="G172" s="160"/>
      <c r="H172" s="158"/>
      <c r="I172" s="158"/>
      <c r="J172" s="158"/>
    </row>
    <row r="173" spans="4:10" x14ac:dyDescent="0.3">
      <c r="D173" s="158"/>
      <c r="E173" s="159"/>
      <c r="F173" s="158"/>
      <c r="G173" s="160"/>
      <c r="H173" s="158"/>
      <c r="I173" s="158"/>
      <c r="J173" s="158"/>
    </row>
    <row r="174" spans="4:10" x14ac:dyDescent="0.3">
      <c r="D174" s="158"/>
      <c r="E174" s="159"/>
      <c r="F174" s="158"/>
      <c r="G174" s="160"/>
      <c r="H174" s="158"/>
      <c r="I174" s="158"/>
      <c r="J174" s="158"/>
    </row>
    <row r="175" spans="4:10" x14ac:dyDescent="0.3">
      <c r="D175" s="158"/>
      <c r="E175" s="159"/>
      <c r="F175" s="158"/>
      <c r="G175" s="160"/>
      <c r="H175" s="158"/>
      <c r="I175" s="158"/>
      <c r="J175" s="158"/>
    </row>
    <row r="176" spans="4:10" x14ac:dyDescent="0.3">
      <c r="D176" s="158"/>
      <c r="E176" s="159"/>
      <c r="F176" s="158"/>
      <c r="G176" s="160"/>
      <c r="H176" s="158"/>
      <c r="I176" s="158"/>
      <c r="J176" s="158"/>
    </row>
    <row r="177" spans="4:10" x14ac:dyDescent="0.3">
      <c r="D177" s="158"/>
      <c r="E177" s="159"/>
      <c r="F177" s="158"/>
      <c r="G177" s="160"/>
      <c r="H177" s="158"/>
      <c r="I177" s="158"/>
      <c r="J177" s="158"/>
    </row>
    <row r="178" spans="4:10" x14ac:dyDescent="0.3">
      <c r="D178" s="158"/>
      <c r="E178" s="159"/>
      <c r="F178" s="158"/>
      <c r="G178" s="160"/>
      <c r="H178" s="158"/>
      <c r="I178" s="158"/>
      <c r="J178" s="158"/>
    </row>
    <row r="179" spans="4:10" x14ac:dyDescent="0.3">
      <c r="D179" s="158"/>
      <c r="E179" s="159"/>
      <c r="F179" s="158"/>
      <c r="G179" s="160"/>
      <c r="H179" s="158"/>
      <c r="I179" s="158"/>
      <c r="J179" s="158"/>
    </row>
    <row r="180" spans="4:10" x14ac:dyDescent="0.3">
      <c r="D180" s="158"/>
      <c r="E180" s="159"/>
      <c r="F180" s="158"/>
      <c r="G180" s="160"/>
      <c r="H180" s="158"/>
      <c r="I180" s="158"/>
      <c r="J180" s="158"/>
    </row>
    <row r="181" spans="4:10" x14ac:dyDescent="0.3">
      <c r="D181" s="158"/>
      <c r="E181" s="159"/>
      <c r="F181" s="158"/>
      <c r="G181" s="160"/>
      <c r="H181" s="158"/>
      <c r="I181" s="158"/>
      <c r="J181" s="158"/>
    </row>
    <row r="182" spans="4:10" x14ac:dyDescent="0.3">
      <c r="D182" s="158"/>
      <c r="E182" s="159"/>
      <c r="F182" s="158"/>
      <c r="G182" s="160"/>
      <c r="H182" s="158"/>
      <c r="I182" s="158"/>
      <c r="J182" s="158"/>
    </row>
    <row r="183" spans="4:10" x14ac:dyDescent="0.3">
      <c r="D183" s="158"/>
      <c r="E183" s="159"/>
      <c r="F183" s="158"/>
      <c r="G183" s="160"/>
      <c r="H183" s="158"/>
      <c r="I183" s="158"/>
      <c r="J183" s="158"/>
    </row>
    <row r="184" spans="4:10" x14ac:dyDescent="0.3">
      <c r="D184" s="158"/>
      <c r="E184" s="159"/>
      <c r="F184" s="158"/>
      <c r="G184" s="160"/>
      <c r="H184" s="158"/>
      <c r="I184" s="158"/>
      <c r="J184" s="158"/>
    </row>
    <row r="185" spans="4:10" x14ac:dyDescent="0.3">
      <c r="D185" s="158"/>
      <c r="E185" s="159"/>
      <c r="F185" s="158"/>
      <c r="G185" s="160"/>
      <c r="H185" s="158"/>
      <c r="I185" s="158"/>
      <c r="J185" s="158"/>
    </row>
    <row r="186" spans="4:10" x14ac:dyDescent="0.3">
      <c r="D186" s="158"/>
      <c r="E186" s="159"/>
      <c r="F186" s="158"/>
      <c r="G186" s="160"/>
      <c r="H186" s="158"/>
      <c r="I186" s="158"/>
      <c r="J186" s="158"/>
    </row>
    <row r="187" spans="4:10" x14ac:dyDescent="0.3">
      <c r="D187" s="158"/>
      <c r="E187" s="159"/>
      <c r="F187" s="158"/>
      <c r="G187" s="160"/>
      <c r="H187" s="158"/>
      <c r="I187" s="158"/>
      <c r="J187" s="158"/>
    </row>
    <row r="188" spans="4:10" x14ac:dyDescent="0.3">
      <c r="D188" s="158"/>
      <c r="E188" s="159"/>
      <c r="F188" s="158"/>
      <c r="G188" s="160"/>
      <c r="H188" s="158"/>
      <c r="I188" s="158"/>
      <c r="J188" s="158"/>
    </row>
    <row r="189" spans="4:10" x14ac:dyDescent="0.3">
      <c r="D189" s="158"/>
      <c r="E189" s="159"/>
      <c r="F189" s="158"/>
      <c r="G189" s="160"/>
      <c r="H189" s="158"/>
      <c r="I189" s="158"/>
      <c r="J189" s="158"/>
    </row>
    <row r="190" spans="4:10" x14ac:dyDescent="0.3">
      <c r="D190" s="158"/>
      <c r="E190" s="159"/>
      <c r="F190" s="158"/>
      <c r="G190" s="160"/>
      <c r="H190" s="158"/>
      <c r="I190" s="158"/>
      <c r="J190" s="158"/>
    </row>
    <row r="191" spans="4:10" x14ac:dyDescent="0.3">
      <c r="D191" s="158"/>
      <c r="E191" s="159"/>
      <c r="F191" s="158"/>
      <c r="G191" s="160"/>
      <c r="H191" s="158"/>
      <c r="I191" s="158"/>
      <c r="J191" s="158"/>
    </row>
    <row r="192" spans="4:10" x14ac:dyDescent="0.3">
      <c r="D192" s="158"/>
      <c r="E192" s="159"/>
      <c r="F192" s="158"/>
      <c r="G192" s="160"/>
      <c r="H192" s="158"/>
      <c r="I192" s="158"/>
      <c r="J192" s="158"/>
    </row>
    <row r="193" spans="4:10" x14ac:dyDescent="0.3">
      <c r="D193" s="158"/>
      <c r="E193" s="159"/>
      <c r="F193" s="158"/>
      <c r="G193" s="160"/>
      <c r="H193" s="158"/>
      <c r="I193" s="158"/>
      <c r="J193" s="158"/>
    </row>
    <row r="194" spans="4:10" x14ac:dyDescent="0.3">
      <c r="D194" s="158"/>
      <c r="E194" s="159"/>
      <c r="F194" s="158"/>
      <c r="G194" s="160"/>
      <c r="H194" s="158"/>
      <c r="I194" s="158"/>
      <c r="J194" s="158"/>
    </row>
    <row r="195" spans="4:10" x14ac:dyDescent="0.3">
      <c r="D195" s="158"/>
      <c r="E195" s="159"/>
      <c r="F195" s="158"/>
      <c r="G195" s="160"/>
      <c r="H195" s="158"/>
      <c r="I195" s="158"/>
      <c r="J195" s="158"/>
    </row>
    <row r="196" spans="4:10" x14ac:dyDescent="0.3">
      <c r="D196" s="158"/>
      <c r="E196" s="159"/>
      <c r="F196" s="158"/>
      <c r="G196" s="160"/>
      <c r="H196" s="158"/>
      <c r="I196" s="158"/>
      <c r="J196" s="158"/>
    </row>
    <row r="197" spans="4:10" x14ac:dyDescent="0.3">
      <c r="D197" s="158"/>
      <c r="E197" s="159"/>
      <c r="F197" s="158"/>
      <c r="G197" s="160"/>
      <c r="H197" s="158"/>
      <c r="I197" s="158"/>
      <c r="J197" s="158"/>
    </row>
    <row r="198" spans="4:10" x14ac:dyDescent="0.3">
      <c r="D198" s="158"/>
      <c r="E198" s="159"/>
      <c r="F198" s="158"/>
      <c r="G198" s="160"/>
      <c r="H198" s="158"/>
      <c r="I198" s="158"/>
      <c r="J198" s="158"/>
    </row>
    <row r="199" spans="4:10" x14ac:dyDescent="0.3">
      <c r="D199" s="158"/>
      <c r="E199" s="159"/>
      <c r="F199" s="158"/>
      <c r="G199" s="160"/>
      <c r="H199" s="158"/>
      <c r="I199" s="158"/>
      <c r="J199" s="158"/>
    </row>
    <row r="200" spans="4:10" x14ac:dyDescent="0.3">
      <c r="D200" s="158"/>
      <c r="E200" s="159"/>
      <c r="F200" s="158"/>
      <c r="G200" s="160"/>
      <c r="H200" s="158"/>
      <c r="I200" s="158"/>
      <c r="J200" s="158"/>
    </row>
    <row r="201" spans="4:10" x14ac:dyDescent="0.3">
      <c r="D201" s="158"/>
      <c r="E201" s="159"/>
      <c r="F201" s="158"/>
      <c r="G201" s="160"/>
      <c r="H201" s="158"/>
      <c r="I201" s="158"/>
      <c r="J201" s="158"/>
    </row>
    <row r="202" spans="4:10" x14ac:dyDescent="0.3">
      <c r="D202" s="158"/>
      <c r="E202" s="159"/>
      <c r="F202" s="158"/>
      <c r="G202" s="160"/>
      <c r="H202" s="158"/>
      <c r="I202" s="158"/>
      <c r="J202" s="158"/>
    </row>
    <row r="203" spans="4:10" x14ac:dyDescent="0.3">
      <c r="D203" s="158"/>
      <c r="E203" s="159"/>
      <c r="F203" s="158"/>
      <c r="G203" s="160"/>
      <c r="H203" s="158"/>
      <c r="I203" s="158"/>
      <c r="J203" s="158"/>
    </row>
    <row r="204" spans="4:10" x14ac:dyDescent="0.3">
      <c r="D204" s="158"/>
      <c r="E204" s="159"/>
      <c r="F204" s="158"/>
      <c r="G204" s="160"/>
      <c r="H204" s="158"/>
      <c r="I204" s="158"/>
      <c r="J204" s="158"/>
    </row>
    <row r="205" spans="4:10" x14ac:dyDescent="0.3">
      <c r="D205" s="158"/>
      <c r="E205" s="159"/>
      <c r="F205" s="158"/>
      <c r="G205" s="160"/>
      <c r="H205" s="158"/>
      <c r="I205" s="158"/>
      <c r="J205" s="158"/>
    </row>
    <row r="206" spans="4:10" x14ac:dyDescent="0.3">
      <c r="D206" s="158"/>
      <c r="E206" s="159"/>
      <c r="F206" s="158"/>
      <c r="G206" s="160"/>
      <c r="H206" s="158"/>
      <c r="I206" s="158"/>
      <c r="J206" s="158"/>
    </row>
    <row r="207" spans="4:10" x14ac:dyDescent="0.3">
      <c r="D207" s="158"/>
      <c r="E207" s="159"/>
      <c r="F207" s="158"/>
      <c r="G207" s="160"/>
      <c r="H207" s="158"/>
      <c r="I207" s="158"/>
      <c r="J207" s="158"/>
    </row>
    <row r="208" spans="4:10" x14ac:dyDescent="0.3">
      <c r="D208" s="158"/>
      <c r="E208" s="159"/>
      <c r="F208" s="158"/>
      <c r="G208" s="160"/>
      <c r="H208" s="158"/>
      <c r="I208" s="158"/>
      <c r="J208" s="158"/>
    </row>
    <row r="209" spans="4:10" x14ac:dyDescent="0.3">
      <c r="D209" s="158"/>
      <c r="E209" s="159"/>
      <c r="F209" s="158"/>
      <c r="G209" s="160"/>
      <c r="H209" s="158"/>
      <c r="I209" s="158"/>
      <c r="J209" s="158"/>
    </row>
    <row r="210" spans="4:10" x14ac:dyDescent="0.3">
      <c r="D210" s="158"/>
      <c r="E210" s="159"/>
      <c r="F210" s="158"/>
      <c r="G210" s="160"/>
      <c r="H210" s="158"/>
      <c r="I210" s="158"/>
      <c r="J210" s="158"/>
    </row>
    <row r="211" spans="4:10" x14ac:dyDescent="0.3">
      <c r="D211" s="158"/>
      <c r="E211" s="159"/>
      <c r="F211" s="158"/>
      <c r="G211" s="160"/>
      <c r="H211" s="158"/>
      <c r="I211" s="158"/>
      <c r="J211" s="158"/>
    </row>
    <row r="212" spans="4:10" x14ac:dyDescent="0.3">
      <c r="D212" s="158"/>
      <c r="E212" s="159"/>
      <c r="F212" s="158"/>
      <c r="G212" s="160"/>
      <c r="H212" s="158"/>
      <c r="I212" s="158"/>
      <c r="J212" s="158"/>
    </row>
    <row r="213" spans="4:10" x14ac:dyDescent="0.3">
      <c r="D213" s="158"/>
      <c r="E213" s="159"/>
      <c r="F213" s="158"/>
      <c r="G213" s="160"/>
      <c r="H213" s="158"/>
      <c r="I213" s="158"/>
      <c r="J213" s="158"/>
    </row>
    <row r="214" spans="4:10" x14ac:dyDescent="0.3">
      <c r="D214" s="158"/>
      <c r="E214" s="159"/>
      <c r="F214" s="158"/>
      <c r="G214" s="160"/>
      <c r="H214" s="158"/>
      <c r="I214" s="158"/>
      <c r="J214" s="158"/>
    </row>
    <row r="215" spans="4:10" x14ac:dyDescent="0.3">
      <c r="D215" s="158"/>
      <c r="E215" s="159"/>
      <c r="F215" s="158"/>
      <c r="G215" s="160"/>
      <c r="H215" s="158"/>
      <c r="I215" s="158"/>
      <c r="J215" s="158"/>
    </row>
    <row r="216" spans="4:10" x14ac:dyDescent="0.3">
      <c r="D216" s="158"/>
      <c r="E216" s="159"/>
      <c r="F216" s="158"/>
      <c r="G216" s="160"/>
      <c r="H216" s="158"/>
      <c r="I216" s="158"/>
      <c r="J216" s="158"/>
    </row>
    <row r="217" spans="4:10" x14ac:dyDescent="0.3">
      <c r="D217" s="158"/>
      <c r="E217" s="159"/>
      <c r="F217" s="158"/>
      <c r="G217" s="160"/>
      <c r="H217" s="158"/>
      <c r="I217" s="158"/>
      <c r="J217" s="158"/>
    </row>
    <row r="218" spans="4:10" x14ac:dyDescent="0.3">
      <c r="D218" s="158"/>
      <c r="E218" s="159"/>
      <c r="F218" s="158"/>
      <c r="G218" s="160"/>
      <c r="H218" s="158"/>
      <c r="I218" s="158"/>
      <c r="J218" s="158"/>
    </row>
    <row r="219" spans="4:10" x14ac:dyDescent="0.3">
      <c r="D219" s="158"/>
      <c r="E219" s="159"/>
      <c r="F219" s="158"/>
      <c r="G219" s="160"/>
      <c r="H219" s="158"/>
      <c r="I219" s="158"/>
      <c r="J219" s="158"/>
    </row>
    <row r="220" spans="4:10" x14ac:dyDescent="0.3">
      <c r="D220" s="158"/>
      <c r="E220" s="159"/>
      <c r="F220" s="158"/>
      <c r="G220" s="160"/>
      <c r="H220" s="158"/>
      <c r="I220" s="158"/>
      <c r="J220" s="158"/>
    </row>
    <row r="221" spans="4:10" x14ac:dyDescent="0.3">
      <c r="D221" s="158"/>
      <c r="E221" s="159"/>
      <c r="F221" s="158"/>
      <c r="G221" s="160"/>
      <c r="H221" s="158"/>
      <c r="I221" s="158"/>
      <c r="J221" s="158"/>
    </row>
    <row r="222" spans="4:10" x14ac:dyDescent="0.3">
      <c r="D222" s="158"/>
      <c r="E222" s="159"/>
      <c r="F222" s="158"/>
      <c r="G222" s="160"/>
      <c r="H222" s="158"/>
      <c r="I222" s="158"/>
      <c r="J222" s="158"/>
    </row>
    <row r="223" spans="4:10" x14ac:dyDescent="0.3">
      <c r="D223" s="158"/>
      <c r="E223" s="159"/>
      <c r="F223" s="158"/>
      <c r="G223" s="160"/>
      <c r="H223" s="158"/>
      <c r="I223" s="158"/>
      <c r="J223" s="158"/>
    </row>
    <row r="224" spans="4:10" x14ac:dyDescent="0.3">
      <c r="D224" s="158"/>
      <c r="E224" s="159"/>
      <c r="F224" s="158"/>
      <c r="G224" s="160"/>
      <c r="H224" s="158"/>
      <c r="I224" s="158"/>
      <c r="J224" s="158"/>
    </row>
    <row r="225" spans="4:10" x14ac:dyDescent="0.3">
      <c r="D225" s="158"/>
      <c r="E225" s="159"/>
      <c r="F225" s="158"/>
      <c r="G225" s="160"/>
      <c r="H225" s="158"/>
      <c r="I225" s="158"/>
      <c r="J225" s="158"/>
    </row>
    <row r="226" spans="4:10" x14ac:dyDescent="0.3">
      <c r="D226" s="158"/>
      <c r="E226" s="159"/>
      <c r="F226" s="158"/>
      <c r="G226" s="160"/>
      <c r="H226" s="158"/>
      <c r="I226" s="158"/>
      <c r="J226" s="158"/>
    </row>
    <row r="227" spans="4:10" x14ac:dyDescent="0.3">
      <c r="D227" s="158"/>
      <c r="E227" s="159"/>
      <c r="F227" s="158"/>
      <c r="G227" s="160"/>
      <c r="H227" s="158"/>
      <c r="I227" s="158"/>
      <c r="J227" s="158"/>
    </row>
    <row r="228" spans="4:10" x14ac:dyDescent="0.3">
      <c r="D228" s="158"/>
      <c r="E228" s="159"/>
      <c r="F228" s="158"/>
      <c r="G228" s="160"/>
      <c r="H228" s="158"/>
      <c r="I228" s="158"/>
      <c r="J228" s="158"/>
    </row>
    <row r="229" spans="4:10" x14ac:dyDescent="0.3">
      <c r="D229" s="158"/>
      <c r="E229" s="159"/>
      <c r="F229" s="158"/>
      <c r="G229" s="160"/>
      <c r="H229" s="158"/>
      <c r="I229" s="158"/>
      <c r="J229" s="158"/>
    </row>
    <row r="230" spans="4:10" x14ac:dyDescent="0.3">
      <c r="D230" s="158"/>
      <c r="E230" s="159"/>
      <c r="F230" s="158"/>
      <c r="G230" s="160"/>
      <c r="H230" s="158"/>
      <c r="I230" s="158"/>
      <c r="J230" s="158"/>
    </row>
    <row r="231" spans="4:10" x14ac:dyDescent="0.3">
      <c r="D231" s="158"/>
      <c r="E231" s="159"/>
      <c r="F231" s="158"/>
      <c r="G231" s="160"/>
      <c r="H231" s="158"/>
      <c r="I231" s="158"/>
      <c r="J231" s="158"/>
    </row>
    <row r="232" spans="4:10" x14ac:dyDescent="0.3">
      <c r="D232" s="158"/>
      <c r="E232" s="159"/>
      <c r="F232" s="158"/>
      <c r="G232" s="160"/>
      <c r="H232" s="158"/>
      <c r="I232" s="158"/>
      <c r="J232" s="158"/>
    </row>
    <row r="233" spans="4:10" x14ac:dyDescent="0.3">
      <c r="D233" s="158"/>
      <c r="E233" s="159"/>
      <c r="F233" s="158"/>
      <c r="G233" s="160"/>
      <c r="H233" s="158"/>
      <c r="I233" s="158"/>
      <c r="J233" s="158"/>
    </row>
    <row r="234" spans="4:10" x14ac:dyDescent="0.3">
      <c r="D234" s="158"/>
      <c r="E234" s="159"/>
      <c r="F234" s="158"/>
      <c r="G234" s="160"/>
      <c r="H234" s="158"/>
      <c r="I234" s="158"/>
      <c r="J234" s="158"/>
    </row>
    <row r="235" spans="4:10" x14ac:dyDescent="0.3">
      <c r="D235" s="158"/>
      <c r="E235" s="159"/>
      <c r="F235" s="158"/>
      <c r="G235" s="160"/>
      <c r="H235" s="158"/>
      <c r="I235" s="158"/>
      <c r="J235" s="158"/>
    </row>
    <row r="236" spans="4:10" x14ac:dyDescent="0.3">
      <c r="D236" s="158"/>
      <c r="E236" s="159"/>
      <c r="F236" s="158"/>
      <c r="G236" s="160"/>
      <c r="H236" s="158"/>
      <c r="I236" s="158"/>
      <c r="J236" s="158"/>
    </row>
    <row r="237" spans="4:10" x14ac:dyDescent="0.3">
      <c r="D237" s="158"/>
      <c r="E237" s="159"/>
      <c r="F237" s="158"/>
      <c r="G237" s="160"/>
      <c r="H237" s="158"/>
      <c r="I237" s="158"/>
      <c r="J237" s="158"/>
    </row>
    <row r="238" spans="4:10" x14ac:dyDescent="0.3">
      <c r="D238" s="158"/>
      <c r="E238" s="159"/>
      <c r="F238" s="158"/>
      <c r="G238" s="160"/>
      <c r="H238" s="158"/>
      <c r="I238" s="158"/>
      <c r="J238" s="158"/>
    </row>
    <row r="239" spans="4:10" x14ac:dyDescent="0.3">
      <c r="D239" s="158"/>
      <c r="E239" s="159"/>
      <c r="F239" s="158"/>
      <c r="G239" s="160"/>
      <c r="H239" s="158"/>
      <c r="I239" s="158"/>
      <c r="J239" s="158"/>
    </row>
    <row r="240" spans="4:10" x14ac:dyDescent="0.3">
      <c r="D240" s="158"/>
      <c r="E240" s="159"/>
      <c r="F240" s="158"/>
      <c r="G240" s="160"/>
      <c r="H240" s="158"/>
      <c r="I240" s="158"/>
      <c r="J240" s="158"/>
    </row>
    <row r="241" spans="4:10" x14ac:dyDescent="0.3">
      <c r="D241" s="158"/>
      <c r="E241" s="159"/>
      <c r="F241" s="158"/>
      <c r="G241" s="160"/>
      <c r="H241" s="158"/>
      <c r="I241" s="158"/>
      <c r="J241" s="158"/>
    </row>
    <row r="242" spans="4:10" x14ac:dyDescent="0.3">
      <c r="D242" s="158"/>
      <c r="E242" s="159"/>
      <c r="F242" s="158"/>
      <c r="G242" s="160"/>
      <c r="H242" s="158"/>
      <c r="I242" s="158"/>
      <c r="J242" s="158"/>
    </row>
    <row r="243" spans="4:10" x14ac:dyDescent="0.3">
      <c r="D243" s="158"/>
      <c r="E243" s="159"/>
      <c r="F243" s="158"/>
      <c r="G243" s="160"/>
      <c r="H243" s="158"/>
      <c r="I243" s="158"/>
      <c r="J243" s="158"/>
    </row>
    <row r="244" spans="4:10" x14ac:dyDescent="0.3">
      <c r="D244" s="158"/>
      <c r="E244" s="159"/>
      <c r="F244" s="158"/>
      <c r="G244" s="160"/>
      <c r="H244" s="158"/>
      <c r="I244" s="158"/>
      <c r="J244" s="158"/>
    </row>
    <row r="245" spans="4:10" x14ac:dyDescent="0.3">
      <c r="D245" s="158"/>
      <c r="E245" s="159"/>
      <c r="F245" s="158"/>
      <c r="G245" s="160"/>
      <c r="H245" s="158"/>
      <c r="I245" s="158"/>
      <c r="J245" s="158"/>
    </row>
    <row r="246" spans="4:10" x14ac:dyDescent="0.3">
      <c r="D246" s="158"/>
      <c r="E246" s="159"/>
      <c r="F246" s="158"/>
      <c r="G246" s="160"/>
      <c r="H246" s="158"/>
      <c r="I246" s="158"/>
      <c r="J246" s="158"/>
    </row>
    <row r="247" spans="4:10" x14ac:dyDescent="0.3">
      <c r="D247" s="158"/>
      <c r="E247" s="159"/>
      <c r="F247" s="158"/>
      <c r="G247" s="160"/>
      <c r="H247" s="158"/>
      <c r="I247" s="158"/>
      <c r="J247" s="158"/>
    </row>
    <row r="248" spans="4:10" x14ac:dyDescent="0.3">
      <c r="D248" s="158"/>
      <c r="E248" s="159"/>
      <c r="F248" s="158"/>
      <c r="G248" s="160"/>
      <c r="H248" s="158"/>
      <c r="I248" s="158"/>
      <c r="J248" s="158"/>
    </row>
    <row r="249" spans="4:10" x14ac:dyDescent="0.3">
      <c r="D249" s="158"/>
      <c r="E249" s="159"/>
      <c r="F249" s="158"/>
      <c r="G249" s="160"/>
      <c r="H249" s="158"/>
      <c r="I249" s="158"/>
      <c r="J249" s="158"/>
    </row>
  </sheetData>
  <mergeCells count="6">
    <mergeCell ref="D31:E31"/>
    <mergeCell ref="D1:H1"/>
    <mergeCell ref="G2:H2"/>
    <mergeCell ref="G10:H10"/>
    <mergeCell ref="D22:E22"/>
    <mergeCell ref="D28:E28"/>
  </mergeCells>
  <dataValidations count="1">
    <dataValidation type="list" allowBlank="1" showInputMessage="1" showErrorMessage="1" sqref="H24" xr:uid="{2E88D9E1-9B76-449E-993D-A67C226805C5}">
      <formula1>$I$25:$I$30</formula1>
    </dataValidation>
  </dataValidations>
  <hyperlinks>
    <hyperlink ref="B1" location="'Table of contents'!A1" display="Table of contents" xr:uid="{EA9AB35C-CEC7-4C3A-84E9-22902522FFD6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Spinner 1">
              <controlPr defaultSize="0" autoPict="0">
                <anchor moveWithCells="1" sizeWithCells="1">
                  <from>
                    <xdr:col>5</xdr:col>
                    <xdr:colOff>129540</xdr:colOff>
                    <xdr:row>12</xdr:row>
                    <xdr:rowOff>342900</xdr:rowOff>
                  </from>
                  <to>
                    <xdr:col>5</xdr:col>
                    <xdr:colOff>304800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20E-CC2F-4D7A-B998-7CE07A35D6D5}">
  <sheetPr codeName="Sheet15">
    <tabColor theme="4" tint="0.39997558519241921"/>
  </sheetPr>
  <dimension ref="A1:I371"/>
  <sheetViews>
    <sheetView workbookViewId="0"/>
  </sheetViews>
  <sheetFormatPr defaultColWidth="8.77734375" defaultRowHeight="14.4" x14ac:dyDescent="0.3"/>
  <cols>
    <col min="1" max="1" width="13.77734375" style="556" customWidth="1"/>
    <col min="2" max="2" width="10.6640625" style="556" customWidth="1"/>
    <col min="3" max="3" width="12.21875" style="556" customWidth="1"/>
    <col min="4" max="4" width="16.21875" style="554" customWidth="1"/>
    <col min="5" max="5" width="16.6640625" style="554" customWidth="1"/>
    <col min="6" max="6" width="12.77734375" style="554" customWidth="1"/>
    <col min="7" max="7" width="16.109375" style="556" customWidth="1"/>
    <col min="8" max="8" width="8.77734375" style="556"/>
    <col min="9" max="9" width="28.109375" style="556" customWidth="1"/>
    <col min="10" max="16384" width="8.77734375" style="556"/>
  </cols>
  <sheetData>
    <row r="1" spans="1:9" x14ac:dyDescent="0.3">
      <c r="A1" s="626" t="s">
        <v>454</v>
      </c>
    </row>
    <row r="2" spans="1:9" ht="15.6" x14ac:dyDescent="0.3">
      <c r="A2" s="1006" t="s">
        <v>109</v>
      </c>
      <c r="B2" s="1006"/>
      <c r="C2" s="554">
        <f>'ROI Number insert ARV'!H11</f>
        <v>0</v>
      </c>
    </row>
    <row r="3" spans="1:9" ht="15.6" x14ac:dyDescent="0.3">
      <c r="A3" s="1006" t="s">
        <v>161</v>
      </c>
      <c r="B3" s="1006"/>
      <c r="C3" s="554" t="e">
        <f>'Mortgage Caculator'!F11</f>
        <v>#NUM!</v>
      </c>
      <c r="I3"/>
    </row>
    <row r="4" spans="1:9" ht="15.6" x14ac:dyDescent="0.3">
      <c r="A4" s="1006" t="s">
        <v>167</v>
      </c>
      <c r="B4" s="1006"/>
      <c r="C4" s="555">
        <f>'ROI Number insert ARV'!E5</f>
        <v>0</v>
      </c>
      <c r="I4"/>
    </row>
    <row r="5" spans="1:9" ht="15.6" x14ac:dyDescent="0.3">
      <c r="A5" s="1006" t="s">
        <v>168</v>
      </c>
      <c r="B5" s="1006"/>
      <c r="C5" s="556">
        <f>'ROI Number insert ARV'!E4</f>
        <v>0</v>
      </c>
      <c r="I5"/>
    </row>
    <row r="6" spans="1:9" ht="15.6" x14ac:dyDescent="0.3">
      <c r="A6" s="1006" t="s">
        <v>169</v>
      </c>
      <c r="B6" s="1006"/>
      <c r="C6" s="556">
        <f>'Mortgage Caculator'!F6</f>
        <v>12</v>
      </c>
      <c r="I6"/>
    </row>
    <row r="7" spans="1:9" ht="18" x14ac:dyDescent="0.35">
      <c r="A7" s="1005" t="s">
        <v>170</v>
      </c>
      <c r="B7" s="1005"/>
      <c r="C7" s="1005"/>
      <c r="D7" s="1005"/>
      <c r="E7" s="1005"/>
      <c r="F7" s="1005"/>
      <c r="G7" s="1005"/>
      <c r="I7"/>
    </row>
    <row r="8" spans="1:9" s="559" customFormat="1" ht="31.2" x14ac:dyDescent="0.3">
      <c r="A8" s="557" t="s">
        <v>171</v>
      </c>
      <c r="B8" s="557" t="s">
        <v>172</v>
      </c>
      <c r="C8" s="557" t="s">
        <v>173</v>
      </c>
      <c r="D8" s="558" t="s">
        <v>174</v>
      </c>
      <c r="E8" s="558" t="s">
        <v>175</v>
      </c>
      <c r="F8" s="558" t="s">
        <v>176</v>
      </c>
      <c r="G8" s="557" t="s">
        <v>177</v>
      </c>
      <c r="I8"/>
    </row>
    <row r="9" spans="1:9" x14ac:dyDescent="0.3">
      <c r="B9" s="556">
        <v>0</v>
      </c>
      <c r="C9" s="554" t="e">
        <f>IF($C$3&lt;G9+(G9*($C$4/$C$6)),$C$3,G9+(G9*($C$4/$C$6)))</f>
        <v>#NUM!</v>
      </c>
      <c r="D9" s="554">
        <f>G9*$C$4/$C$6</f>
        <v>0</v>
      </c>
      <c r="E9" s="554" t="e">
        <f>C9-D9</f>
        <v>#NUM!</v>
      </c>
      <c r="G9" s="554">
        <f>C2</f>
        <v>0</v>
      </c>
      <c r="I9"/>
    </row>
    <row r="10" spans="1:9" x14ac:dyDescent="0.3">
      <c r="B10" s="556">
        <v>1</v>
      </c>
      <c r="C10" s="554" t="e">
        <f t="shared" ref="C10:C73" si="0">IF($C$3&lt;G10+(G10*($C$4/$C$6)),$C$3,G10+(G10*($C$4/$C$6)))</f>
        <v>#NUM!</v>
      </c>
      <c r="D10" s="554" t="e">
        <f t="shared" ref="D10:D73" si="1">G10*$C$4/$C$6</f>
        <v>#NUM!</v>
      </c>
      <c r="E10" s="554" t="e">
        <f t="shared" ref="E10:E73" si="2">C10-D10</f>
        <v>#NUM!</v>
      </c>
      <c r="G10" s="554" t="e">
        <f>G9-E9-F9</f>
        <v>#NUM!</v>
      </c>
      <c r="I10"/>
    </row>
    <row r="11" spans="1:9" x14ac:dyDescent="0.3">
      <c r="B11" s="556">
        <v>2</v>
      </c>
      <c r="C11" s="554" t="e">
        <f t="shared" si="0"/>
        <v>#NUM!</v>
      </c>
      <c r="D11" s="554" t="e">
        <f t="shared" si="1"/>
        <v>#NUM!</v>
      </c>
      <c r="E11" s="554" t="e">
        <f t="shared" si="2"/>
        <v>#NUM!</v>
      </c>
      <c r="G11" s="554" t="e">
        <f t="shared" ref="G11:G74" si="3">G10-E10-F10</f>
        <v>#NUM!</v>
      </c>
      <c r="I11"/>
    </row>
    <row r="12" spans="1:9" x14ac:dyDescent="0.3">
      <c r="B12" s="556">
        <v>3</v>
      </c>
      <c r="C12" s="554" t="e">
        <f t="shared" si="0"/>
        <v>#NUM!</v>
      </c>
      <c r="D12" s="554" t="e">
        <f t="shared" si="1"/>
        <v>#NUM!</v>
      </c>
      <c r="E12" s="554" t="e">
        <f t="shared" si="2"/>
        <v>#NUM!</v>
      </c>
      <c r="G12" s="554" t="e">
        <f t="shared" si="3"/>
        <v>#NUM!</v>
      </c>
      <c r="I12"/>
    </row>
    <row r="13" spans="1:9" x14ac:dyDescent="0.3">
      <c r="B13" s="556">
        <v>4</v>
      </c>
      <c r="C13" s="554" t="e">
        <f t="shared" si="0"/>
        <v>#NUM!</v>
      </c>
      <c r="D13" s="554" t="e">
        <f t="shared" si="1"/>
        <v>#NUM!</v>
      </c>
      <c r="E13" s="554" t="e">
        <f t="shared" si="2"/>
        <v>#NUM!</v>
      </c>
      <c r="G13" s="554" t="e">
        <f t="shared" si="3"/>
        <v>#NUM!</v>
      </c>
      <c r="I13"/>
    </row>
    <row r="14" spans="1:9" x14ac:dyDescent="0.3">
      <c r="B14" s="556">
        <v>5</v>
      </c>
      <c r="C14" s="554" t="e">
        <f t="shared" si="0"/>
        <v>#NUM!</v>
      </c>
      <c r="D14" s="554" t="e">
        <f t="shared" si="1"/>
        <v>#NUM!</v>
      </c>
      <c r="E14" s="554" t="e">
        <f t="shared" si="2"/>
        <v>#NUM!</v>
      </c>
      <c r="G14" s="554" t="e">
        <f t="shared" si="3"/>
        <v>#NUM!</v>
      </c>
      <c r="I14"/>
    </row>
    <row r="15" spans="1:9" x14ac:dyDescent="0.3">
      <c r="B15" s="556">
        <v>6</v>
      </c>
      <c r="C15" s="554" t="e">
        <f t="shared" si="0"/>
        <v>#NUM!</v>
      </c>
      <c r="D15" s="554" t="e">
        <f t="shared" si="1"/>
        <v>#NUM!</v>
      </c>
      <c r="E15" s="554" t="e">
        <f t="shared" si="2"/>
        <v>#NUM!</v>
      </c>
      <c r="G15" s="554" t="e">
        <f t="shared" si="3"/>
        <v>#NUM!</v>
      </c>
      <c r="I15"/>
    </row>
    <row r="16" spans="1:9" x14ac:dyDescent="0.3">
      <c r="B16" s="556">
        <v>7</v>
      </c>
      <c r="C16" s="554" t="e">
        <f t="shared" si="0"/>
        <v>#NUM!</v>
      </c>
      <c r="D16" s="554" t="e">
        <f t="shared" si="1"/>
        <v>#NUM!</v>
      </c>
      <c r="E16" s="554" t="e">
        <f t="shared" si="2"/>
        <v>#NUM!</v>
      </c>
      <c r="G16" s="554" t="e">
        <f t="shared" si="3"/>
        <v>#NUM!</v>
      </c>
      <c r="I16"/>
    </row>
    <row r="17" spans="2:9" x14ac:dyDescent="0.3">
      <c r="B17" s="556">
        <v>8</v>
      </c>
      <c r="C17" s="554" t="e">
        <f t="shared" si="0"/>
        <v>#NUM!</v>
      </c>
      <c r="D17" s="554" t="e">
        <f t="shared" si="1"/>
        <v>#NUM!</v>
      </c>
      <c r="E17" s="554" t="e">
        <f t="shared" si="2"/>
        <v>#NUM!</v>
      </c>
      <c r="G17" s="554" t="e">
        <f t="shared" si="3"/>
        <v>#NUM!</v>
      </c>
      <c r="I17"/>
    </row>
    <row r="18" spans="2:9" x14ac:dyDescent="0.3">
      <c r="B18" s="556">
        <v>9</v>
      </c>
      <c r="C18" s="554" t="e">
        <f t="shared" si="0"/>
        <v>#NUM!</v>
      </c>
      <c r="D18" s="554" t="e">
        <f t="shared" si="1"/>
        <v>#NUM!</v>
      </c>
      <c r="E18" s="554" t="e">
        <f t="shared" si="2"/>
        <v>#NUM!</v>
      </c>
      <c r="G18" s="554" t="e">
        <f t="shared" si="3"/>
        <v>#NUM!</v>
      </c>
    </row>
    <row r="19" spans="2:9" x14ac:dyDescent="0.3">
      <c r="B19" s="556">
        <v>10</v>
      </c>
      <c r="C19" s="554" t="e">
        <f t="shared" si="0"/>
        <v>#NUM!</v>
      </c>
      <c r="D19" s="554" t="e">
        <f t="shared" si="1"/>
        <v>#NUM!</v>
      </c>
      <c r="E19" s="554" t="e">
        <f t="shared" si="2"/>
        <v>#NUM!</v>
      </c>
      <c r="G19" s="554" t="e">
        <f t="shared" si="3"/>
        <v>#NUM!</v>
      </c>
    </row>
    <row r="20" spans="2:9" x14ac:dyDescent="0.3">
      <c r="B20" s="556">
        <v>11</v>
      </c>
      <c r="C20" s="554" t="e">
        <f t="shared" si="0"/>
        <v>#NUM!</v>
      </c>
      <c r="D20" s="554" t="e">
        <f t="shared" si="1"/>
        <v>#NUM!</v>
      </c>
      <c r="E20" s="554" t="e">
        <f t="shared" si="2"/>
        <v>#NUM!</v>
      </c>
      <c r="G20" s="554" t="e">
        <f t="shared" si="3"/>
        <v>#NUM!</v>
      </c>
    </row>
    <row r="21" spans="2:9" x14ac:dyDescent="0.3">
      <c r="B21" s="556">
        <v>12</v>
      </c>
      <c r="C21" s="554" t="e">
        <f t="shared" si="0"/>
        <v>#NUM!</v>
      </c>
      <c r="D21" s="554" t="e">
        <f t="shared" si="1"/>
        <v>#NUM!</v>
      </c>
      <c r="E21" s="554" t="e">
        <f t="shared" si="2"/>
        <v>#NUM!</v>
      </c>
      <c r="G21" s="554" t="e">
        <f t="shared" si="3"/>
        <v>#NUM!</v>
      </c>
    </row>
    <row r="22" spans="2:9" x14ac:dyDescent="0.3">
      <c r="B22" s="556">
        <v>13</v>
      </c>
      <c r="C22" s="554" t="e">
        <f t="shared" si="0"/>
        <v>#NUM!</v>
      </c>
      <c r="D22" s="554" t="e">
        <f t="shared" si="1"/>
        <v>#NUM!</v>
      </c>
      <c r="E22" s="554" t="e">
        <f t="shared" si="2"/>
        <v>#NUM!</v>
      </c>
      <c r="G22" s="554" t="e">
        <f t="shared" si="3"/>
        <v>#NUM!</v>
      </c>
    </row>
    <row r="23" spans="2:9" x14ac:dyDescent="0.3">
      <c r="B23" s="556">
        <v>14</v>
      </c>
      <c r="C23" s="554" t="e">
        <f t="shared" si="0"/>
        <v>#NUM!</v>
      </c>
      <c r="D23" s="554" t="e">
        <f t="shared" si="1"/>
        <v>#NUM!</v>
      </c>
      <c r="E23" s="554" t="e">
        <f t="shared" si="2"/>
        <v>#NUM!</v>
      </c>
      <c r="G23" s="554" t="e">
        <f t="shared" si="3"/>
        <v>#NUM!</v>
      </c>
    </row>
    <row r="24" spans="2:9" x14ac:dyDescent="0.3">
      <c r="B24" s="556">
        <v>15</v>
      </c>
      <c r="C24" s="554" t="e">
        <f t="shared" si="0"/>
        <v>#NUM!</v>
      </c>
      <c r="D24" s="554" t="e">
        <f t="shared" si="1"/>
        <v>#NUM!</v>
      </c>
      <c r="E24" s="554" t="e">
        <f t="shared" si="2"/>
        <v>#NUM!</v>
      </c>
      <c r="G24" s="554" t="e">
        <f t="shared" si="3"/>
        <v>#NUM!</v>
      </c>
    </row>
    <row r="25" spans="2:9" x14ac:dyDescent="0.3">
      <c r="B25" s="556">
        <v>16</v>
      </c>
      <c r="C25" s="554" t="e">
        <f t="shared" si="0"/>
        <v>#NUM!</v>
      </c>
      <c r="D25" s="554" t="e">
        <f t="shared" si="1"/>
        <v>#NUM!</v>
      </c>
      <c r="E25" s="554" t="e">
        <f t="shared" si="2"/>
        <v>#NUM!</v>
      </c>
      <c r="G25" s="554" t="e">
        <f t="shared" si="3"/>
        <v>#NUM!</v>
      </c>
    </row>
    <row r="26" spans="2:9" x14ac:dyDescent="0.3">
      <c r="B26" s="556">
        <v>17</v>
      </c>
      <c r="C26" s="554" t="e">
        <f t="shared" si="0"/>
        <v>#NUM!</v>
      </c>
      <c r="D26" s="554" t="e">
        <f t="shared" si="1"/>
        <v>#NUM!</v>
      </c>
      <c r="E26" s="554" t="e">
        <f t="shared" si="2"/>
        <v>#NUM!</v>
      </c>
      <c r="G26" s="554" t="e">
        <f t="shared" si="3"/>
        <v>#NUM!</v>
      </c>
    </row>
    <row r="27" spans="2:9" x14ac:dyDescent="0.3">
      <c r="B27" s="556">
        <v>18</v>
      </c>
      <c r="C27" s="554" t="e">
        <f t="shared" si="0"/>
        <v>#NUM!</v>
      </c>
      <c r="D27" s="554" t="e">
        <f t="shared" si="1"/>
        <v>#NUM!</v>
      </c>
      <c r="E27" s="554" t="e">
        <f t="shared" si="2"/>
        <v>#NUM!</v>
      </c>
      <c r="G27" s="554" t="e">
        <f t="shared" si="3"/>
        <v>#NUM!</v>
      </c>
    </row>
    <row r="28" spans="2:9" x14ac:dyDescent="0.3">
      <c r="B28" s="556">
        <v>19</v>
      </c>
      <c r="C28" s="554" t="e">
        <f t="shared" si="0"/>
        <v>#NUM!</v>
      </c>
      <c r="D28" s="554" t="e">
        <f t="shared" si="1"/>
        <v>#NUM!</v>
      </c>
      <c r="E28" s="554" t="e">
        <f t="shared" si="2"/>
        <v>#NUM!</v>
      </c>
      <c r="G28" s="554" t="e">
        <f t="shared" si="3"/>
        <v>#NUM!</v>
      </c>
    </row>
    <row r="29" spans="2:9" x14ac:dyDescent="0.3">
      <c r="B29" s="556">
        <v>20</v>
      </c>
      <c r="C29" s="554" t="e">
        <f t="shared" si="0"/>
        <v>#NUM!</v>
      </c>
      <c r="D29" s="554" t="e">
        <f t="shared" si="1"/>
        <v>#NUM!</v>
      </c>
      <c r="E29" s="554" t="e">
        <f t="shared" si="2"/>
        <v>#NUM!</v>
      </c>
      <c r="G29" s="554" t="e">
        <f t="shared" si="3"/>
        <v>#NUM!</v>
      </c>
    </row>
    <row r="30" spans="2:9" x14ac:dyDescent="0.3">
      <c r="B30" s="556">
        <v>21</v>
      </c>
      <c r="C30" s="554" t="e">
        <f t="shared" si="0"/>
        <v>#NUM!</v>
      </c>
      <c r="D30" s="554" t="e">
        <f t="shared" si="1"/>
        <v>#NUM!</v>
      </c>
      <c r="E30" s="554" t="e">
        <f t="shared" si="2"/>
        <v>#NUM!</v>
      </c>
      <c r="G30" s="554" t="e">
        <f t="shared" si="3"/>
        <v>#NUM!</v>
      </c>
    </row>
    <row r="31" spans="2:9" x14ac:dyDescent="0.3">
      <c r="B31" s="556">
        <v>22</v>
      </c>
      <c r="C31" s="554" t="e">
        <f t="shared" si="0"/>
        <v>#NUM!</v>
      </c>
      <c r="D31" s="554" t="e">
        <f t="shared" si="1"/>
        <v>#NUM!</v>
      </c>
      <c r="E31" s="554" t="e">
        <f t="shared" si="2"/>
        <v>#NUM!</v>
      </c>
      <c r="G31" s="554" t="e">
        <f t="shared" si="3"/>
        <v>#NUM!</v>
      </c>
    </row>
    <row r="32" spans="2:9" x14ac:dyDescent="0.3">
      <c r="B32" s="556">
        <v>23</v>
      </c>
      <c r="C32" s="554" t="e">
        <f t="shared" si="0"/>
        <v>#NUM!</v>
      </c>
      <c r="D32" s="554" t="e">
        <f t="shared" si="1"/>
        <v>#NUM!</v>
      </c>
      <c r="E32" s="554" t="e">
        <f t="shared" si="2"/>
        <v>#NUM!</v>
      </c>
      <c r="G32" s="554" t="e">
        <f t="shared" si="3"/>
        <v>#NUM!</v>
      </c>
    </row>
    <row r="33" spans="2:7" x14ac:dyDescent="0.3">
      <c r="B33" s="556">
        <v>24</v>
      </c>
      <c r="C33" s="554" t="e">
        <f t="shared" si="0"/>
        <v>#NUM!</v>
      </c>
      <c r="D33" s="554" t="e">
        <f t="shared" si="1"/>
        <v>#NUM!</v>
      </c>
      <c r="E33" s="554" t="e">
        <f t="shared" si="2"/>
        <v>#NUM!</v>
      </c>
      <c r="G33" s="554" t="e">
        <f t="shared" si="3"/>
        <v>#NUM!</v>
      </c>
    </row>
    <row r="34" spans="2:7" x14ac:dyDescent="0.3">
      <c r="B34" s="556">
        <v>25</v>
      </c>
      <c r="C34" s="554" t="e">
        <f t="shared" si="0"/>
        <v>#NUM!</v>
      </c>
      <c r="D34" s="554" t="e">
        <f t="shared" si="1"/>
        <v>#NUM!</v>
      </c>
      <c r="E34" s="554" t="e">
        <f t="shared" si="2"/>
        <v>#NUM!</v>
      </c>
      <c r="G34" s="554" t="e">
        <f t="shared" si="3"/>
        <v>#NUM!</v>
      </c>
    </row>
    <row r="35" spans="2:7" x14ac:dyDescent="0.3">
      <c r="B35" s="556">
        <v>26</v>
      </c>
      <c r="C35" s="554" t="e">
        <f t="shared" si="0"/>
        <v>#NUM!</v>
      </c>
      <c r="D35" s="554" t="e">
        <f t="shared" si="1"/>
        <v>#NUM!</v>
      </c>
      <c r="E35" s="554" t="e">
        <f t="shared" si="2"/>
        <v>#NUM!</v>
      </c>
      <c r="G35" s="554" t="e">
        <f t="shared" si="3"/>
        <v>#NUM!</v>
      </c>
    </row>
    <row r="36" spans="2:7" x14ac:dyDescent="0.3">
      <c r="B36" s="556">
        <v>27</v>
      </c>
      <c r="C36" s="554" t="e">
        <f t="shared" si="0"/>
        <v>#NUM!</v>
      </c>
      <c r="D36" s="554" t="e">
        <f t="shared" si="1"/>
        <v>#NUM!</v>
      </c>
      <c r="E36" s="554" t="e">
        <f t="shared" si="2"/>
        <v>#NUM!</v>
      </c>
      <c r="G36" s="554" t="e">
        <f t="shared" si="3"/>
        <v>#NUM!</v>
      </c>
    </row>
    <row r="37" spans="2:7" x14ac:dyDescent="0.3">
      <c r="B37" s="556">
        <v>28</v>
      </c>
      <c r="C37" s="554" t="e">
        <f t="shared" si="0"/>
        <v>#NUM!</v>
      </c>
      <c r="D37" s="554" t="e">
        <f t="shared" si="1"/>
        <v>#NUM!</v>
      </c>
      <c r="E37" s="554" t="e">
        <f t="shared" si="2"/>
        <v>#NUM!</v>
      </c>
      <c r="G37" s="554" t="e">
        <f t="shared" si="3"/>
        <v>#NUM!</v>
      </c>
    </row>
    <row r="38" spans="2:7" x14ac:dyDescent="0.3">
      <c r="B38" s="556">
        <v>29</v>
      </c>
      <c r="C38" s="554" t="e">
        <f t="shared" si="0"/>
        <v>#NUM!</v>
      </c>
      <c r="D38" s="554" t="e">
        <f t="shared" si="1"/>
        <v>#NUM!</v>
      </c>
      <c r="E38" s="554" t="e">
        <f t="shared" si="2"/>
        <v>#NUM!</v>
      </c>
      <c r="G38" s="554" t="e">
        <f t="shared" si="3"/>
        <v>#NUM!</v>
      </c>
    </row>
    <row r="39" spans="2:7" x14ac:dyDescent="0.3">
      <c r="B39" s="556">
        <v>30</v>
      </c>
      <c r="C39" s="554" t="e">
        <f t="shared" si="0"/>
        <v>#NUM!</v>
      </c>
      <c r="D39" s="554" t="e">
        <f t="shared" si="1"/>
        <v>#NUM!</v>
      </c>
      <c r="E39" s="554" t="e">
        <f t="shared" si="2"/>
        <v>#NUM!</v>
      </c>
      <c r="G39" s="554" t="e">
        <f t="shared" si="3"/>
        <v>#NUM!</v>
      </c>
    </row>
    <row r="40" spans="2:7" x14ac:dyDescent="0.3">
      <c r="B40" s="556">
        <v>31</v>
      </c>
      <c r="C40" s="554" t="e">
        <f t="shared" si="0"/>
        <v>#NUM!</v>
      </c>
      <c r="D40" s="554" t="e">
        <f t="shared" si="1"/>
        <v>#NUM!</v>
      </c>
      <c r="E40" s="554" t="e">
        <f t="shared" si="2"/>
        <v>#NUM!</v>
      </c>
      <c r="G40" s="554" t="e">
        <f t="shared" si="3"/>
        <v>#NUM!</v>
      </c>
    </row>
    <row r="41" spans="2:7" x14ac:dyDescent="0.3">
      <c r="B41" s="556">
        <v>32</v>
      </c>
      <c r="C41" s="554" t="e">
        <f t="shared" si="0"/>
        <v>#NUM!</v>
      </c>
      <c r="D41" s="554" t="e">
        <f t="shared" si="1"/>
        <v>#NUM!</v>
      </c>
      <c r="E41" s="554" t="e">
        <f t="shared" si="2"/>
        <v>#NUM!</v>
      </c>
      <c r="G41" s="554" t="e">
        <f t="shared" si="3"/>
        <v>#NUM!</v>
      </c>
    </row>
    <row r="42" spans="2:7" x14ac:dyDescent="0.3">
      <c r="B42" s="556">
        <v>33</v>
      </c>
      <c r="C42" s="554" t="e">
        <f t="shared" si="0"/>
        <v>#NUM!</v>
      </c>
      <c r="D42" s="554" t="e">
        <f t="shared" si="1"/>
        <v>#NUM!</v>
      </c>
      <c r="E42" s="554" t="e">
        <f t="shared" si="2"/>
        <v>#NUM!</v>
      </c>
      <c r="G42" s="554" t="e">
        <f t="shared" si="3"/>
        <v>#NUM!</v>
      </c>
    </row>
    <row r="43" spans="2:7" x14ac:dyDescent="0.3">
      <c r="B43" s="556">
        <v>34</v>
      </c>
      <c r="C43" s="554" t="e">
        <f t="shared" si="0"/>
        <v>#NUM!</v>
      </c>
      <c r="D43" s="554" t="e">
        <f t="shared" si="1"/>
        <v>#NUM!</v>
      </c>
      <c r="E43" s="554" t="e">
        <f t="shared" si="2"/>
        <v>#NUM!</v>
      </c>
      <c r="G43" s="554" t="e">
        <f t="shared" si="3"/>
        <v>#NUM!</v>
      </c>
    </row>
    <row r="44" spans="2:7" x14ac:dyDescent="0.3">
      <c r="B44" s="556">
        <v>35</v>
      </c>
      <c r="C44" s="554" t="e">
        <f t="shared" si="0"/>
        <v>#NUM!</v>
      </c>
      <c r="D44" s="554" t="e">
        <f t="shared" si="1"/>
        <v>#NUM!</v>
      </c>
      <c r="E44" s="554" t="e">
        <f t="shared" si="2"/>
        <v>#NUM!</v>
      </c>
      <c r="G44" s="554" t="e">
        <f t="shared" si="3"/>
        <v>#NUM!</v>
      </c>
    </row>
    <row r="45" spans="2:7" x14ac:dyDescent="0.3">
      <c r="B45" s="556">
        <v>36</v>
      </c>
      <c r="C45" s="554" t="e">
        <f t="shared" si="0"/>
        <v>#NUM!</v>
      </c>
      <c r="D45" s="554" t="e">
        <f t="shared" si="1"/>
        <v>#NUM!</v>
      </c>
      <c r="E45" s="554" t="e">
        <f t="shared" si="2"/>
        <v>#NUM!</v>
      </c>
      <c r="G45" s="554" t="e">
        <f t="shared" si="3"/>
        <v>#NUM!</v>
      </c>
    </row>
    <row r="46" spans="2:7" x14ac:dyDescent="0.3">
      <c r="B46" s="556">
        <v>37</v>
      </c>
      <c r="C46" s="554" t="e">
        <f t="shared" si="0"/>
        <v>#NUM!</v>
      </c>
      <c r="D46" s="554" t="e">
        <f t="shared" si="1"/>
        <v>#NUM!</v>
      </c>
      <c r="E46" s="554" t="e">
        <f t="shared" si="2"/>
        <v>#NUM!</v>
      </c>
      <c r="G46" s="554" t="e">
        <f t="shared" si="3"/>
        <v>#NUM!</v>
      </c>
    </row>
    <row r="47" spans="2:7" x14ac:dyDescent="0.3">
      <c r="B47" s="556">
        <v>38</v>
      </c>
      <c r="C47" s="554" t="e">
        <f t="shared" si="0"/>
        <v>#NUM!</v>
      </c>
      <c r="D47" s="554" t="e">
        <f t="shared" si="1"/>
        <v>#NUM!</v>
      </c>
      <c r="E47" s="554" t="e">
        <f t="shared" si="2"/>
        <v>#NUM!</v>
      </c>
      <c r="G47" s="554" t="e">
        <f t="shared" si="3"/>
        <v>#NUM!</v>
      </c>
    </row>
    <row r="48" spans="2:7" x14ac:dyDescent="0.3">
      <c r="B48" s="556">
        <v>39</v>
      </c>
      <c r="C48" s="554" t="e">
        <f t="shared" si="0"/>
        <v>#NUM!</v>
      </c>
      <c r="D48" s="554" t="e">
        <f t="shared" si="1"/>
        <v>#NUM!</v>
      </c>
      <c r="E48" s="554" t="e">
        <f t="shared" si="2"/>
        <v>#NUM!</v>
      </c>
      <c r="G48" s="554" t="e">
        <f t="shared" si="3"/>
        <v>#NUM!</v>
      </c>
    </row>
    <row r="49" spans="2:7" x14ac:dyDescent="0.3">
      <c r="B49" s="556">
        <v>40</v>
      </c>
      <c r="C49" s="554" t="e">
        <f t="shared" si="0"/>
        <v>#NUM!</v>
      </c>
      <c r="D49" s="554" t="e">
        <f t="shared" si="1"/>
        <v>#NUM!</v>
      </c>
      <c r="E49" s="554" t="e">
        <f t="shared" si="2"/>
        <v>#NUM!</v>
      </c>
      <c r="G49" s="554" t="e">
        <f t="shared" si="3"/>
        <v>#NUM!</v>
      </c>
    </row>
    <row r="50" spans="2:7" x14ac:dyDescent="0.3">
      <c r="B50" s="556">
        <v>41</v>
      </c>
      <c r="C50" s="554" t="e">
        <f t="shared" si="0"/>
        <v>#NUM!</v>
      </c>
      <c r="D50" s="554" t="e">
        <f t="shared" si="1"/>
        <v>#NUM!</v>
      </c>
      <c r="E50" s="554" t="e">
        <f t="shared" si="2"/>
        <v>#NUM!</v>
      </c>
      <c r="G50" s="554" t="e">
        <f t="shared" si="3"/>
        <v>#NUM!</v>
      </c>
    </row>
    <row r="51" spans="2:7" x14ac:dyDescent="0.3">
      <c r="B51" s="556">
        <v>42</v>
      </c>
      <c r="C51" s="554" t="e">
        <f t="shared" si="0"/>
        <v>#NUM!</v>
      </c>
      <c r="D51" s="554" t="e">
        <f t="shared" si="1"/>
        <v>#NUM!</v>
      </c>
      <c r="E51" s="554" t="e">
        <f t="shared" si="2"/>
        <v>#NUM!</v>
      </c>
      <c r="G51" s="554" t="e">
        <f t="shared" si="3"/>
        <v>#NUM!</v>
      </c>
    </row>
    <row r="52" spans="2:7" x14ac:dyDescent="0.3">
      <c r="B52" s="556">
        <v>43</v>
      </c>
      <c r="C52" s="554" t="e">
        <f t="shared" si="0"/>
        <v>#NUM!</v>
      </c>
      <c r="D52" s="554" t="e">
        <f t="shared" si="1"/>
        <v>#NUM!</v>
      </c>
      <c r="E52" s="554" t="e">
        <f t="shared" si="2"/>
        <v>#NUM!</v>
      </c>
      <c r="G52" s="554" t="e">
        <f t="shared" si="3"/>
        <v>#NUM!</v>
      </c>
    </row>
    <row r="53" spans="2:7" x14ac:dyDescent="0.3">
      <c r="B53" s="556">
        <v>44</v>
      </c>
      <c r="C53" s="554" t="e">
        <f t="shared" si="0"/>
        <v>#NUM!</v>
      </c>
      <c r="D53" s="554" t="e">
        <f t="shared" si="1"/>
        <v>#NUM!</v>
      </c>
      <c r="E53" s="554" t="e">
        <f t="shared" si="2"/>
        <v>#NUM!</v>
      </c>
      <c r="G53" s="554" t="e">
        <f t="shared" si="3"/>
        <v>#NUM!</v>
      </c>
    </row>
    <row r="54" spans="2:7" x14ac:dyDescent="0.3">
      <c r="B54" s="556">
        <v>45</v>
      </c>
      <c r="C54" s="554" t="e">
        <f t="shared" si="0"/>
        <v>#NUM!</v>
      </c>
      <c r="D54" s="554" t="e">
        <f t="shared" si="1"/>
        <v>#NUM!</v>
      </c>
      <c r="E54" s="554" t="e">
        <f t="shared" si="2"/>
        <v>#NUM!</v>
      </c>
      <c r="G54" s="554" t="e">
        <f t="shared" si="3"/>
        <v>#NUM!</v>
      </c>
    </row>
    <row r="55" spans="2:7" x14ac:dyDescent="0.3">
      <c r="B55" s="556">
        <v>46</v>
      </c>
      <c r="C55" s="554" t="e">
        <f t="shared" si="0"/>
        <v>#NUM!</v>
      </c>
      <c r="D55" s="554" t="e">
        <f t="shared" si="1"/>
        <v>#NUM!</v>
      </c>
      <c r="E55" s="554" t="e">
        <f t="shared" si="2"/>
        <v>#NUM!</v>
      </c>
      <c r="G55" s="554" t="e">
        <f t="shared" si="3"/>
        <v>#NUM!</v>
      </c>
    </row>
    <row r="56" spans="2:7" x14ac:dyDescent="0.3">
      <c r="B56" s="556">
        <v>47</v>
      </c>
      <c r="C56" s="554" t="e">
        <f t="shared" si="0"/>
        <v>#NUM!</v>
      </c>
      <c r="D56" s="554" t="e">
        <f t="shared" si="1"/>
        <v>#NUM!</v>
      </c>
      <c r="E56" s="554" t="e">
        <f t="shared" si="2"/>
        <v>#NUM!</v>
      </c>
      <c r="G56" s="554" t="e">
        <f t="shared" si="3"/>
        <v>#NUM!</v>
      </c>
    </row>
    <row r="57" spans="2:7" x14ac:dyDescent="0.3">
      <c r="B57" s="556">
        <v>48</v>
      </c>
      <c r="C57" s="554" t="e">
        <f t="shared" si="0"/>
        <v>#NUM!</v>
      </c>
      <c r="D57" s="554" t="e">
        <f t="shared" si="1"/>
        <v>#NUM!</v>
      </c>
      <c r="E57" s="554" t="e">
        <f t="shared" si="2"/>
        <v>#NUM!</v>
      </c>
      <c r="G57" s="554" t="e">
        <f t="shared" si="3"/>
        <v>#NUM!</v>
      </c>
    </row>
    <row r="58" spans="2:7" x14ac:dyDescent="0.3">
      <c r="B58" s="556">
        <v>49</v>
      </c>
      <c r="C58" s="554" t="e">
        <f t="shared" si="0"/>
        <v>#NUM!</v>
      </c>
      <c r="D58" s="554" t="e">
        <f t="shared" si="1"/>
        <v>#NUM!</v>
      </c>
      <c r="E58" s="554" t="e">
        <f t="shared" si="2"/>
        <v>#NUM!</v>
      </c>
      <c r="G58" s="554" t="e">
        <f t="shared" si="3"/>
        <v>#NUM!</v>
      </c>
    </row>
    <row r="59" spans="2:7" x14ac:dyDescent="0.3">
      <c r="B59" s="556">
        <v>50</v>
      </c>
      <c r="C59" s="554" t="e">
        <f t="shared" si="0"/>
        <v>#NUM!</v>
      </c>
      <c r="D59" s="554" t="e">
        <f t="shared" si="1"/>
        <v>#NUM!</v>
      </c>
      <c r="E59" s="554" t="e">
        <f t="shared" si="2"/>
        <v>#NUM!</v>
      </c>
      <c r="G59" s="554" t="e">
        <f t="shared" si="3"/>
        <v>#NUM!</v>
      </c>
    </row>
    <row r="60" spans="2:7" x14ac:dyDescent="0.3">
      <c r="B60" s="556">
        <v>51</v>
      </c>
      <c r="C60" s="554" t="e">
        <f t="shared" si="0"/>
        <v>#NUM!</v>
      </c>
      <c r="D60" s="554" t="e">
        <f t="shared" si="1"/>
        <v>#NUM!</v>
      </c>
      <c r="E60" s="554" t="e">
        <f t="shared" si="2"/>
        <v>#NUM!</v>
      </c>
      <c r="G60" s="554" t="e">
        <f t="shared" si="3"/>
        <v>#NUM!</v>
      </c>
    </row>
    <row r="61" spans="2:7" x14ac:dyDescent="0.3">
      <c r="B61" s="556">
        <v>52</v>
      </c>
      <c r="C61" s="554" t="e">
        <f t="shared" si="0"/>
        <v>#NUM!</v>
      </c>
      <c r="D61" s="554" t="e">
        <f t="shared" si="1"/>
        <v>#NUM!</v>
      </c>
      <c r="E61" s="554" t="e">
        <f t="shared" si="2"/>
        <v>#NUM!</v>
      </c>
      <c r="G61" s="554" t="e">
        <f t="shared" si="3"/>
        <v>#NUM!</v>
      </c>
    </row>
    <row r="62" spans="2:7" x14ac:dyDescent="0.3">
      <c r="B62" s="556">
        <v>53</v>
      </c>
      <c r="C62" s="554" t="e">
        <f t="shared" si="0"/>
        <v>#NUM!</v>
      </c>
      <c r="D62" s="554" t="e">
        <f t="shared" si="1"/>
        <v>#NUM!</v>
      </c>
      <c r="E62" s="554" t="e">
        <f t="shared" si="2"/>
        <v>#NUM!</v>
      </c>
      <c r="G62" s="554" t="e">
        <f t="shared" si="3"/>
        <v>#NUM!</v>
      </c>
    </row>
    <row r="63" spans="2:7" x14ac:dyDescent="0.3">
      <c r="B63" s="556">
        <v>54</v>
      </c>
      <c r="C63" s="554" t="e">
        <f t="shared" si="0"/>
        <v>#NUM!</v>
      </c>
      <c r="D63" s="554" t="e">
        <f t="shared" si="1"/>
        <v>#NUM!</v>
      </c>
      <c r="E63" s="554" t="e">
        <f t="shared" si="2"/>
        <v>#NUM!</v>
      </c>
      <c r="G63" s="554" t="e">
        <f t="shared" si="3"/>
        <v>#NUM!</v>
      </c>
    </row>
    <row r="64" spans="2:7" x14ac:dyDescent="0.3">
      <c r="B64" s="556">
        <v>55</v>
      </c>
      <c r="C64" s="554" t="e">
        <f t="shared" si="0"/>
        <v>#NUM!</v>
      </c>
      <c r="D64" s="554" t="e">
        <f t="shared" si="1"/>
        <v>#NUM!</v>
      </c>
      <c r="E64" s="554" t="e">
        <f t="shared" si="2"/>
        <v>#NUM!</v>
      </c>
      <c r="G64" s="554" t="e">
        <f t="shared" si="3"/>
        <v>#NUM!</v>
      </c>
    </row>
    <row r="65" spans="2:7" x14ac:dyDescent="0.3">
      <c r="B65" s="556">
        <v>56</v>
      </c>
      <c r="C65" s="554" t="e">
        <f t="shared" si="0"/>
        <v>#NUM!</v>
      </c>
      <c r="D65" s="554" t="e">
        <f t="shared" si="1"/>
        <v>#NUM!</v>
      </c>
      <c r="E65" s="554" t="e">
        <f t="shared" si="2"/>
        <v>#NUM!</v>
      </c>
      <c r="G65" s="554" t="e">
        <f t="shared" si="3"/>
        <v>#NUM!</v>
      </c>
    </row>
    <row r="66" spans="2:7" x14ac:dyDescent="0.3">
      <c r="B66" s="556">
        <v>57</v>
      </c>
      <c r="C66" s="554" t="e">
        <f t="shared" si="0"/>
        <v>#NUM!</v>
      </c>
      <c r="D66" s="554" t="e">
        <f t="shared" si="1"/>
        <v>#NUM!</v>
      </c>
      <c r="E66" s="554" t="e">
        <f t="shared" si="2"/>
        <v>#NUM!</v>
      </c>
      <c r="G66" s="554" t="e">
        <f t="shared" si="3"/>
        <v>#NUM!</v>
      </c>
    </row>
    <row r="67" spans="2:7" x14ac:dyDescent="0.3">
      <c r="B67" s="556">
        <v>58</v>
      </c>
      <c r="C67" s="554" t="e">
        <f t="shared" si="0"/>
        <v>#NUM!</v>
      </c>
      <c r="D67" s="554" t="e">
        <f t="shared" si="1"/>
        <v>#NUM!</v>
      </c>
      <c r="E67" s="554" t="e">
        <f t="shared" si="2"/>
        <v>#NUM!</v>
      </c>
      <c r="G67" s="554" t="e">
        <f t="shared" si="3"/>
        <v>#NUM!</v>
      </c>
    </row>
    <row r="68" spans="2:7" x14ac:dyDescent="0.3">
      <c r="B68" s="556">
        <v>59</v>
      </c>
      <c r="C68" s="554" t="e">
        <f t="shared" si="0"/>
        <v>#NUM!</v>
      </c>
      <c r="D68" s="554" t="e">
        <f t="shared" si="1"/>
        <v>#NUM!</v>
      </c>
      <c r="E68" s="554" t="e">
        <f t="shared" si="2"/>
        <v>#NUM!</v>
      </c>
      <c r="G68" s="554" t="e">
        <f t="shared" si="3"/>
        <v>#NUM!</v>
      </c>
    </row>
    <row r="69" spans="2:7" x14ac:dyDescent="0.3">
      <c r="B69" s="556">
        <v>60</v>
      </c>
      <c r="C69" s="554" t="e">
        <f t="shared" si="0"/>
        <v>#NUM!</v>
      </c>
      <c r="D69" s="554" t="e">
        <f t="shared" si="1"/>
        <v>#NUM!</v>
      </c>
      <c r="E69" s="554" t="e">
        <f t="shared" si="2"/>
        <v>#NUM!</v>
      </c>
      <c r="G69" s="554" t="e">
        <f t="shared" si="3"/>
        <v>#NUM!</v>
      </c>
    </row>
    <row r="70" spans="2:7" x14ac:dyDescent="0.3">
      <c r="B70" s="556">
        <v>61</v>
      </c>
      <c r="C70" s="554" t="e">
        <f t="shared" si="0"/>
        <v>#NUM!</v>
      </c>
      <c r="D70" s="554" t="e">
        <f t="shared" si="1"/>
        <v>#NUM!</v>
      </c>
      <c r="E70" s="554" t="e">
        <f t="shared" si="2"/>
        <v>#NUM!</v>
      </c>
      <c r="G70" s="554" t="e">
        <f t="shared" si="3"/>
        <v>#NUM!</v>
      </c>
    </row>
    <row r="71" spans="2:7" x14ac:dyDescent="0.3">
      <c r="B71" s="556">
        <v>62</v>
      </c>
      <c r="C71" s="554" t="e">
        <f t="shared" si="0"/>
        <v>#NUM!</v>
      </c>
      <c r="D71" s="554" t="e">
        <f t="shared" si="1"/>
        <v>#NUM!</v>
      </c>
      <c r="E71" s="554" t="e">
        <f t="shared" si="2"/>
        <v>#NUM!</v>
      </c>
      <c r="G71" s="554" t="e">
        <f t="shared" si="3"/>
        <v>#NUM!</v>
      </c>
    </row>
    <row r="72" spans="2:7" x14ac:dyDescent="0.3">
      <c r="B72" s="556">
        <v>63</v>
      </c>
      <c r="C72" s="554" t="e">
        <f t="shared" si="0"/>
        <v>#NUM!</v>
      </c>
      <c r="D72" s="554" t="e">
        <f t="shared" si="1"/>
        <v>#NUM!</v>
      </c>
      <c r="E72" s="554" t="e">
        <f t="shared" si="2"/>
        <v>#NUM!</v>
      </c>
      <c r="G72" s="554" t="e">
        <f t="shared" si="3"/>
        <v>#NUM!</v>
      </c>
    </row>
    <row r="73" spans="2:7" x14ac:dyDescent="0.3">
      <c r="B73" s="556">
        <v>64</v>
      </c>
      <c r="C73" s="554" t="e">
        <f t="shared" si="0"/>
        <v>#NUM!</v>
      </c>
      <c r="D73" s="554" t="e">
        <f t="shared" si="1"/>
        <v>#NUM!</v>
      </c>
      <c r="E73" s="554" t="e">
        <f t="shared" si="2"/>
        <v>#NUM!</v>
      </c>
      <c r="G73" s="554" t="e">
        <f t="shared" si="3"/>
        <v>#NUM!</v>
      </c>
    </row>
    <row r="74" spans="2:7" x14ac:dyDescent="0.3">
      <c r="B74" s="556">
        <v>65</v>
      </c>
      <c r="C74" s="554" t="e">
        <f t="shared" ref="C74:C137" si="4">IF($C$3&lt;G74+(G74*($C$4/$C$6)),$C$3,G74+(G74*($C$4/$C$6)))</f>
        <v>#NUM!</v>
      </c>
      <c r="D74" s="554" t="e">
        <f t="shared" ref="D74:D137" si="5">G74*$C$4/$C$6</f>
        <v>#NUM!</v>
      </c>
      <c r="E74" s="554" t="e">
        <f t="shared" ref="E74:E137" si="6">C74-D74</f>
        <v>#NUM!</v>
      </c>
      <c r="G74" s="554" t="e">
        <f t="shared" si="3"/>
        <v>#NUM!</v>
      </c>
    </row>
    <row r="75" spans="2:7" x14ac:dyDescent="0.3">
      <c r="B75" s="556">
        <v>66</v>
      </c>
      <c r="C75" s="554" t="e">
        <f t="shared" si="4"/>
        <v>#NUM!</v>
      </c>
      <c r="D75" s="554" t="e">
        <f t="shared" si="5"/>
        <v>#NUM!</v>
      </c>
      <c r="E75" s="554" t="e">
        <f t="shared" si="6"/>
        <v>#NUM!</v>
      </c>
      <c r="G75" s="554" t="e">
        <f t="shared" ref="G75:G138" si="7">G74-E74-F74</f>
        <v>#NUM!</v>
      </c>
    </row>
    <row r="76" spans="2:7" x14ac:dyDescent="0.3">
      <c r="B76" s="556">
        <v>67</v>
      </c>
      <c r="C76" s="554" t="e">
        <f t="shared" si="4"/>
        <v>#NUM!</v>
      </c>
      <c r="D76" s="554" t="e">
        <f t="shared" si="5"/>
        <v>#NUM!</v>
      </c>
      <c r="E76" s="554" t="e">
        <f t="shared" si="6"/>
        <v>#NUM!</v>
      </c>
      <c r="G76" s="554" t="e">
        <f t="shared" si="7"/>
        <v>#NUM!</v>
      </c>
    </row>
    <row r="77" spans="2:7" x14ac:dyDescent="0.3">
      <c r="B77" s="556">
        <v>68</v>
      </c>
      <c r="C77" s="554" t="e">
        <f t="shared" si="4"/>
        <v>#NUM!</v>
      </c>
      <c r="D77" s="554" t="e">
        <f t="shared" si="5"/>
        <v>#NUM!</v>
      </c>
      <c r="E77" s="554" t="e">
        <f t="shared" si="6"/>
        <v>#NUM!</v>
      </c>
      <c r="G77" s="554" t="e">
        <f t="shared" si="7"/>
        <v>#NUM!</v>
      </c>
    </row>
    <row r="78" spans="2:7" x14ac:dyDescent="0.3">
      <c r="B78" s="556">
        <v>69</v>
      </c>
      <c r="C78" s="554" t="e">
        <f t="shared" si="4"/>
        <v>#NUM!</v>
      </c>
      <c r="D78" s="554" t="e">
        <f t="shared" si="5"/>
        <v>#NUM!</v>
      </c>
      <c r="E78" s="554" t="e">
        <f t="shared" si="6"/>
        <v>#NUM!</v>
      </c>
      <c r="G78" s="554" t="e">
        <f t="shared" si="7"/>
        <v>#NUM!</v>
      </c>
    </row>
    <row r="79" spans="2:7" x14ac:dyDescent="0.3">
      <c r="B79" s="556">
        <v>70</v>
      </c>
      <c r="C79" s="554" t="e">
        <f t="shared" si="4"/>
        <v>#NUM!</v>
      </c>
      <c r="D79" s="554" t="e">
        <f t="shared" si="5"/>
        <v>#NUM!</v>
      </c>
      <c r="E79" s="554" t="e">
        <f t="shared" si="6"/>
        <v>#NUM!</v>
      </c>
      <c r="G79" s="554" t="e">
        <f t="shared" si="7"/>
        <v>#NUM!</v>
      </c>
    </row>
    <row r="80" spans="2:7" x14ac:dyDescent="0.3">
      <c r="B80" s="556">
        <v>71</v>
      </c>
      <c r="C80" s="554" t="e">
        <f t="shared" si="4"/>
        <v>#NUM!</v>
      </c>
      <c r="D80" s="554" t="e">
        <f t="shared" si="5"/>
        <v>#NUM!</v>
      </c>
      <c r="E80" s="554" t="e">
        <f t="shared" si="6"/>
        <v>#NUM!</v>
      </c>
      <c r="G80" s="554" t="e">
        <f t="shared" si="7"/>
        <v>#NUM!</v>
      </c>
    </row>
    <row r="81" spans="2:7" x14ac:dyDescent="0.3">
      <c r="B81" s="556">
        <v>72</v>
      </c>
      <c r="C81" s="554" t="e">
        <f t="shared" si="4"/>
        <v>#NUM!</v>
      </c>
      <c r="D81" s="554" t="e">
        <f t="shared" si="5"/>
        <v>#NUM!</v>
      </c>
      <c r="E81" s="554" t="e">
        <f t="shared" si="6"/>
        <v>#NUM!</v>
      </c>
      <c r="G81" s="554" t="e">
        <f t="shared" si="7"/>
        <v>#NUM!</v>
      </c>
    </row>
    <row r="82" spans="2:7" x14ac:dyDescent="0.3">
      <c r="B82" s="556">
        <v>73</v>
      </c>
      <c r="C82" s="554" t="e">
        <f t="shared" si="4"/>
        <v>#NUM!</v>
      </c>
      <c r="D82" s="554" t="e">
        <f t="shared" si="5"/>
        <v>#NUM!</v>
      </c>
      <c r="E82" s="554" t="e">
        <f t="shared" si="6"/>
        <v>#NUM!</v>
      </c>
      <c r="G82" s="554" t="e">
        <f t="shared" si="7"/>
        <v>#NUM!</v>
      </c>
    </row>
    <row r="83" spans="2:7" x14ac:dyDescent="0.3">
      <c r="B83" s="556">
        <v>74</v>
      </c>
      <c r="C83" s="554" t="e">
        <f t="shared" si="4"/>
        <v>#NUM!</v>
      </c>
      <c r="D83" s="554" t="e">
        <f t="shared" si="5"/>
        <v>#NUM!</v>
      </c>
      <c r="E83" s="554" t="e">
        <f t="shared" si="6"/>
        <v>#NUM!</v>
      </c>
      <c r="G83" s="554" t="e">
        <f t="shared" si="7"/>
        <v>#NUM!</v>
      </c>
    </row>
    <row r="84" spans="2:7" x14ac:dyDescent="0.3">
      <c r="B84" s="556">
        <v>75</v>
      </c>
      <c r="C84" s="554" t="e">
        <f t="shared" si="4"/>
        <v>#NUM!</v>
      </c>
      <c r="D84" s="554" t="e">
        <f t="shared" si="5"/>
        <v>#NUM!</v>
      </c>
      <c r="E84" s="554" t="e">
        <f t="shared" si="6"/>
        <v>#NUM!</v>
      </c>
      <c r="G84" s="554" t="e">
        <f t="shared" si="7"/>
        <v>#NUM!</v>
      </c>
    </row>
    <row r="85" spans="2:7" x14ac:dyDescent="0.3">
      <c r="B85" s="556">
        <v>76</v>
      </c>
      <c r="C85" s="554" t="e">
        <f t="shared" si="4"/>
        <v>#NUM!</v>
      </c>
      <c r="D85" s="554" t="e">
        <f t="shared" si="5"/>
        <v>#NUM!</v>
      </c>
      <c r="E85" s="554" t="e">
        <f t="shared" si="6"/>
        <v>#NUM!</v>
      </c>
      <c r="G85" s="554" t="e">
        <f t="shared" si="7"/>
        <v>#NUM!</v>
      </c>
    </row>
    <row r="86" spans="2:7" x14ac:dyDescent="0.3">
      <c r="B86" s="556">
        <v>77</v>
      </c>
      <c r="C86" s="554" t="e">
        <f t="shared" si="4"/>
        <v>#NUM!</v>
      </c>
      <c r="D86" s="554" t="e">
        <f t="shared" si="5"/>
        <v>#NUM!</v>
      </c>
      <c r="E86" s="554" t="e">
        <f t="shared" si="6"/>
        <v>#NUM!</v>
      </c>
      <c r="G86" s="554" t="e">
        <f t="shared" si="7"/>
        <v>#NUM!</v>
      </c>
    </row>
    <row r="87" spans="2:7" x14ac:dyDescent="0.3">
      <c r="B87" s="556">
        <v>78</v>
      </c>
      <c r="C87" s="554" t="e">
        <f t="shared" si="4"/>
        <v>#NUM!</v>
      </c>
      <c r="D87" s="554" t="e">
        <f t="shared" si="5"/>
        <v>#NUM!</v>
      </c>
      <c r="E87" s="554" t="e">
        <f t="shared" si="6"/>
        <v>#NUM!</v>
      </c>
      <c r="G87" s="554" t="e">
        <f t="shared" si="7"/>
        <v>#NUM!</v>
      </c>
    </row>
    <row r="88" spans="2:7" x14ac:dyDescent="0.3">
      <c r="B88" s="556">
        <v>79</v>
      </c>
      <c r="C88" s="554" t="e">
        <f t="shared" si="4"/>
        <v>#NUM!</v>
      </c>
      <c r="D88" s="554" t="e">
        <f t="shared" si="5"/>
        <v>#NUM!</v>
      </c>
      <c r="E88" s="554" t="e">
        <f t="shared" si="6"/>
        <v>#NUM!</v>
      </c>
      <c r="G88" s="554" t="e">
        <f t="shared" si="7"/>
        <v>#NUM!</v>
      </c>
    </row>
    <row r="89" spans="2:7" x14ac:dyDescent="0.3">
      <c r="B89" s="556">
        <v>80</v>
      </c>
      <c r="C89" s="554" t="e">
        <f t="shared" si="4"/>
        <v>#NUM!</v>
      </c>
      <c r="D89" s="554" t="e">
        <f t="shared" si="5"/>
        <v>#NUM!</v>
      </c>
      <c r="E89" s="554" t="e">
        <f t="shared" si="6"/>
        <v>#NUM!</v>
      </c>
      <c r="G89" s="554" t="e">
        <f t="shared" si="7"/>
        <v>#NUM!</v>
      </c>
    </row>
    <row r="90" spans="2:7" x14ac:dyDescent="0.3">
      <c r="B90" s="556">
        <v>81</v>
      </c>
      <c r="C90" s="554" t="e">
        <f t="shared" si="4"/>
        <v>#NUM!</v>
      </c>
      <c r="D90" s="554" t="e">
        <f t="shared" si="5"/>
        <v>#NUM!</v>
      </c>
      <c r="E90" s="554" t="e">
        <f t="shared" si="6"/>
        <v>#NUM!</v>
      </c>
      <c r="G90" s="554" t="e">
        <f t="shared" si="7"/>
        <v>#NUM!</v>
      </c>
    </row>
    <row r="91" spans="2:7" x14ac:dyDescent="0.3">
      <c r="B91" s="556">
        <v>82</v>
      </c>
      <c r="C91" s="554" t="e">
        <f t="shared" si="4"/>
        <v>#NUM!</v>
      </c>
      <c r="D91" s="554" t="e">
        <f t="shared" si="5"/>
        <v>#NUM!</v>
      </c>
      <c r="E91" s="554" t="e">
        <f t="shared" si="6"/>
        <v>#NUM!</v>
      </c>
      <c r="G91" s="554" t="e">
        <f t="shared" si="7"/>
        <v>#NUM!</v>
      </c>
    </row>
    <row r="92" spans="2:7" x14ac:dyDescent="0.3">
      <c r="B92" s="556">
        <v>83</v>
      </c>
      <c r="C92" s="554" t="e">
        <f t="shared" si="4"/>
        <v>#NUM!</v>
      </c>
      <c r="D92" s="554" t="e">
        <f t="shared" si="5"/>
        <v>#NUM!</v>
      </c>
      <c r="E92" s="554" t="e">
        <f t="shared" si="6"/>
        <v>#NUM!</v>
      </c>
      <c r="G92" s="554" t="e">
        <f t="shared" si="7"/>
        <v>#NUM!</v>
      </c>
    </row>
    <row r="93" spans="2:7" x14ac:dyDescent="0.3">
      <c r="B93" s="556">
        <v>84</v>
      </c>
      <c r="C93" s="554" t="e">
        <f t="shared" si="4"/>
        <v>#NUM!</v>
      </c>
      <c r="D93" s="554" t="e">
        <f t="shared" si="5"/>
        <v>#NUM!</v>
      </c>
      <c r="E93" s="554" t="e">
        <f t="shared" si="6"/>
        <v>#NUM!</v>
      </c>
      <c r="G93" s="554" t="e">
        <f t="shared" si="7"/>
        <v>#NUM!</v>
      </c>
    </row>
    <row r="94" spans="2:7" x14ac:dyDescent="0.3">
      <c r="B94" s="556">
        <v>85</v>
      </c>
      <c r="C94" s="554" t="e">
        <f t="shared" si="4"/>
        <v>#NUM!</v>
      </c>
      <c r="D94" s="554" t="e">
        <f t="shared" si="5"/>
        <v>#NUM!</v>
      </c>
      <c r="E94" s="554" t="e">
        <f t="shared" si="6"/>
        <v>#NUM!</v>
      </c>
      <c r="G94" s="554" t="e">
        <f t="shared" si="7"/>
        <v>#NUM!</v>
      </c>
    </row>
    <row r="95" spans="2:7" x14ac:dyDescent="0.3">
      <c r="B95" s="556">
        <v>86</v>
      </c>
      <c r="C95" s="554" t="e">
        <f t="shared" si="4"/>
        <v>#NUM!</v>
      </c>
      <c r="D95" s="554" t="e">
        <f t="shared" si="5"/>
        <v>#NUM!</v>
      </c>
      <c r="E95" s="554" t="e">
        <f t="shared" si="6"/>
        <v>#NUM!</v>
      </c>
      <c r="G95" s="554" t="e">
        <f t="shared" si="7"/>
        <v>#NUM!</v>
      </c>
    </row>
    <row r="96" spans="2:7" x14ac:dyDescent="0.3">
      <c r="B96" s="556">
        <v>87</v>
      </c>
      <c r="C96" s="554" t="e">
        <f t="shared" si="4"/>
        <v>#NUM!</v>
      </c>
      <c r="D96" s="554" t="e">
        <f t="shared" si="5"/>
        <v>#NUM!</v>
      </c>
      <c r="E96" s="554" t="e">
        <f t="shared" si="6"/>
        <v>#NUM!</v>
      </c>
      <c r="G96" s="554" t="e">
        <f t="shared" si="7"/>
        <v>#NUM!</v>
      </c>
    </row>
    <row r="97" spans="2:7" x14ac:dyDescent="0.3">
      <c r="B97" s="556">
        <v>88</v>
      </c>
      <c r="C97" s="554" t="e">
        <f t="shared" si="4"/>
        <v>#NUM!</v>
      </c>
      <c r="D97" s="554" t="e">
        <f t="shared" si="5"/>
        <v>#NUM!</v>
      </c>
      <c r="E97" s="554" t="e">
        <f t="shared" si="6"/>
        <v>#NUM!</v>
      </c>
      <c r="G97" s="554" t="e">
        <f t="shared" si="7"/>
        <v>#NUM!</v>
      </c>
    </row>
    <row r="98" spans="2:7" x14ac:dyDescent="0.3">
      <c r="B98" s="556">
        <v>89</v>
      </c>
      <c r="C98" s="554" t="e">
        <f t="shared" si="4"/>
        <v>#NUM!</v>
      </c>
      <c r="D98" s="554" t="e">
        <f t="shared" si="5"/>
        <v>#NUM!</v>
      </c>
      <c r="E98" s="554" t="e">
        <f t="shared" si="6"/>
        <v>#NUM!</v>
      </c>
      <c r="G98" s="554" t="e">
        <f t="shared" si="7"/>
        <v>#NUM!</v>
      </c>
    </row>
    <row r="99" spans="2:7" x14ac:dyDescent="0.3">
      <c r="B99" s="556">
        <v>90</v>
      </c>
      <c r="C99" s="554" t="e">
        <f t="shared" si="4"/>
        <v>#NUM!</v>
      </c>
      <c r="D99" s="554" t="e">
        <f t="shared" si="5"/>
        <v>#NUM!</v>
      </c>
      <c r="E99" s="554" t="e">
        <f t="shared" si="6"/>
        <v>#NUM!</v>
      </c>
      <c r="G99" s="554" t="e">
        <f t="shared" si="7"/>
        <v>#NUM!</v>
      </c>
    </row>
    <row r="100" spans="2:7" x14ac:dyDescent="0.3">
      <c r="B100" s="556">
        <v>91</v>
      </c>
      <c r="C100" s="554" t="e">
        <f t="shared" si="4"/>
        <v>#NUM!</v>
      </c>
      <c r="D100" s="554" t="e">
        <f t="shared" si="5"/>
        <v>#NUM!</v>
      </c>
      <c r="E100" s="554" t="e">
        <f t="shared" si="6"/>
        <v>#NUM!</v>
      </c>
      <c r="G100" s="554" t="e">
        <f t="shared" si="7"/>
        <v>#NUM!</v>
      </c>
    </row>
    <row r="101" spans="2:7" x14ac:dyDescent="0.3">
      <c r="B101" s="556">
        <v>92</v>
      </c>
      <c r="C101" s="554" t="e">
        <f t="shared" si="4"/>
        <v>#NUM!</v>
      </c>
      <c r="D101" s="554" t="e">
        <f t="shared" si="5"/>
        <v>#NUM!</v>
      </c>
      <c r="E101" s="554" t="e">
        <f t="shared" si="6"/>
        <v>#NUM!</v>
      </c>
      <c r="G101" s="554" t="e">
        <f t="shared" si="7"/>
        <v>#NUM!</v>
      </c>
    </row>
    <row r="102" spans="2:7" x14ac:dyDescent="0.3">
      <c r="B102" s="556">
        <v>93</v>
      </c>
      <c r="C102" s="554" t="e">
        <f t="shared" si="4"/>
        <v>#NUM!</v>
      </c>
      <c r="D102" s="554" t="e">
        <f t="shared" si="5"/>
        <v>#NUM!</v>
      </c>
      <c r="E102" s="554" t="e">
        <f t="shared" si="6"/>
        <v>#NUM!</v>
      </c>
      <c r="G102" s="554" t="e">
        <f t="shared" si="7"/>
        <v>#NUM!</v>
      </c>
    </row>
    <row r="103" spans="2:7" x14ac:dyDescent="0.3">
      <c r="B103" s="556">
        <v>94</v>
      </c>
      <c r="C103" s="554" t="e">
        <f t="shared" si="4"/>
        <v>#NUM!</v>
      </c>
      <c r="D103" s="554" t="e">
        <f t="shared" si="5"/>
        <v>#NUM!</v>
      </c>
      <c r="E103" s="554" t="e">
        <f t="shared" si="6"/>
        <v>#NUM!</v>
      </c>
      <c r="G103" s="554" t="e">
        <f t="shared" si="7"/>
        <v>#NUM!</v>
      </c>
    </row>
    <row r="104" spans="2:7" x14ac:dyDescent="0.3">
      <c r="B104" s="556">
        <v>95</v>
      </c>
      <c r="C104" s="554" t="e">
        <f t="shared" si="4"/>
        <v>#NUM!</v>
      </c>
      <c r="D104" s="554" t="e">
        <f t="shared" si="5"/>
        <v>#NUM!</v>
      </c>
      <c r="E104" s="554" t="e">
        <f t="shared" si="6"/>
        <v>#NUM!</v>
      </c>
      <c r="G104" s="554" t="e">
        <f t="shared" si="7"/>
        <v>#NUM!</v>
      </c>
    </row>
    <row r="105" spans="2:7" x14ac:dyDescent="0.3">
      <c r="B105" s="556">
        <v>96</v>
      </c>
      <c r="C105" s="554" t="e">
        <f t="shared" si="4"/>
        <v>#NUM!</v>
      </c>
      <c r="D105" s="554" t="e">
        <f t="shared" si="5"/>
        <v>#NUM!</v>
      </c>
      <c r="E105" s="554" t="e">
        <f t="shared" si="6"/>
        <v>#NUM!</v>
      </c>
      <c r="G105" s="554" t="e">
        <f t="shared" si="7"/>
        <v>#NUM!</v>
      </c>
    </row>
    <row r="106" spans="2:7" x14ac:dyDescent="0.3">
      <c r="B106" s="556">
        <v>97</v>
      </c>
      <c r="C106" s="554" t="e">
        <f t="shared" si="4"/>
        <v>#NUM!</v>
      </c>
      <c r="D106" s="554" t="e">
        <f t="shared" si="5"/>
        <v>#NUM!</v>
      </c>
      <c r="E106" s="554" t="e">
        <f t="shared" si="6"/>
        <v>#NUM!</v>
      </c>
      <c r="G106" s="554" t="e">
        <f t="shared" si="7"/>
        <v>#NUM!</v>
      </c>
    </row>
    <row r="107" spans="2:7" x14ac:dyDescent="0.3">
      <c r="B107" s="556">
        <v>98</v>
      </c>
      <c r="C107" s="554" t="e">
        <f t="shared" si="4"/>
        <v>#NUM!</v>
      </c>
      <c r="D107" s="554" t="e">
        <f t="shared" si="5"/>
        <v>#NUM!</v>
      </c>
      <c r="E107" s="554" t="e">
        <f t="shared" si="6"/>
        <v>#NUM!</v>
      </c>
      <c r="G107" s="554" t="e">
        <f t="shared" si="7"/>
        <v>#NUM!</v>
      </c>
    </row>
    <row r="108" spans="2:7" x14ac:dyDescent="0.3">
      <c r="B108" s="556">
        <v>99</v>
      </c>
      <c r="C108" s="554" t="e">
        <f t="shared" si="4"/>
        <v>#NUM!</v>
      </c>
      <c r="D108" s="554" t="e">
        <f t="shared" si="5"/>
        <v>#NUM!</v>
      </c>
      <c r="E108" s="554" t="e">
        <f t="shared" si="6"/>
        <v>#NUM!</v>
      </c>
      <c r="G108" s="554" t="e">
        <f t="shared" si="7"/>
        <v>#NUM!</v>
      </c>
    </row>
    <row r="109" spans="2:7" x14ac:dyDescent="0.3">
      <c r="B109" s="556">
        <v>100</v>
      </c>
      <c r="C109" s="554" t="e">
        <f t="shared" si="4"/>
        <v>#NUM!</v>
      </c>
      <c r="D109" s="554" t="e">
        <f t="shared" si="5"/>
        <v>#NUM!</v>
      </c>
      <c r="E109" s="554" t="e">
        <f t="shared" si="6"/>
        <v>#NUM!</v>
      </c>
      <c r="G109" s="554" t="e">
        <f t="shared" si="7"/>
        <v>#NUM!</v>
      </c>
    </row>
    <row r="110" spans="2:7" x14ac:dyDescent="0.3">
      <c r="B110" s="556">
        <v>101</v>
      </c>
      <c r="C110" s="554" t="e">
        <f t="shared" si="4"/>
        <v>#NUM!</v>
      </c>
      <c r="D110" s="554" t="e">
        <f t="shared" si="5"/>
        <v>#NUM!</v>
      </c>
      <c r="E110" s="554" t="e">
        <f t="shared" si="6"/>
        <v>#NUM!</v>
      </c>
      <c r="G110" s="554" t="e">
        <f t="shared" si="7"/>
        <v>#NUM!</v>
      </c>
    </row>
    <row r="111" spans="2:7" x14ac:dyDescent="0.3">
      <c r="B111" s="556">
        <v>102</v>
      </c>
      <c r="C111" s="554" t="e">
        <f t="shared" si="4"/>
        <v>#NUM!</v>
      </c>
      <c r="D111" s="554" t="e">
        <f t="shared" si="5"/>
        <v>#NUM!</v>
      </c>
      <c r="E111" s="554" t="e">
        <f t="shared" si="6"/>
        <v>#NUM!</v>
      </c>
      <c r="G111" s="554" t="e">
        <f t="shared" si="7"/>
        <v>#NUM!</v>
      </c>
    </row>
    <row r="112" spans="2:7" x14ac:dyDescent="0.3">
      <c r="B112" s="556">
        <v>103</v>
      </c>
      <c r="C112" s="554" t="e">
        <f t="shared" si="4"/>
        <v>#NUM!</v>
      </c>
      <c r="D112" s="554" t="e">
        <f t="shared" si="5"/>
        <v>#NUM!</v>
      </c>
      <c r="E112" s="554" t="e">
        <f t="shared" si="6"/>
        <v>#NUM!</v>
      </c>
      <c r="G112" s="554" t="e">
        <f t="shared" si="7"/>
        <v>#NUM!</v>
      </c>
    </row>
    <row r="113" spans="2:7" x14ac:dyDescent="0.3">
      <c r="B113" s="556">
        <v>104</v>
      </c>
      <c r="C113" s="554" t="e">
        <f t="shared" si="4"/>
        <v>#NUM!</v>
      </c>
      <c r="D113" s="554" t="e">
        <f t="shared" si="5"/>
        <v>#NUM!</v>
      </c>
      <c r="E113" s="554" t="e">
        <f t="shared" si="6"/>
        <v>#NUM!</v>
      </c>
      <c r="G113" s="554" t="e">
        <f t="shared" si="7"/>
        <v>#NUM!</v>
      </c>
    </row>
    <row r="114" spans="2:7" x14ac:dyDescent="0.3">
      <c r="B114" s="556">
        <v>105</v>
      </c>
      <c r="C114" s="554" t="e">
        <f t="shared" si="4"/>
        <v>#NUM!</v>
      </c>
      <c r="D114" s="554" t="e">
        <f t="shared" si="5"/>
        <v>#NUM!</v>
      </c>
      <c r="E114" s="554" t="e">
        <f t="shared" si="6"/>
        <v>#NUM!</v>
      </c>
      <c r="G114" s="554" t="e">
        <f t="shared" si="7"/>
        <v>#NUM!</v>
      </c>
    </row>
    <row r="115" spans="2:7" x14ac:dyDescent="0.3">
      <c r="B115" s="556">
        <v>106</v>
      </c>
      <c r="C115" s="554" t="e">
        <f t="shared" si="4"/>
        <v>#NUM!</v>
      </c>
      <c r="D115" s="554" t="e">
        <f t="shared" si="5"/>
        <v>#NUM!</v>
      </c>
      <c r="E115" s="554" t="e">
        <f t="shared" si="6"/>
        <v>#NUM!</v>
      </c>
      <c r="G115" s="554" t="e">
        <f t="shared" si="7"/>
        <v>#NUM!</v>
      </c>
    </row>
    <row r="116" spans="2:7" x14ac:dyDescent="0.3">
      <c r="B116" s="556">
        <v>107</v>
      </c>
      <c r="C116" s="554" t="e">
        <f t="shared" si="4"/>
        <v>#NUM!</v>
      </c>
      <c r="D116" s="554" t="e">
        <f t="shared" si="5"/>
        <v>#NUM!</v>
      </c>
      <c r="E116" s="554" t="e">
        <f t="shared" si="6"/>
        <v>#NUM!</v>
      </c>
      <c r="G116" s="554" t="e">
        <f t="shared" si="7"/>
        <v>#NUM!</v>
      </c>
    </row>
    <row r="117" spans="2:7" x14ac:dyDescent="0.3">
      <c r="B117" s="556">
        <v>108</v>
      </c>
      <c r="C117" s="554" t="e">
        <f t="shared" si="4"/>
        <v>#NUM!</v>
      </c>
      <c r="D117" s="554" t="e">
        <f t="shared" si="5"/>
        <v>#NUM!</v>
      </c>
      <c r="E117" s="554" t="e">
        <f t="shared" si="6"/>
        <v>#NUM!</v>
      </c>
      <c r="G117" s="554" t="e">
        <f t="shared" si="7"/>
        <v>#NUM!</v>
      </c>
    </row>
    <row r="118" spans="2:7" x14ac:dyDescent="0.3">
      <c r="B118" s="556">
        <v>109</v>
      </c>
      <c r="C118" s="554" t="e">
        <f t="shared" si="4"/>
        <v>#NUM!</v>
      </c>
      <c r="D118" s="554" t="e">
        <f t="shared" si="5"/>
        <v>#NUM!</v>
      </c>
      <c r="E118" s="554" t="e">
        <f t="shared" si="6"/>
        <v>#NUM!</v>
      </c>
      <c r="G118" s="554" t="e">
        <f t="shared" si="7"/>
        <v>#NUM!</v>
      </c>
    </row>
    <row r="119" spans="2:7" x14ac:dyDescent="0.3">
      <c r="B119" s="556">
        <v>110</v>
      </c>
      <c r="C119" s="554" t="e">
        <f t="shared" si="4"/>
        <v>#NUM!</v>
      </c>
      <c r="D119" s="554" t="e">
        <f t="shared" si="5"/>
        <v>#NUM!</v>
      </c>
      <c r="E119" s="554" t="e">
        <f t="shared" si="6"/>
        <v>#NUM!</v>
      </c>
      <c r="G119" s="554" t="e">
        <f t="shared" si="7"/>
        <v>#NUM!</v>
      </c>
    </row>
    <row r="120" spans="2:7" x14ac:dyDescent="0.3">
      <c r="B120" s="556">
        <v>111</v>
      </c>
      <c r="C120" s="554" t="e">
        <f t="shared" si="4"/>
        <v>#NUM!</v>
      </c>
      <c r="D120" s="554" t="e">
        <f t="shared" si="5"/>
        <v>#NUM!</v>
      </c>
      <c r="E120" s="554" t="e">
        <f t="shared" si="6"/>
        <v>#NUM!</v>
      </c>
      <c r="G120" s="554" t="e">
        <f t="shared" si="7"/>
        <v>#NUM!</v>
      </c>
    </row>
    <row r="121" spans="2:7" x14ac:dyDescent="0.3">
      <c r="B121" s="556">
        <v>112</v>
      </c>
      <c r="C121" s="554" t="e">
        <f t="shared" si="4"/>
        <v>#NUM!</v>
      </c>
      <c r="D121" s="554" t="e">
        <f t="shared" si="5"/>
        <v>#NUM!</v>
      </c>
      <c r="E121" s="554" t="e">
        <f t="shared" si="6"/>
        <v>#NUM!</v>
      </c>
      <c r="G121" s="554" t="e">
        <f t="shared" si="7"/>
        <v>#NUM!</v>
      </c>
    </row>
    <row r="122" spans="2:7" x14ac:dyDescent="0.3">
      <c r="B122" s="556">
        <v>113</v>
      </c>
      <c r="C122" s="554" t="e">
        <f t="shared" si="4"/>
        <v>#NUM!</v>
      </c>
      <c r="D122" s="554" t="e">
        <f t="shared" si="5"/>
        <v>#NUM!</v>
      </c>
      <c r="E122" s="554" t="e">
        <f t="shared" si="6"/>
        <v>#NUM!</v>
      </c>
      <c r="G122" s="554" t="e">
        <f t="shared" si="7"/>
        <v>#NUM!</v>
      </c>
    </row>
    <row r="123" spans="2:7" x14ac:dyDescent="0.3">
      <c r="B123" s="556">
        <v>114</v>
      </c>
      <c r="C123" s="554" t="e">
        <f t="shared" si="4"/>
        <v>#NUM!</v>
      </c>
      <c r="D123" s="554" t="e">
        <f t="shared" si="5"/>
        <v>#NUM!</v>
      </c>
      <c r="E123" s="554" t="e">
        <f t="shared" si="6"/>
        <v>#NUM!</v>
      </c>
      <c r="G123" s="554" t="e">
        <f t="shared" si="7"/>
        <v>#NUM!</v>
      </c>
    </row>
    <row r="124" spans="2:7" x14ac:dyDescent="0.3">
      <c r="B124" s="556">
        <v>115</v>
      </c>
      <c r="C124" s="554" t="e">
        <f t="shared" si="4"/>
        <v>#NUM!</v>
      </c>
      <c r="D124" s="554" t="e">
        <f t="shared" si="5"/>
        <v>#NUM!</v>
      </c>
      <c r="E124" s="554" t="e">
        <f t="shared" si="6"/>
        <v>#NUM!</v>
      </c>
      <c r="G124" s="554" t="e">
        <f t="shared" si="7"/>
        <v>#NUM!</v>
      </c>
    </row>
    <row r="125" spans="2:7" x14ac:dyDescent="0.3">
      <c r="B125" s="556">
        <v>116</v>
      </c>
      <c r="C125" s="554" t="e">
        <f t="shared" si="4"/>
        <v>#NUM!</v>
      </c>
      <c r="D125" s="554" t="e">
        <f t="shared" si="5"/>
        <v>#NUM!</v>
      </c>
      <c r="E125" s="554" t="e">
        <f t="shared" si="6"/>
        <v>#NUM!</v>
      </c>
      <c r="G125" s="554" t="e">
        <f t="shared" si="7"/>
        <v>#NUM!</v>
      </c>
    </row>
    <row r="126" spans="2:7" x14ac:dyDescent="0.3">
      <c r="B126" s="556">
        <v>117</v>
      </c>
      <c r="C126" s="554" t="e">
        <f t="shared" si="4"/>
        <v>#NUM!</v>
      </c>
      <c r="D126" s="554" t="e">
        <f t="shared" si="5"/>
        <v>#NUM!</v>
      </c>
      <c r="E126" s="554" t="e">
        <f t="shared" si="6"/>
        <v>#NUM!</v>
      </c>
      <c r="G126" s="554" t="e">
        <f t="shared" si="7"/>
        <v>#NUM!</v>
      </c>
    </row>
    <row r="127" spans="2:7" x14ac:dyDescent="0.3">
      <c r="B127" s="556">
        <v>118</v>
      </c>
      <c r="C127" s="554" t="e">
        <f t="shared" si="4"/>
        <v>#NUM!</v>
      </c>
      <c r="D127" s="554" t="e">
        <f t="shared" si="5"/>
        <v>#NUM!</v>
      </c>
      <c r="E127" s="554" t="e">
        <f t="shared" si="6"/>
        <v>#NUM!</v>
      </c>
      <c r="G127" s="554" t="e">
        <f t="shared" si="7"/>
        <v>#NUM!</v>
      </c>
    </row>
    <row r="128" spans="2:7" x14ac:dyDescent="0.3">
      <c r="B128" s="556">
        <v>119</v>
      </c>
      <c r="C128" s="554" t="e">
        <f t="shared" si="4"/>
        <v>#NUM!</v>
      </c>
      <c r="D128" s="554" t="e">
        <f t="shared" si="5"/>
        <v>#NUM!</v>
      </c>
      <c r="E128" s="554" t="e">
        <f t="shared" si="6"/>
        <v>#NUM!</v>
      </c>
      <c r="G128" s="554" t="e">
        <f t="shared" si="7"/>
        <v>#NUM!</v>
      </c>
    </row>
    <row r="129" spans="2:7" x14ac:dyDescent="0.3">
      <c r="B129" s="556">
        <v>120</v>
      </c>
      <c r="C129" s="554" t="e">
        <f t="shared" si="4"/>
        <v>#NUM!</v>
      </c>
      <c r="D129" s="554" t="e">
        <f t="shared" si="5"/>
        <v>#NUM!</v>
      </c>
      <c r="E129" s="554" t="e">
        <f t="shared" si="6"/>
        <v>#NUM!</v>
      </c>
      <c r="G129" s="554" t="e">
        <f t="shared" si="7"/>
        <v>#NUM!</v>
      </c>
    </row>
    <row r="130" spans="2:7" x14ac:dyDescent="0.3">
      <c r="B130" s="556">
        <v>121</v>
      </c>
      <c r="C130" s="554" t="e">
        <f t="shared" si="4"/>
        <v>#NUM!</v>
      </c>
      <c r="D130" s="554" t="e">
        <f t="shared" si="5"/>
        <v>#NUM!</v>
      </c>
      <c r="E130" s="554" t="e">
        <f t="shared" si="6"/>
        <v>#NUM!</v>
      </c>
      <c r="G130" s="554" t="e">
        <f t="shared" si="7"/>
        <v>#NUM!</v>
      </c>
    </row>
    <row r="131" spans="2:7" x14ac:dyDescent="0.3">
      <c r="B131" s="556">
        <v>122</v>
      </c>
      <c r="C131" s="554" t="e">
        <f t="shared" si="4"/>
        <v>#NUM!</v>
      </c>
      <c r="D131" s="554" t="e">
        <f t="shared" si="5"/>
        <v>#NUM!</v>
      </c>
      <c r="E131" s="554" t="e">
        <f t="shared" si="6"/>
        <v>#NUM!</v>
      </c>
      <c r="G131" s="554" t="e">
        <f t="shared" si="7"/>
        <v>#NUM!</v>
      </c>
    </row>
    <row r="132" spans="2:7" x14ac:dyDescent="0.3">
      <c r="B132" s="556">
        <v>123</v>
      </c>
      <c r="C132" s="554" t="e">
        <f t="shared" si="4"/>
        <v>#NUM!</v>
      </c>
      <c r="D132" s="554" t="e">
        <f t="shared" si="5"/>
        <v>#NUM!</v>
      </c>
      <c r="E132" s="554" t="e">
        <f t="shared" si="6"/>
        <v>#NUM!</v>
      </c>
      <c r="G132" s="554" t="e">
        <f t="shared" si="7"/>
        <v>#NUM!</v>
      </c>
    </row>
    <row r="133" spans="2:7" x14ac:dyDescent="0.3">
      <c r="B133" s="556">
        <v>124</v>
      </c>
      <c r="C133" s="554" t="e">
        <f t="shared" si="4"/>
        <v>#NUM!</v>
      </c>
      <c r="D133" s="554" t="e">
        <f t="shared" si="5"/>
        <v>#NUM!</v>
      </c>
      <c r="E133" s="554" t="e">
        <f t="shared" si="6"/>
        <v>#NUM!</v>
      </c>
      <c r="G133" s="554" t="e">
        <f t="shared" si="7"/>
        <v>#NUM!</v>
      </c>
    </row>
    <row r="134" spans="2:7" x14ac:dyDescent="0.3">
      <c r="B134" s="556">
        <v>125</v>
      </c>
      <c r="C134" s="554" t="e">
        <f t="shared" si="4"/>
        <v>#NUM!</v>
      </c>
      <c r="D134" s="554" t="e">
        <f t="shared" si="5"/>
        <v>#NUM!</v>
      </c>
      <c r="E134" s="554" t="e">
        <f t="shared" si="6"/>
        <v>#NUM!</v>
      </c>
      <c r="G134" s="554" t="e">
        <f t="shared" si="7"/>
        <v>#NUM!</v>
      </c>
    </row>
    <row r="135" spans="2:7" x14ac:dyDescent="0.3">
      <c r="B135" s="556">
        <v>126</v>
      </c>
      <c r="C135" s="554" t="e">
        <f t="shared" si="4"/>
        <v>#NUM!</v>
      </c>
      <c r="D135" s="554" t="e">
        <f t="shared" si="5"/>
        <v>#NUM!</v>
      </c>
      <c r="E135" s="554" t="e">
        <f t="shared" si="6"/>
        <v>#NUM!</v>
      </c>
      <c r="G135" s="554" t="e">
        <f t="shared" si="7"/>
        <v>#NUM!</v>
      </c>
    </row>
    <row r="136" spans="2:7" x14ac:dyDescent="0.3">
      <c r="B136" s="556">
        <v>127</v>
      </c>
      <c r="C136" s="554" t="e">
        <f t="shared" si="4"/>
        <v>#NUM!</v>
      </c>
      <c r="D136" s="554" t="e">
        <f t="shared" si="5"/>
        <v>#NUM!</v>
      </c>
      <c r="E136" s="554" t="e">
        <f t="shared" si="6"/>
        <v>#NUM!</v>
      </c>
      <c r="G136" s="554" t="e">
        <f t="shared" si="7"/>
        <v>#NUM!</v>
      </c>
    </row>
    <row r="137" spans="2:7" x14ac:dyDescent="0.3">
      <c r="B137" s="556">
        <v>128</v>
      </c>
      <c r="C137" s="554" t="e">
        <f t="shared" si="4"/>
        <v>#NUM!</v>
      </c>
      <c r="D137" s="554" t="e">
        <f t="shared" si="5"/>
        <v>#NUM!</v>
      </c>
      <c r="E137" s="554" t="e">
        <f t="shared" si="6"/>
        <v>#NUM!</v>
      </c>
      <c r="G137" s="554" t="e">
        <f t="shared" si="7"/>
        <v>#NUM!</v>
      </c>
    </row>
    <row r="138" spans="2:7" x14ac:dyDescent="0.3">
      <c r="B138" s="556">
        <v>129</v>
      </c>
      <c r="C138" s="554" t="e">
        <f t="shared" ref="C138:C201" si="8">IF($C$3&lt;G138+(G138*($C$4/$C$6)),$C$3,G138+(G138*($C$4/$C$6)))</f>
        <v>#NUM!</v>
      </c>
      <c r="D138" s="554" t="e">
        <f t="shared" ref="D138:D201" si="9">G138*$C$4/$C$6</f>
        <v>#NUM!</v>
      </c>
      <c r="E138" s="554" t="e">
        <f t="shared" ref="E138:E201" si="10">C138-D138</f>
        <v>#NUM!</v>
      </c>
      <c r="G138" s="554" t="e">
        <f t="shared" si="7"/>
        <v>#NUM!</v>
      </c>
    </row>
    <row r="139" spans="2:7" x14ac:dyDescent="0.3">
      <c r="B139" s="556">
        <v>130</v>
      </c>
      <c r="C139" s="554" t="e">
        <f t="shared" si="8"/>
        <v>#NUM!</v>
      </c>
      <c r="D139" s="554" t="e">
        <f t="shared" si="9"/>
        <v>#NUM!</v>
      </c>
      <c r="E139" s="554" t="e">
        <f t="shared" si="10"/>
        <v>#NUM!</v>
      </c>
      <c r="G139" s="554" t="e">
        <f t="shared" ref="G139:G202" si="11">G138-E138-F138</f>
        <v>#NUM!</v>
      </c>
    </row>
    <row r="140" spans="2:7" x14ac:dyDescent="0.3">
      <c r="B140" s="556">
        <v>131</v>
      </c>
      <c r="C140" s="554" t="e">
        <f t="shared" si="8"/>
        <v>#NUM!</v>
      </c>
      <c r="D140" s="554" t="e">
        <f t="shared" si="9"/>
        <v>#NUM!</v>
      </c>
      <c r="E140" s="554" t="e">
        <f t="shared" si="10"/>
        <v>#NUM!</v>
      </c>
      <c r="G140" s="554" t="e">
        <f t="shared" si="11"/>
        <v>#NUM!</v>
      </c>
    </row>
    <row r="141" spans="2:7" x14ac:dyDescent="0.3">
      <c r="B141" s="556">
        <v>132</v>
      </c>
      <c r="C141" s="554" t="e">
        <f t="shared" si="8"/>
        <v>#NUM!</v>
      </c>
      <c r="D141" s="554" t="e">
        <f t="shared" si="9"/>
        <v>#NUM!</v>
      </c>
      <c r="E141" s="554" t="e">
        <f t="shared" si="10"/>
        <v>#NUM!</v>
      </c>
      <c r="G141" s="554" t="e">
        <f t="shared" si="11"/>
        <v>#NUM!</v>
      </c>
    </row>
    <row r="142" spans="2:7" x14ac:dyDescent="0.3">
      <c r="B142" s="556">
        <v>133</v>
      </c>
      <c r="C142" s="554" t="e">
        <f t="shared" si="8"/>
        <v>#NUM!</v>
      </c>
      <c r="D142" s="554" t="e">
        <f t="shared" si="9"/>
        <v>#NUM!</v>
      </c>
      <c r="E142" s="554" t="e">
        <f t="shared" si="10"/>
        <v>#NUM!</v>
      </c>
      <c r="G142" s="554" t="e">
        <f t="shared" si="11"/>
        <v>#NUM!</v>
      </c>
    </row>
    <row r="143" spans="2:7" x14ac:dyDescent="0.3">
      <c r="B143" s="556">
        <v>134</v>
      </c>
      <c r="C143" s="554" t="e">
        <f t="shared" si="8"/>
        <v>#NUM!</v>
      </c>
      <c r="D143" s="554" t="e">
        <f t="shared" si="9"/>
        <v>#NUM!</v>
      </c>
      <c r="E143" s="554" t="e">
        <f t="shared" si="10"/>
        <v>#NUM!</v>
      </c>
      <c r="G143" s="554" t="e">
        <f t="shared" si="11"/>
        <v>#NUM!</v>
      </c>
    </row>
    <row r="144" spans="2:7" x14ac:dyDescent="0.3">
      <c r="B144" s="556">
        <v>135</v>
      </c>
      <c r="C144" s="554" t="e">
        <f t="shared" si="8"/>
        <v>#NUM!</v>
      </c>
      <c r="D144" s="554" t="e">
        <f t="shared" si="9"/>
        <v>#NUM!</v>
      </c>
      <c r="E144" s="554" t="e">
        <f t="shared" si="10"/>
        <v>#NUM!</v>
      </c>
      <c r="G144" s="554" t="e">
        <f t="shared" si="11"/>
        <v>#NUM!</v>
      </c>
    </row>
    <row r="145" spans="2:7" x14ac:dyDescent="0.3">
      <c r="B145" s="556">
        <v>136</v>
      </c>
      <c r="C145" s="554" t="e">
        <f t="shared" si="8"/>
        <v>#NUM!</v>
      </c>
      <c r="D145" s="554" t="e">
        <f t="shared" si="9"/>
        <v>#NUM!</v>
      </c>
      <c r="E145" s="554" t="e">
        <f t="shared" si="10"/>
        <v>#NUM!</v>
      </c>
      <c r="G145" s="554" t="e">
        <f t="shared" si="11"/>
        <v>#NUM!</v>
      </c>
    </row>
    <row r="146" spans="2:7" x14ac:dyDescent="0.3">
      <c r="B146" s="556">
        <v>137</v>
      </c>
      <c r="C146" s="554" t="e">
        <f t="shared" si="8"/>
        <v>#NUM!</v>
      </c>
      <c r="D146" s="554" t="e">
        <f t="shared" si="9"/>
        <v>#NUM!</v>
      </c>
      <c r="E146" s="554" t="e">
        <f t="shared" si="10"/>
        <v>#NUM!</v>
      </c>
      <c r="G146" s="554" t="e">
        <f t="shared" si="11"/>
        <v>#NUM!</v>
      </c>
    </row>
    <row r="147" spans="2:7" x14ac:dyDescent="0.3">
      <c r="B147" s="556">
        <v>138</v>
      </c>
      <c r="C147" s="554" t="e">
        <f t="shared" si="8"/>
        <v>#NUM!</v>
      </c>
      <c r="D147" s="554" t="e">
        <f t="shared" si="9"/>
        <v>#NUM!</v>
      </c>
      <c r="E147" s="554" t="e">
        <f t="shared" si="10"/>
        <v>#NUM!</v>
      </c>
      <c r="G147" s="554" t="e">
        <f t="shared" si="11"/>
        <v>#NUM!</v>
      </c>
    </row>
    <row r="148" spans="2:7" x14ac:dyDescent="0.3">
      <c r="B148" s="556">
        <v>139</v>
      </c>
      <c r="C148" s="554" t="e">
        <f t="shared" si="8"/>
        <v>#NUM!</v>
      </c>
      <c r="D148" s="554" t="e">
        <f t="shared" si="9"/>
        <v>#NUM!</v>
      </c>
      <c r="E148" s="554" t="e">
        <f t="shared" si="10"/>
        <v>#NUM!</v>
      </c>
      <c r="G148" s="554" t="e">
        <f t="shared" si="11"/>
        <v>#NUM!</v>
      </c>
    </row>
    <row r="149" spans="2:7" x14ac:dyDescent="0.3">
      <c r="B149" s="556">
        <v>140</v>
      </c>
      <c r="C149" s="554" t="e">
        <f t="shared" si="8"/>
        <v>#NUM!</v>
      </c>
      <c r="D149" s="554" t="e">
        <f t="shared" si="9"/>
        <v>#NUM!</v>
      </c>
      <c r="E149" s="554" t="e">
        <f t="shared" si="10"/>
        <v>#NUM!</v>
      </c>
      <c r="G149" s="554" t="e">
        <f t="shared" si="11"/>
        <v>#NUM!</v>
      </c>
    </row>
    <row r="150" spans="2:7" x14ac:dyDescent="0.3">
      <c r="B150" s="556">
        <v>141</v>
      </c>
      <c r="C150" s="554" t="e">
        <f t="shared" si="8"/>
        <v>#NUM!</v>
      </c>
      <c r="D150" s="554" t="e">
        <f t="shared" si="9"/>
        <v>#NUM!</v>
      </c>
      <c r="E150" s="554" t="e">
        <f t="shared" si="10"/>
        <v>#NUM!</v>
      </c>
      <c r="G150" s="554" t="e">
        <f t="shared" si="11"/>
        <v>#NUM!</v>
      </c>
    </row>
    <row r="151" spans="2:7" x14ac:dyDescent="0.3">
      <c r="B151" s="556">
        <v>142</v>
      </c>
      <c r="C151" s="554" t="e">
        <f t="shared" si="8"/>
        <v>#NUM!</v>
      </c>
      <c r="D151" s="554" t="e">
        <f t="shared" si="9"/>
        <v>#NUM!</v>
      </c>
      <c r="E151" s="554" t="e">
        <f t="shared" si="10"/>
        <v>#NUM!</v>
      </c>
      <c r="G151" s="554" t="e">
        <f t="shared" si="11"/>
        <v>#NUM!</v>
      </c>
    </row>
    <row r="152" spans="2:7" x14ac:dyDescent="0.3">
      <c r="B152" s="556">
        <v>143</v>
      </c>
      <c r="C152" s="554" t="e">
        <f t="shared" si="8"/>
        <v>#NUM!</v>
      </c>
      <c r="D152" s="554" t="e">
        <f t="shared" si="9"/>
        <v>#NUM!</v>
      </c>
      <c r="E152" s="554" t="e">
        <f t="shared" si="10"/>
        <v>#NUM!</v>
      </c>
      <c r="G152" s="554" t="e">
        <f t="shared" si="11"/>
        <v>#NUM!</v>
      </c>
    </row>
    <row r="153" spans="2:7" x14ac:dyDescent="0.3">
      <c r="B153" s="556">
        <v>144</v>
      </c>
      <c r="C153" s="554" t="e">
        <f t="shared" si="8"/>
        <v>#NUM!</v>
      </c>
      <c r="D153" s="554" t="e">
        <f t="shared" si="9"/>
        <v>#NUM!</v>
      </c>
      <c r="E153" s="554" t="e">
        <f t="shared" si="10"/>
        <v>#NUM!</v>
      </c>
      <c r="G153" s="554" t="e">
        <f t="shared" si="11"/>
        <v>#NUM!</v>
      </c>
    </row>
    <row r="154" spans="2:7" x14ac:dyDescent="0.3">
      <c r="B154" s="556">
        <v>145</v>
      </c>
      <c r="C154" s="554" t="e">
        <f t="shared" si="8"/>
        <v>#NUM!</v>
      </c>
      <c r="D154" s="554" t="e">
        <f t="shared" si="9"/>
        <v>#NUM!</v>
      </c>
      <c r="E154" s="554" t="e">
        <f t="shared" si="10"/>
        <v>#NUM!</v>
      </c>
      <c r="G154" s="554" t="e">
        <f t="shared" si="11"/>
        <v>#NUM!</v>
      </c>
    </row>
    <row r="155" spans="2:7" x14ac:dyDescent="0.3">
      <c r="B155" s="556">
        <v>146</v>
      </c>
      <c r="C155" s="554" t="e">
        <f t="shared" si="8"/>
        <v>#NUM!</v>
      </c>
      <c r="D155" s="554" t="e">
        <f t="shared" si="9"/>
        <v>#NUM!</v>
      </c>
      <c r="E155" s="554" t="e">
        <f t="shared" si="10"/>
        <v>#NUM!</v>
      </c>
      <c r="G155" s="554" t="e">
        <f t="shared" si="11"/>
        <v>#NUM!</v>
      </c>
    </row>
    <row r="156" spans="2:7" x14ac:dyDescent="0.3">
      <c r="B156" s="556">
        <v>147</v>
      </c>
      <c r="C156" s="554" t="e">
        <f t="shared" si="8"/>
        <v>#NUM!</v>
      </c>
      <c r="D156" s="554" t="e">
        <f t="shared" si="9"/>
        <v>#NUM!</v>
      </c>
      <c r="E156" s="554" t="e">
        <f t="shared" si="10"/>
        <v>#NUM!</v>
      </c>
      <c r="G156" s="554" t="e">
        <f t="shared" si="11"/>
        <v>#NUM!</v>
      </c>
    </row>
    <row r="157" spans="2:7" x14ac:dyDescent="0.3">
      <c r="B157" s="556">
        <v>148</v>
      </c>
      <c r="C157" s="554" t="e">
        <f t="shared" si="8"/>
        <v>#NUM!</v>
      </c>
      <c r="D157" s="554" t="e">
        <f t="shared" si="9"/>
        <v>#NUM!</v>
      </c>
      <c r="E157" s="554" t="e">
        <f t="shared" si="10"/>
        <v>#NUM!</v>
      </c>
      <c r="G157" s="554" t="e">
        <f t="shared" si="11"/>
        <v>#NUM!</v>
      </c>
    </row>
    <row r="158" spans="2:7" x14ac:dyDescent="0.3">
      <c r="B158" s="556">
        <v>149</v>
      </c>
      <c r="C158" s="554" t="e">
        <f t="shared" si="8"/>
        <v>#NUM!</v>
      </c>
      <c r="D158" s="554" t="e">
        <f t="shared" si="9"/>
        <v>#NUM!</v>
      </c>
      <c r="E158" s="554" t="e">
        <f t="shared" si="10"/>
        <v>#NUM!</v>
      </c>
      <c r="G158" s="554" t="e">
        <f t="shared" si="11"/>
        <v>#NUM!</v>
      </c>
    </row>
    <row r="159" spans="2:7" x14ac:dyDescent="0.3">
      <c r="B159" s="556">
        <v>150</v>
      </c>
      <c r="C159" s="554" t="e">
        <f t="shared" si="8"/>
        <v>#NUM!</v>
      </c>
      <c r="D159" s="554" t="e">
        <f t="shared" si="9"/>
        <v>#NUM!</v>
      </c>
      <c r="E159" s="554" t="e">
        <f t="shared" si="10"/>
        <v>#NUM!</v>
      </c>
      <c r="G159" s="554" t="e">
        <f t="shared" si="11"/>
        <v>#NUM!</v>
      </c>
    </row>
    <row r="160" spans="2:7" x14ac:dyDescent="0.3">
      <c r="B160" s="556">
        <v>151</v>
      </c>
      <c r="C160" s="554" t="e">
        <f t="shared" si="8"/>
        <v>#NUM!</v>
      </c>
      <c r="D160" s="554" t="e">
        <f t="shared" si="9"/>
        <v>#NUM!</v>
      </c>
      <c r="E160" s="554" t="e">
        <f t="shared" si="10"/>
        <v>#NUM!</v>
      </c>
      <c r="G160" s="554" t="e">
        <f t="shared" si="11"/>
        <v>#NUM!</v>
      </c>
    </row>
    <row r="161" spans="2:7" x14ac:dyDescent="0.3">
      <c r="B161" s="556">
        <v>152</v>
      </c>
      <c r="C161" s="554" t="e">
        <f t="shared" si="8"/>
        <v>#NUM!</v>
      </c>
      <c r="D161" s="554" t="e">
        <f t="shared" si="9"/>
        <v>#NUM!</v>
      </c>
      <c r="E161" s="554" t="e">
        <f t="shared" si="10"/>
        <v>#NUM!</v>
      </c>
      <c r="G161" s="554" t="e">
        <f t="shared" si="11"/>
        <v>#NUM!</v>
      </c>
    </row>
    <row r="162" spans="2:7" x14ac:dyDescent="0.3">
      <c r="B162" s="556">
        <v>153</v>
      </c>
      <c r="C162" s="554" t="e">
        <f t="shared" si="8"/>
        <v>#NUM!</v>
      </c>
      <c r="D162" s="554" t="e">
        <f t="shared" si="9"/>
        <v>#NUM!</v>
      </c>
      <c r="E162" s="554" t="e">
        <f t="shared" si="10"/>
        <v>#NUM!</v>
      </c>
      <c r="G162" s="554" t="e">
        <f t="shared" si="11"/>
        <v>#NUM!</v>
      </c>
    </row>
    <row r="163" spans="2:7" x14ac:dyDescent="0.3">
      <c r="B163" s="556">
        <v>154</v>
      </c>
      <c r="C163" s="554" t="e">
        <f t="shared" si="8"/>
        <v>#NUM!</v>
      </c>
      <c r="D163" s="554" t="e">
        <f t="shared" si="9"/>
        <v>#NUM!</v>
      </c>
      <c r="E163" s="554" t="e">
        <f t="shared" si="10"/>
        <v>#NUM!</v>
      </c>
      <c r="G163" s="554" t="e">
        <f t="shared" si="11"/>
        <v>#NUM!</v>
      </c>
    </row>
    <row r="164" spans="2:7" x14ac:dyDescent="0.3">
      <c r="B164" s="556">
        <v>155</v>
      </c>
      <c r="C164" s="554" t="e">
        <f t="shared" si="8"/>
        <v>#NUM!</v>
      </c>
      <c r="D164" s="554" t="e">
        <f t="shared" si="9"/>
        <v>#NUM!</v>
      </c>
      <c r="E164" s="554" t="e">
        <f t="shared" si="10"/>
        <v>#NUM!</v>
      </c>
      <c r="G164" s="554" t="e">
        <f t="shared" si="11"/>
        <v>#NUM!</v>
      </c>
    </row>
    <row r="165" spans="2:7" x14ac:dyDescent="0.3">
      <c r="B165" s="556">
        <v>156</v>
      </c>
      <c r="C165" s="554" t="e">
        <f t="shared" si="8"/>
        <v>#NUM!</v>
      </c>
      <c r="D165" s="554" t="e">
        <f t="shared" si="9"/>
        <v>#NUM!</v>
      </c>
      <c r="E165" s="554" t="e">
        <f t="shared" si="10"/>
        <v>#NUM!</v>
      </c>
      <c r="G165" s="554" t="e">
        <f t="shared" si="11"/>
        <v>#NUM!</v>
      </c>
    </row>
    <row r="166" spans="2:7" x14ac:dyDescent="0.3">
      <c r="B166" s="556">
        <v>157</v>
      </c>
      <c r="C166" s="554" t="e">
        <f t="shared" si="8"/>
        <v>#NUM!</v>
      </c>
      <c r="D166" s="554" t="e">
        <f t="shared" si="9"/>
        <v>#NUM!</v>
      </c>
      <c r="E166" s="554" t="e">
        <f t="shared" si="10"/>
        <v>#NUM!</v>
      </c>
      <c r="G166" s="554" t="e">
        <f t="shared" si="11"/>
        <v>#NUM!</v>
      </c>
    </row>
    <row r="167" spans="2:7" x14ac:dyDescent="0.3">
      <c r="B167" s="556">
        <v>158</v>
      </c>
      <c r="C167" s="554" t="e">
        <f t="shared" si="8"/>
        <v>#NUM!</v>
      </c>
      <c r="D167" s="554" t="e">
        <f t="shared" si="9"/>
        <v>#NUM!</v>
      </c>
      <c r="E167" s="554" t="e">
        <f t="shared" si="10"/>
        <v>#NUM!</v>
      </c>
      <c r="G167" s="554" t="e">
        <f t="shared" si="11"/>
        <v>#NUM!</v>
      </c>
    </row>
    <row r="168" spans="2:7" x14ac:dyDescent="0.3">
      <c r="B168" s="556">
        <v>159</v>
      </c>
      <c r="C168" s="554" t="e">
        <f t="shared" si="8"/>
        <v>#NUM!</v>
      </c>
      <c r="D168" s="554" t="e">
        <f t="shared" si="9"/>
        <v>#NUM!</v>
      </c>
      <c r="E168" s="554" t="e">
        <f t="shared" si="10"/>
        <v>#NUM!</v>
      </c>
      <c r="G168" s="554" t="e">
        <f t="shared" si="11"/>
        <v>#NUM!</v>
      </c>
    </row>
    <row r="169" spans="2:7" x14ac:dyDescent="0.3">
      <c r="B169" s="556">
        <v>160</v>
      </c>
      <c r="C169" s="554" t="e">
        <f t="shared" si="8"/>
        <v>#NUM!</v>
      </c>
      <c r="D169" s="554" t="e">
        <f t="shared" si="9"/>
        <v>#NUM!</v>
      </c>
      <c r="E169" s="554" t="e">
        <f t="shared" si="10"/>
        <v>#NUM!</v>
      </c>
      <c r="G169" s="554" t="e">
        <f t="shared" si="11"/>
        <v>#NUM!</v>
      </c>
    </row>
    <row r="170" spans="2:7" x14ac:dyDescent="0.3">
      <c r="B170" s="556">
        <v>161</v>
      </c>
      <c r="C170" s="554" t="e">
        <f t="shared" si="8"/>
        <v>#NUM!</v>
      </c>
      <c r="D170" s="554" t="e">
        <f t="shared" si="9"/>
        <v>#NUM!</v>
      </c>
      <c r="E170" s="554" t="e">
        <f t="shared" si="10"/>
        <v>#NUM!</v>
      </c>
      <c r="G170" s="554" t="e">
        <f t="shared" si="11"/>
        <v>#NUM!</v>
      </c>
    </row>
    <row r="171" spans="2:7" x14ac:dyDescent="0.3">
      <c r="B171" s="556">
        <v>162</v>
      </c>
      <c r="C171" s="554" t="e">
        <f t="shared" si="8"/>
        <v>#NUM!</v>
      </c>
      <c r="D171" s="554" t="e">
        <f t="shared" si="9"/>
        <v>#NUM!</v>
      </c>
      <c r="E171" s="554" t="e">
        <f t="shared" si="10"/>
        <v>#NUM!</v>
      </c>
      <c r="G171" s="554" t="e">
        <f t="shared" si="11"/>
        <v>#NUM!</v>
      </c>
    </row>
    <row r="172" spans="2:7" x14ac:dyDescent="0.3">
      <c r="B172" s="556">
        <v>163</v>
      </c>
      <c r="C172" s="554" t="e">
        <f t="shared" si="8"/>
        <v>#NUM!</v>
      </c>
      <c r="D172" s="554" t="e">
        <f t="shared" si="9"/>
        <v>#NUM!</v>
      </c>
      <c r="E172" s="554" t="e">
        <f t="shared" si="10"/>
        <v>#NUM!</v>
      </c>
      <c r="G172" s="554" t="e">
        <f t="shared" si="11"/>
        <v>#NUM!</v>
      </c>
    </row>
    <row r="173" spans="2:7" x14ac:dyDescent="0.3">
      <c r="B173" s="556">
        <v>164</v>
      </c>
      <c r="C173" s="554" t="e">
        <f t="shared" si="8"/>
        <v>#NUM!</v>
      </c>
      <c r="D173" s="554" t="e">
        <f t="shared" si="9"/>
        <v>#NUM!</v>
      </c>
      <c r="E173" s="554" t="e">
        <f t="shared" si="10"/>
        <v>#NUM!</v>
      </c>
      <c r="G173" s="554" t="e">
        <f t="shared" si="11"/>
        <v>#NUM!</v>
      </c>
    </row>
    <row r="174" spans="2:7" x14ac:dyDescent="0.3">
      <c r="B174" s="556">
        <v>165</v>
      </c>
      <c r="C174" s="554" t="e">
        <f t="shared" si="8"/>
        <v>#NUM!</v>
      </c>
      <c r="D174" s="554" t="e">
        <f t="shared" si="9"/>
        <v>#NUM!</v>
      </c>
      <c r="E174" s="554" t="e">
        <f t="shared" si="10"/>
        <v>#NUM!</v>
      </c>
      <c r="G174" s="554" t="e">
        <f t="shared" si="11"/>
        <v>#NUM!</v>
      </c>
    </row>
    <row r="175" spans="2:7" x14ac:dyDescent="0.3">
      <c r="B175" s="556">
        <v>166</v>
      </c>
      <c r="C175" s="554" t="e">
        <f t="shared" si="8"/>
        <v>#NUM!</v>
      </c>
      <c r="D175" s="554" t="e">
        <f t="shared" si="9"/>
        <v>#NUM!</v>
      </c>
      <c r="E175" s="554" t="e">
        <f t="shared" si="10"/>
        <v>#NUM!</v>
      </c>
      <c r="G175" s="554" t="e">
        <f t="shared" si="11"/>
        <v>#NUM!</v>
      </c>
    </row>
    <row r="176" spans="2:7" x14ac:dyDescent="0.3">
      <c r="B176" s="556">
        <v>167</v>
      </c>
      <c r="C176" s="554" t="e">
        <f t="shared" si="8"/>
        <v>#NUM!</v>
      </c>
      <c r="D176" s="554" t="e">
        <f t="shared" si="9"/>
        <v>#NUM!</v>
      </c>
      <c r="E176" s="554" t="e">
        <f t="shared" si="10"/>
        <v>#NUM!</v>
      </c>
      <c r="G176" s="554" t="e">
        <f t="shared" si="11"/>
        <v>#NUM!</v>
      </c>
    </row>
    <row r="177" spans="2:7" x14ac:dyDescent="0.3">
      <c r="B177" s="556">
        <v>168</v>
      </c>
      <c r="C177" s="554" t="e">
        <f t="shared" si="8"/>
        <v>#NUM!</v>
      </c>
      <c r="D177" s="554" t="e">
        <f t="shared" si="9"/>
        <v>#NUM!</v>
      </c>
      <c r="E177" s="554" t="e">
        <f t="shared" si="10"/>
        <v>#NUM!</v>
      </c>
      <c r="G177" s="554" t="e">
        <f t="shared" si="11"/>
        <v>#NUM!</v>
      </c>
    </row>
    <row r="178" spans="2:7" x14ac:dyDescent="0.3">
      <c r="B178" s="556">
        <v>169</v>
      </c>
      <c r="C178" s="554" t="e">
        <f t="shared" si="8"/>
        <v>#NUM!</v>
      </c>
      <c r="D178" s="554" t="e">
        <f t="shared" si="9"/>
        <v>#NUM!</v>
      </c>
      <c r="E178" s="554" t="e">
        <f t="shared" si="10"/>
        <v>#NUM!</v>
      </c>
      <c r="G178" s="554" t="e">
        <f t="shared" si="11"/>
        <v>#NUM!</v>
      </c>
    </row>
    <row r="179" spans="2:7" x14ac:dyDescent="0.3">
      <c r="B179" s="556">
        <v>170</v>
      </c>
      <c r="C179" s="554" t="e">
        <f t="shared" si="8"/>
        <v>#NUM!</v>
      </c>
      <c r="D179" s="554" t="e">
        <f t="shared" si="9"/>
        <v>#NUM!</v>
      </c>
      <c r="E179" s="554" t="e">
        <f t="shared" si="10"/>
        <v>#NUM!</v>
      </c>
      <c r="G179" s="554" t="e">
        <f t="shared" si="11"/>
        <v>#NUM!</v>
      </c>
    </row>
    <row r="180" spans="2:7" x14ac:dyDescent="0.3">
      <c r="B180" s="556">
        <v>171</v>
      </c>
      <c r="C180" s="554" t="e">
        <f t="shared" si="8"/>
        <v>#NUM!</v>
      </c>
      <c r="D180" s="554" t="e">
        <f t="shared" si="9"/>
        <v>#NUM!</v>
      </c>
      <c r="E180" s="554" t="e">
        <f t="shared" si="10"/>
        <v>#NUM!</v>
      </c>
      <c r="G180" s="554" t="e">
        <f t="shared" si="11"/>
        <v>#NUM!</v>
      </c>
    </row>
    <row r="181" spans="2:7" x14ac:dyDescent="0.3">
      <c r="B181" s="556">
        <v>172</v>
      </c>
      <c r="C181" s="554" t="e">
        <f t="shared" si="8"/>
        <v>#NUM!</v>
      </c>
      <c r="D181" s="554" t="e">
        <f t="shared" si="9"/>
        <v>#NUM!</v>
      </c>
      <c r="E181" s="554" t="e">
        <f t="shared" si="10"/>
        <v>#NUM!</v>
      </c>
      <c r="G181" s="554" t="e">
        <f t="shared" si="11"/>
        <v>#NUM!</v>
      </c>
    </row>
    <row r="182" spans="2:7" x14ac:dyDescent="0.3">
      <c r="B182" s="556">
        <v>173</v>
      </c>
      <c r="C182" s="554" t="e">
        <f t="shared" si="8"/>
        <v>#NUM!</v>
      </c>
      <c r="D182" s="554" t="e">
        <f t="shared" si="9"/>
        <v>#NUM!</v>
      </c>
      <c r="E182" s="554" t="e">
        <f t="shared" si="10"/>
        <v>#NUM!</v>
      </c>
      <c r="G182" s="554" t="e">
        <f t="shared" si="11"/>
        <v>#NUM!</v>
      </c>
    </row>
    <row r="183" spans="2:7" x14ac:dyDescent="0.3">
      <c r="B183" s="556">
        <v>174</v>
      </c>
      <c r="C183" s="554" t="e">
        <f t="shared" si="8"/>
        <v>#NUM!</v>
      </c>
      <c r="D183" s="554" t="e">
        <f t="shared" si="9"/>
        <v>#NUM!</v>
      </c>
      <c r="E183" s="554" t="e">
        <f t="shared" si="10"/>
        <v>#NUM!</v>
      </c>
      <c r="G183" s="554" t="e">
        <f t="shared" si="11"/>
        <v>#NUM!</v>
      </c>
    </row>
    <row r="184" spans="2:7" x14ac:dyDescent="0.3">
      <c r="B184" s="556">
        <v>175</v>
      </c>
      <c r="C184" s="554" t="e">
        <f t="shared" si="8"/>
        <v>#NUM!</v>
      </c>
      <c r="D184" s="554" t="e">
        <f t="shared" si="9"/>
        <v>#NUM!</v>
      </c>
      <c r="E184" s="554" t="e">
        <f t="shared" si="10"/>
        <v>#NUM!</v>
      </c>
      <c r="G184" s="554" t="e">
        <f t="shared" si="11"/>
        <v>#NUM!</v>
      </c>
    </row>
    <row r="185" spans="2:7" x14ac:dyDescent="0.3">
      <c r="B185" s="556">
        <v>176</v>
      </c>
      <c r="C185" s="554" t="e">
        <f t="shared" si="8"/>
        <v>#NUM!</v>
      </c>
      <c r="D185" s="554" t="e">
        <f t="shared" si="9"/>
        <v>#NUM!</v>
      </c>
      <c r="E185" s="554" t="e">
        <f t="shared" si="10"/>
        <v>#NUM!</v>
      </c>
      <c r="G185" s="554" t="e">
        <f t="shared" si="11"/>
        <v>#NUM!</v>
      </c>
    </row>
    <row r="186" spans="2:7" x14ac:dyDescent="0.3">
      <c r="B186" s="556">
        <v>177</v>
      </c>
      <c r="C186" s="554" t="e">
        <f t="shared" si="8"/>
        <v>#NUM!</v>
      </c>
      <c r="D186" s="554" t="e">
        <f t="shared" si="9"/>
        <v>#NUM!</v>
      </c>
      <c r="E186" s="554" t="e">
        <f t="shared" si="10"/>
        <v>#NUM!</v>
      </c>
      <c r="G186" s="554" t="e">
        <f t="shared" si="11"/>
        <v>#NUM!</v>
      </c>
    </row>
    <row r="187" spans="2:7" x14ac:dyDescent="0.3">
      <c r="B187" s="556">
        <v>178</v>
      </c>
      <c r="C187" s="554" t="e">
        <f t="shared" si="8"/>
        <v>#NUM!</v>
      </c>
      <c r="D187" s="554" t="e">
        <f t="shared" si="9"/>
        <v>#NUM!</v>
      </c>
      <c r="E187" s="554" t="e">
        <f t="shared" si="10"/>
        <v>#NUM!</v>
      </c>
      <c r="G187" s="554" t="e">
        <f t="shared" si="11"/>
        <v>#NUM!</v>
      </c>
    </row>
    <row r="188" spans="2:7" x14ac:dyDescent="0.3">
      <c r="B188" s="556">
        <v>179</v>
      </c>
      <c r="C188" s="554" t="e">
        <f t="shared" si="8"/>
        <v>#NUM!</v>
      </c>
      <c r="D188" s="554" t="e">
        <f t="shared" si="9"/>
        <v>#NUM!</v>
      </c>
      <c r="E188" s="554" t="e">
        <f t="shared" si="10"/>
        <v>#NUM!</v>
      </c>
      <c r="G188" s="554" t="e">
        <f t="shared" si="11"/>
        <v>#NUM!</v>
      </c>
    </row>
    <row r="189" spans="2:7" x14ac:dyDescent="0.3">
      <c r="B189" s="556">
        <v>180</v>
      </c>
      <c r="C189" s="554" t="e">
        <f t="shared" si="8"/>
        <v>#NUM!</v>
      </c>
      <c r="D189" s="554" t="e">
        <f t="shared" si="9"/>
        <v>#NUM!</v>
      </c>
      <c r="E189" s="554" t="e">
        <f t="shared" si="10"/>
        <v>#NUM!</v>
      </c>
      <c r="G189" s="554" t="e">
        <f t="shared" si="11"/>
        <v>#NUM!</v>
      </c>
    </row>
    <row r="190" spans="2:7" x14ac:dyDescent="0.3">
      <c r="B190" s="556">
        <v>181</v>
      </c>
      <c r="C190" s="554" t="e">
        <f t="shared" si="8"/>
        <v>#NUM!</v>
      </c>
      <c r="D190" s="554" t="e">
        <f t="shared" si="9"/>
        <v>#NUM!</v>
      </c>
      <c r="E190" s="554" t="e">
        <f t="shared" si="10"/>
        <v>#NUM!</v>
      </c>
      <c r="G190" s="554" t="e">
        <f t="shared" si="11"/>
        <v>#NUM!</v>
      </c>
    </row>
    <row r="191" spans="2:7" x14ac:dyDescent="0.3">
      <c r="B191" s="556">
        <v>182</v>
      </c>
      <c r="C191" s="554" t="e">
        <f t="shared" si="8"/>
        <v>#NUM!</v>
      </c>
      <c r="D191" s="554" t="e">
        <f t="shared" si="9"/>
        <v>#NUM!</v>
      </c>
      <c r="E191" s="554" t="e">
        <f t="shared" si="10"/>
        <v>#NUM!</v>
      </c>
      <c r="G191" s="554" t="e">
        <f t="shared" si="11"/>
        <v>#NUM!</v>
      </c>
    </row>
    <row r="192" spans="2:7" x14ac:dyDescent="0.3">
      <c r="B192" s="556">
        <v>183</v>
      </c>
      <c r="C192" s="554" t="e">
        <f t="shared" si="8"/>
        <v>#NUM!</v>
      </c>
      <c r="D192" s="554" t="e">
        <f t="shared" si="9"/>
        <v>#NUM!</v>
      </c>
      <c r="E192" s="554" t="e">
        <f t="shared" si="10"/>
        <v>#NUM!</v>
      </c>
      <c r="G192" s="554" t="e">
        <f t="shared" si="11"/>
        <v>#NUM!</v>
      </c>
    </row>
    <row r="193" spans="2:7" x14ac:dyDescent="0.3">
      <c r="B193" s="556">
        <v>184</v>
      </c>
      <c r="C193" s="554" t="e">
        <f t="shared" si="8"/>
        <v>#NUM!</v>
      </c>
      <c r="D193" s="554" t="e">
        <f t="shared" si="9"/>
        <v>#NUM!</v>
      </c>
      <c r="E193" s="554" t="e">
        <f t="shared" si="10"/>
        <v>#NUM!</v>
      </c>
      <c r="G193" s="554" t="e">
        <f t="shared" si="11"/>
        <v>#NUM!</v>
      </c>
    </row>
    <row r="194" spans="2:7" x14ac:dyDescent="0.3">
      <c r="B194" s="556">
        <v>185</v>
      </c>
      <c r="C194" s="554" t="e">
        <f t="shared" si="8"/>
        <v>#NUM!</v>
      </c>
      <c r="D194" s="554" t="e">
        <f t="shared" si="9"/>
        <v>#NUM!</v>
      </c>
      <c r="E194" s="554" t="e">
        <f t="shared" si="10"/>
        <v>#NUM!</v>
      </c>
      <c r="G194" s="554" t="e">
        <f t="shared" si="11"/>
        <v>#NUM!</v>
      </c>
    </row>
    <row r="195" spans="2:7" x14ac:dyDescent="0.3">
      <c r="B195" s="556">
        <v>186</v>
      </c>
      <c r="C195" s="554" t="e">
        <f t="shared" si="8"/>
        <v>#NUM!</v>
      </c>
      <c r="D195" s="554" t="e">
        <f t="shared" si="9"/>
        <v>#NUM!</v>
      </c>
      <c r="E195" s="554" t="e">
        <f t="shared" si="10"/>
        <v>#NUM!</v>
      </c>
      <c r="G195" s="554" t="e">
        <f t="shared" si="11"/>
        <v>#NUM!</v>
      </c>
    </row>
    <row r="196" spans="2:7" x14ac:dyDescent="0.3">
      <c r="B196" s="556">
        <v>187</v>
      </c>
      <c r="C196" s="554" t="e">
        <f t="shared" si="8"/>
        <v>#NUM!</v>
      </c>
      <c r="D196" s="554" t="e">
        <f t="shared" si="9"/>
        <v>#NUM!</v>
      </c>
      <c r="E196" s="554" t="e">
        <f t="shared" si="10"/>
        <v>#NUM!</v>
      </c>
      <c r="G196" s="554" t="e">
        <f t="shared" si="11"/>
        <v>#NUM!</v>
      </c>
    </row>
    <row r="197" spans="2:7" x14ac:dyDescent="0.3">
      <c r="B197" s="556">
        <v>188</v>
      </c>
      <c r="C197" s="554" t="e">
        <f t="shared" si="8"/>
        <v>#NUM!</v>
      </c>
      <c r="D197" s="554" t="e">
        <f t="shared" si="9"/>
        <v>#NUM!</v>
      </c>
      <c r="E197" s="554" t="e">
        <f t="shared" si="10"/>
        <v>#NUM!</v>
      </c>
      <c r="G197" s="554" t="e">
        <f t="shared" si="11"/>
        <v>#NUM!</v>
      </c>
    </row>
    <row r="198" spans="2:7" x14ac:dyDescent="0.3">
      <c r="B198" s="556">
        <v>189</v>
      </c>
      <c r="C198" s="554" t="e">
        <f t="shared" si="8"/>
        <v>#NUM!</v>
      </c>
      <c r="D198" s="554" t="e">
        <f t="shared" si="9"/>
        <v>#NUM!</v>
      </c>
      <c r="E198" s="554" t="e">
        <f t="shared" si="10"/>
        <v>#NUM!</v>
      </c>
      <c r="G198" s="554" t="e">
        <f t="shared" si="11"/>
        <v>#NUM!</v>
      </c>
    </row>
    <row r="199" spans="2:7" x14ac:dyDescent="0.3">
      <c r="B199" s="556">
        <v>190</v>
      </c>
      <c r="C199" s="554" t="e">
        <f t="shared" si="8"/>
        <v>#NUM!</v>
      </c>
      <c r="D199" s="554" t="e">
        <f t="shared" si="9"/>
        <v>#NUM!</v>
      </c>
      <c r="E199" s="554" t="e">
        <f t="shared" si="10"/>
        <v>#NUM!</v>
      </c>
      <c r="G199" s="554" t="e">
        <f t="shared" si="11"/>
        <v>#NUM!</v>
      </c>
    </row>
    <row r="200" spans="2:7" x14ac:dyDescent="0.3">
      <c r="B200" s="556">
        <v>191</v>
      </c>
      <c r="C200" s="554" t="e">
        <f t="shared" si="8"/>
        <v>#NUM!</v>
      </c>
      <c r="D200" s="554" t="e">
        <f t="shared" si="9"/>
        <v>#NUM!</v>
      </c>
      <c r="E200" s="554" t="e">
        <f t="shared" si="10"/>
        <v>#NUM!</v>
      </c>
      <c r="G200" s="554" t="e">
        <f t="shared" si="11"/>
        <v>#NUM!</v>
      </c>
    </row>
    <row r="201" spans="2:7" x14ac:dyDescent="0.3">
      <c r="B201" s="556">
        <v>192</v>
      </c>
      <c r="C201" s="554" t="e">
        <f t="shared" si="8"/>
        <v>#NUM!</v>
      </c>
      <c r="D201" s="554" t="e">
        <f t="shared" si="9"/>
        <v>#NUM!</v>
      </c>
      <c r="E201" s="554" t="e">
        <f t="shared" si="10"/>
        <v>#NUM!</v>
      </c>
      <c r="G201" s="554" t="e">
        <f t="shared" si="11"/>
        <v>#NUM!</v>
      </c>
    </row>
    <row r="202" spans="2:7" x14ac:dyDescent="0.3">
      <c r="B202" s="556">
        <v>193</v>
      </c>
      <c r="C202" s="554" t="e">
        <f t="shared" ref="C202:C265" si="12">IF($C$3&lt;G202+(G202*($C$4/$C$6)),$C$3,G202+(G202*($C$4/$C$6)))</f>
        <v>#NUM!</v>
      </c>
      <c r="D202" s="554" t="e">
        <f t="shared" ref="D202:D265" si="13">G202*$C$4/$C$6</f>
        <v>#NUM!</v>
      </c>
      <c r="E202" s="554" t="e">
        <f t="shared" ref="E202:E265" si="14">C202-D202</f>
        <v>#NUM!</v>
      </c>
      <c r="G202" s="554" t="e">
        <f t="shared" si="11"/>
        <v>#NUM!</v>
      </c>
    </row>
    <row r="203" spans="2:7" x14ac:dyDescent="0.3">
      <c r="B203" s="556">
        <v>194</v>
      </c>
      <c r="C203" s="554" t="e">
        <f t="shared" si="12"/>
        <v>#NUM!</v>
      </c>
      <c r="D203" s="554" t="e">
        <f t="shared" si="13"/>
        <v>#NUM!</v>
      </c>
      <c r="E203" s="554" t="e">
        <f t="shared" si="14"/>
        <v>#NUM!</v>
      </c>
      <c r="G203" s="554" t="e">
        <f t="shared" ref="G203:G266" si="15">G202-E202-F202</f>
        <v>#NUM!</v>
      </c>
    </row>
    <row r="204" spans="2:7" x14ac:dyDescent="0.3">
      <c r="B204" s="556">
        <v>195</v>
      </c>
      <c r="C204" s="554" t="e">
        <f t="shared" si="12"/>
        <v>#NUM!</v>
      </c>
      <c r="D204" s="554" t="e">
        <f t="shared" si="13"/>
        <v>#NUM!</v>
      </c>
      <c r="E204" s="554" t="e">
        <f t="shared" si="14"/>
        <v>#NUM!</v>
      </c>
      <c r="G204" s="554" t="e">
        <f t="shared" si="15"/>
        <v>#NUM!</v>
      </c>
    </row>
    <row r="205" spans="2:7" x14ac:dyDescent="0.3">
      <c r="B205" s="556">
        <v>196</v>
      </c>
      <c r="C205" s="554" t="e">
        <f t="shared" si="12"/>
        <v>#NUM!</v>
      </c>
      <c r="D205" s="554" t="e">
        <f t="shared" si="13"/>
        <v>#NUM!</v>
      </c>
      <c r="E205" s="554" t="e">
        <f t="shared" si="14"/>
        <v>#NUM!</v>
      </c>
      <c r="G205" s="554" t="e">
        <f t="shared" si="15"/>
        <v>#NUM!</v>
      </c>
    </row>
    <row r="206" spans="2:7" x14ac:dyDescent="0.3">
      <c r="B206" s="556">
        <v>197</v>
      </c>
      <c r="C206" s="554" t="e">
        <f t="shared" si="12"/>
        <v>#NUM!</v>
      </c>
      <c r="D206" s="554" t="e">
        <f t="shared" si="13"/>
        <v>#NUM!</v>
      </c>
      <c r="E206" s="554" t="e">
        <f t="shared" si="14"/>
        <v>#NUM!</v>
      </c>
      <c r="G206" s="554" t="e">
        <f t="shared" si="15"/>
        <v>#NUM!</v>
      </c>
    </row>
    <row r="207" spans="2:7" x14ac:dyDescent="0.3">
      <c r="B207" s="556">
        <v>198</v>
      </c>
      <c r="C207" s="554" t="e">
        <f t="shared" si="12"/>
        <v>#NUM!</v>
      </c>
      <c r="D207" s="554" t="e">
        <f t="shared" si="13"/>
        <v>#NUM!</v>
      </c>
      <c r="E207" s="554" t="e">
        <f t="shared" si="14"/>
        <v>#NUM!</v>
      </c>
      <c r="G207" s="554" t="e">
        <f t="shared" si="15"/>
        <v>#NUM!</v>
      </c>
    </row>
    <row r="208" spans="2:7" x14ac:dyDescent="0.3">
      <c r="B208" s="556">
        <v>199</v>
      </c>
      <c r="C208" s="554" t="e">
        <f t="shared" si="12"/>
        <v>#NUM!</v>
      </c>
      <c r="D208" s="554" t="e">
        <f t="shared" si="13"/>
        <v>#NUM!</v>
      </c>
      <c r="E208" s="554" t="e">
        <f t="shared" si="14"/>
        <v>#NUM!</v>
      </c>
      <c r="G208" s="554" t="e">
        <f t="shared" si="15"/>
        <v>#NUM!</v>
      </c>
    </row>
    <row r="209" spans="2:7" x14ac:dyDescent="0.3">
      <c r="B209" s="556">
        <v>200</v>
      </c>
      <c r="C209" s="554" t="e">
        <f t="shared" si="12"/>
        <v>#NUM!</v>
      </c>
      <c r="D209" s="554" t="e">
        <f t="shared" si="13"/>
        <v>#NUM!</v>
      </c>
      <c r="E209" s="554" t="e">
        <f t="shared" si="14"/>
        <v>#NUM!</v>
      </c>
      <c r="G209" s="554" t="e">
        <f t="shared" si="15"/>
        <v>#NUM!</v>
      </c>
    </row>
    <row r="210" spans="2:7" x14ac:dyDescent="0.3">
      <c r="B210" s="556">
        <v>201</v>
      </c>
      <c r="C210" s="554" t="e">
        <f t="shared" si="12"/>
        <v>#NUM!</v>
      </c>
      <c r="D210" s="554" t="e">
        <f t="shared" si="13"/>
        <v>#NUM!</v>
      </c>
      <c r="E210" s="554" t="e">
        <f t="shared" si="14"/>
        <v>#NUM!</v>
      </c>
      <c r="G210" s="554" t="e">
        <f t="shared" si="15"/>
        <v>#NUM!</v>
      </c>
    </row>
    <row r="211" spans="2:7" x14ac:dyDescent="0.3">
      <c r="B211" s="556">
        <v>202</v>
      </c>
      <c r="C211" s="554" t="e">
        <f t="shared" si="12"/>
        <v>#NUM!</v>
      </c>
      <c r="D211" s="554" t="e">
        <f t="shared" si="13"/>
        <v>#NUM!</v>
      </c>
      <c r="E211" s="554" t="e">
        <f t="shared" si="14"/>
        <v>#NUM!</v>
      </c>
      <c r="G211" s="554" t="e">
        <f t="shared" si="15"/>
        <v>#NUM!</v>
      </c>
    </row>
    <row r="212" spans="2:7" x14ac:dyDescent="0.3">
      <c r="B212" s="556">
        <v>203</v>
      </c>
      <c r="C212" s="554" t="e">
        <f t="shared" si="12"/>
        <v>#NUM!</v>
      </c>
      <c r="D212" s="554" t="e">
        <f t="shared" si="13"/>
        <v>#NUM!</v>
      </c>
      <c r="E212" s="554" t="e">
        <f t="shared" si="14"/>
        <v>#NUM!</v>
      </c>
      <c r="G212" s="554" t="e">
        <f t="shared" si="15"/>
        <v>#NUM!</v>
      </c>
    </row>
    <row r="213" spans="2:7" x14ac:dyDescent="0.3">
      <c r="B213" s="556">
        <v>204</v>
      </c>
      <c r="C213" s="554" t="e">
        <f t="shared" si="12"/>
        <v>#NUM!</v>
      </c>
      <c r="D213" s="554" t="e">
        <f t="shared" si="13"/>
        <v>#NUM!</v>
      </c>
      <c r="E213" s="554" t="e">
        <f t="shared" si="14"/>
        <v>#NUM!</v>
      </c>
      <c r="G213" s="554" t="e">
        <f t="shared" si="15"/>
        <v>#NUM!</v>
      </c>
    </row>
    <row r="214" spans="2:7" x14ac:dyDescent="0.3">
      <c r="B214" s="556">
        <v>205</v>
      </c>
      <c r="C214" s="554" t="e">
        <f t="shared" si="12"/>
        <v>#NUM!</v>
      </c>
      <c r="D214" s="554" t="e">
        <f t="shared" si="13"/>
        <v>#NUM!</v>
      </c>
      <c r="E214" s="554" t="e">
        <f t="shared" si="14"/>
        <v>#NUM!</v>
      </c>
      <c r="G214" s="554" t="e">
        <f t="shared" si="15"/>
        <v>#NUM!</v>
      </c>
    </row>
    <row r="215" spans="2:7" x14ac:dyDescent="0.3">
      <c r="B215" s="556">
        <v>206</v>
      </c>
      <c r="C215" s="554" t="e">
        <f t="shared" si="12"/>
        <v>#NUM!</v>
      </c>
      <c r="D215" s="554" t="e">
        <f t="shared" si="13"/>
        <v>#NUM!</v>
      </c>
      <c r="E215" s="554" t="e">
        <f t="shared" si="14"/>
        <v>#NUM!</v>
      </c>
      <c r="G215" s="554" t="e">
        <f t="shared" si="15"/>
        <v>#NUM!</v>
      </c>
    </row>
    <row r="216" spans="2:7" x14ac:dyDescent="0.3">
      <c r="B216" s="556">
        <v>207</v>
      </c>
      <c r="C216" s="554" t="e">
        <f t="shared" si="12"/>
        <v>#NUM!</v>
      </c>
      <c r="D216" s="554" t="e">
        <f t="shared" si="13"/>
        <v>#NUM!</v>
      </c>
      <c r="E216" s="554" t="e">
        <f t="shared" si="14"/>
        <v>#NUM!</v>
      </c>
      <c r="G216" s="554" t="e">
        <f t="shared" si="15"/>
        <v>#NUM!</v>
      </c>
    </row>
    <row r="217" spans="2:7" x14ac:dyDescent="0.3">
      <c r="B217" s="556">
        <v>208</v>
      </c>
      <c r="C217" s="554" t="e">
        <f t="shared" si="12"/>
        <v>#NUM!</v>
      </c>
      <c r="D217" s="554" t="e">
        <f t="shared" si="13"/>
        <v>#NUM!</v>
      </c>
      <c r="E217" s="554" t="e">
        <f t="shared" si="14"/>
        <v>#NUM!</v>
      </c>
      <c r="G217" s="554" t="e">
        <f t="shared" si="15"/>
        <v>#NUM!</v>
      </c>
    </row>
    <row r="218" spans="2:7" x14ac:dyDescent="0.3">
      <c r="B218" s="556">
        <v>209</v>
      </c>
      <c r="C218" s="554" t="e">
        <f t="shared" si="12"/>
        <v>#NUM!</v>
      </c>
      <c r="D218" s="554" t="e">
        <f t="shared" si="13"/>
        <v>#NUM!</v>
      </c>
      <c r="E218" s="554" t="e">
        <f t="shared" si="14"/>
        <v>#NUM!</v>
      </c>
      <c r="G218" s="554" t="e">
        <f t="shared" si="15"/>
        <v>#NUM!</v>
      </c>
    </row>
    <row r="219" spans="2:7" x14ac:dyDescent="0.3">
      <c r="B219" s="556">
        <v>210</v>
      </c>
      <c r="C219" s="554" t="e">
        <f t="shared" si="12"/>
        <v>#NUM!</v>
      </c>
      <c r="D219" s="554" t="e">
        <f t="shared" si="13"/>
        <v>#NUM!</v>
      </c>
      <c r="E219" s="554" t="e">
        <f t="shared" si="14"/>
        <v>#NUM!</v>
      </c>
      <c r="G219" s="554" t="e">
        <f t="shared" si="15"/>
        <v>#NUM!</v>
      </c>
    </row>
    <row r="220" spans="2:7" x14ac:dyDescent="0.3">
      <c r="B220" s="556">
        <v>211</v>
      </c>
      <c r="C220" s="554" t="e">
        <f t="shared" si="12"/>
        <v>#NUM!</v>
      </c>
      <c r="D220" s="554" t="e">
        <f t="shared" si="13"/>
        <v>#NUM!</v>
      </c>
      <c r="E220" s="554" t="e">
        <f t="shared" si="14"/>
        <v>#NUM!</v>
      </c>
      <c r="G220" s="554" t="e">
        <f t="shared" si="15"/>
        <v>#NUM!</v>
      </c>
    </row>
    <row r="221" spans="2:7" x14ac:dyDescent="0.3">
      <c r="B221" s="556">
        <v>212</v>
      </c>
      <c r="C221" s="554" t="e">
        <f t="shared" si="12"/>
        <v>#NUM!</v>
      </c>
      <c r="D221" s="554" t="e">
        <f t="shared" si="13"/>
        <v>#NUM!</v>
      </c>
      <c r="E221" s="554" t="e">
        <f t="shared" si="14"/>
        <v>#NUM!</v>
      </c>
      <c r="G221" s="554" t="e">
        <f t="shared" si="15"/>
        <v>#NUM!</v>
      </c>
    </row>
    <row r="222" spans="2:7" x14ac:dyDescent="0.3">
      <c r="B222" s="556">
        <v>213</v>
      </c>
      <c r="C222" s="554" t="e">
        <f t="shared" si="12"/>
        <v>#NUM!</v>
      </c>
      <c r="D222" s="554" t="e">
        <f t="shared" si="13"/>
        <v>#NUM!</v>
      </c>
      <c r="E222" s="554" t="e">
        <f t="shared" si="14"/>
        <v>#NUM!</v>
      </c>
      <c r="G222" s="554" t="e">
        <f t="shared" si="15"/>
        <v>#NUM!</v>
      </c>
    </row>
    <row r="223" spans="2:7" x14ac:dyDescent="0.3">
      <c r="B223" s="556">
        <v>214</v>
      </c>
      <c r="C223" s="554" t="e">
        <f t="shared" si="12"/>
        <v>#NUM!</v>
      </c>
      <c r="D223" s="554" t="e">
        <f t="shared" si="13"/>
        <v>#NUM!</v>
      </c>
      <c r="E223" s="554" t="e">
        <f t="shared" si="14"/>
        <v>#NUM!</v>
      </c>
      <c r="G223" s="554" t="e">
        <f t="shared" si="15"/>
        <v>#NUM!</v>
      </c>
    </row>
    <row r="224" spans="2:7" x14ac:dyDescent="0.3">
      <c r="B224" s="556">
        <v>215</v>
      </c>
      <c r="C224" s="554" t="e">
        <f t="shared" si="12"/>
        <v>#NUM!</v>
      </c>
      <c r="D224" s="554" t="e">
        <f t="shared" si="13"/>
        <v>#NUM!</v>
      </c>
      <c r="E224" s="554" t="e">
        <f t="shared" si="14"/>
        <v>#NUM!</v>
      </c>
      <c r="G224" s="554" t="e">
        <f t="shared" si="15"/>
        <v>#NUM!</v>
      </c>
    </row>
    <row r="225" spans="2:7" x14ac:dyDescent="0.3">
      <c r="B225" s="556">
        <v>216</v>
      </c>
      <c r="C225" s="554" t="e">
        <f t="shared" si="12"/>
        <v>#NUM!</v>
      </c>
      <c r="D225" s="554" t="e">
        <f t="shared" si="13"/>
        <v>#NUM!</v>
      </c>
      <c r="E225" s="554" t="e">
        <f t="shared" si="14"/>
        <v>#NUM!</v>
      </c>
      <c r="G225" s="554" t="e">
        <f t="shared" si="15"/>
        <v>#NUM!</v>
      </c>
    </row>
    <row r="226" spans="2:7" x14ac:dyDescent="0.3">
      <c r="B226" s="556">
        <v>217</v>
      </c>
      <c r="C226" s="554" t="e">
        <f t="shared" si="12"/>
        <v>#NUM!</v>
      </c>
      <c r="D226" s="554" t="e">
        <f t="shared" si="13"/>
        <v>#NUM!</v>
      </c>
      <c r="E226" s="554" t="e">
        <f t="shared" si="14"/>
        <v>#NUM!</v>
      </c>
      <c r="G226" s="554" t="e">
        <f t="shared" si="15"/>
        <v>#NUM!</v>
      </c>
    </row>
    <row r="227" spans="2:7" x14ac:dyDescent="0.3">
      <c r="B227" s="556">
        <v>218</v>
      </c>
      <c r="C227" s="554" t="e">
        <f t="shared" si="12"/>
        <v>#NUM!</v>
      </c>
      <c r="D227" s="554" t="e">
        <f t="shared" si="13"/>
        <v>#NUM!</v>
      </c>
      <c r="E227" s="554" t="e">
        <f t="shared" si="14"/>
        <v>#NUM!</v>
      </c>
      <c r="G227" s="554" t="e">
        <f t="shared" si="15"/>
        <v>#NUM!</v>
      </c>
    </row>
    <row r="228" spans="2:7" x14ac:dyDescent="0.3">
      <c r="B228" s="556">
        <v>219</v>
      </c>
      <c r="C228" s="554" t="e">
        <f t="shared" si="12"/>
        <v>#NUM!</v>
      </c>
      <c r="D228" s="554" t="e">
        <f t="shared" si="13"/>
        <v>#NUM!</v>
      </c>
      <c r="E228" s="554" t="e">
        <f t="shared" si="14"/>
        <v>#NUM!</v>
      </c>
      <c r="G228" s="554" t="e">
        <f t="shared" si="15"/>
        <v>#NUM!</v>
      </c>
    </row>
    <row r="229" spans="2:7" x14ac:dyDescent="0.3">
      <c r="B229" s="556">
        <v>220</v>
      </c>
      <c r="C229" s="554" t="e">
        <f t="shared" si="12"/>
        <v>#NUM!</v>
      </c>
      <c r="D229" s="554" t="e">
        <f t="shared" si="13"/>
        <v>#NUM!</v>
      </c>
      <c r="E229" s="554" t="e">
        <f t="shared" si="14"/>
        <v>#NUM!</v>
      </c>
      <c r="G229" s="554" t="e">
        <f t="shared" si="15"/>
        <v>#NUM!</v>
      </c>
    </row>
    <row r="230" spans="2:7" x14ac:dyDescent="0.3">
      <c r="B230" s="556">
        <v>221</v>
      </c>
      <c r="C230" s="554" t="e">
        <f t="shared" si="12"/>
        <v>#NUM!</v>
      </c>
      <c r="D230" s="554" t="e">
        <f t="shared" si="13"/>
        <v>#NUM!</v>
      </c>
      <c r="E230" s="554" t="e">
        <f t="shared" si="14"/>
        <v>#NUM!</v>
      </c>
      <c r="G230" s="554" t="e">
        <f t="shared" si="15"/>
        <v>#NUM!</v>
      </c>
    </row>
    <row r="231" spans="2:7" x14ac:dyDescent="0.3">
      <c r="B231" s="556">
        <v>222</v>
      </c>
      <c r="C231" s="554" t="e">
        <f t="shared" si="12"/>
        <v>#NUM!</v>
      </c>
      <c r="D231" s="554" t="e">
        <f t="shared" si="13"/>
        <v>#NUM!</v>
      </c>
      <c r="E231" s="554" t="e">
        <f t="shared" si="14"/>
        <v>#NUM!</v>
      </c>
      <c r="G231" s="554" t="e">
        <f t="shared" si="15"/>
        <v>#NUM!</v>
      </c>
    </row>
    <row r="232" spans="2:7" x14ac:dyDescent="0.3">
      <c r="B232" s="556">
        <v>223</v>
      </c>
      <c r="C232" s="554" t="e">
        <f t="shared" si="12"/>
        <v>#NUM!</v>
      </c>
      <c r="D232" s="554" t="e">
        <f t="shared" si="13"/>
        <v>#NUM!</v>
      </c>
      <c r="E232" s="554" t="e">
        <f t="shared" si="14"/>
        <v>#NUM!</v>
      </c>
      <c r="G232" s="554" t="e">
        <f t="shared" si="15"/>
        <v>#NUM!</v>
      </c>
    </row>
    <row r="233" spans="2:7" x14ac:dyDescent="0.3">
      <c r="B233" s="556">
        <v>224</v>
      </c>
      <c r="C233" s="554" t="e">
        <f t="shared" si="12"/>
        <v>#NUM!</v>
      </c>
      <c r="D233" s="554" t="e">
        <f t="shared" si="13"/>
        <v>#NUM!</v>
      </c>
      <c r="E233" s="554" t="e">
        <f t="shared" si="14"/>
        <v>#NUM!</v>
      </c>
      <c r="G233" s="554" t="e">
        <f t="shared" si="15"/>
        <v>#NUM!</v>
      </c>
    </row>
    <row r="234" spans="2:7" x14ac:dyDescent="0.3">
      <c r="B234" s="556">
        <v>225</v>
      </c>
      <c r="C234" s="554" t="e">
        <f t="shared" si="12"/>
        <v>#NUM!</v>
      </c>
      <c r="D234" s="554" t="e">
        <f t="shared" si="13"/>
        <v>#NUM!</v>
      </c>
      <c r="E234" s="554" t="e">
        <f t="shared" si="14"/>
        <v>#NUM!</v>
      </c>
      <c r="G234" s="554" t="e">
        <f t="shared" si="15"/>
        <v>#NUM!</v>
      </c>
    </row>
    <row r="235" spans="2:7" x14ac:dyDescent="0.3">
      <c r="B235" s="556">
        <v>226</v>
      </c>
      <c r="C235" s="554" t="e">
        <f t="shared" si="12"/>
        <v>#NUM!</v>
      </c>
      <c r="D235" s="554" t="e">
        <f t="shared" si="13"/>
        <v>#NUM!</v>
      </c>
      <c r="E235" s="554" t="e">
        <f t="shared" si="14"/>
        <v>#NUM!</v>
      </c>
      <c r="G235" s="554" t="e">
        <f t="shared" si="15"/>
        <v>#NUM!</v>
      </c>
    </row>
    <row r="236" spans="2:7" x14ac:dyDescent="0.3">
      <c r="B236" s="556">
        <v>227</v>
      </c>
      <c r="C236" s="554" t="e">
        <f t="shared" si="12"/>
        <v>#NUM!</v>
      </c>
      <c r="D236" s="554" t="e">
        <f t="shared" si="13"/>
        <v>#NUM!</v>
      </c>
      <c r="E236" s="554" t="e">
        <f t="shared" si="14"/>
        <v>#NUM!</v>
      </c>
      <c r="G236" s="554" t="e">
        <f t="shared" si="15"/>
        <v>#NUM!</v>
      </c>
    </row>
    <row r="237" spans="2:7" x14ac:dyDescent="0.3">
      <c r="B237" s="556">
        <v>228</v>
      </c>
      <c r="C237" s="554" t="e">
        <f t="shared" si="12"/>
        <v>#NUM!</v>
      </c>
      <c r="D237" s="554" t="e">
        <f t="shared" si="13"/>
        <v>#NUM!</v>
      </c>
      <c r="E237" s="554" t="e">
        <f t="shared" si="14"/>
        <v>#NUM!</v>
      </c>
      <c r="G237" s="554" t="e">
        <f t="shared" si="15"/>
        <v>#NUM!</v>
      </c>
    </row>
    <row r="238" spans="2:7" x14ac:dyDescent="0.3">
      <c r="B238" s="556">
        <v>229</v>
      </c>
      <c r="C238" s="554" t="e">
        <f t="shared" si="12"/>
        <v>#NUM!</v>
      </c>
      <c r="D238" s="554" t="e">
        <f t="shared" si="13"/>
        <v>#NUM!</v>
      </c>
      <c r="E238" s="554" t="e">
        <f t="shared" si="14"/>
        <v>#NUM!</v>
      </c>
      <c r="G238" s="554" t="e">
        <f t="shared" si="15"/>
        <v>#NUM!</v>
      </c>
    </row>
    <row r="239" spans="2:7" x14ac:dyDescent="0.3">
      <c r="B239" s="556">
        <v>230</v>
      </c>
      <c r="C239" s="554" t="e">
        <f t="shared" si="12"/>
        <v>#NUM!</v>
      </c>
      <c r="D239" s="554" t="e">
        <f t="shared" si="13"/>
        <v>#NUM!</v>
      </c>
      <c r="E239" s="554" t="e">
        <f t="shared" si="14"/>
        <v>#NUM!</v>
      </c>
      <c r="G239" s="554" t="e">
        <f t="shared" si="15"/>
        <v>#NUM!</v>
      </c>
    </row>
    <row r="240" spans="2:7" x14ac:dyDescent="0.3">
      <c r="B240" s="556">
        <v>231</v>
      </c>
      <c r="C240" s="554" t="e">
        <f t="shared" si="12"/>
        <v>#NUM!</v>
      </c>
      <c r="D240" s="554" t="e">
        <f t="shared" si="13"/>
        <v>#NUM!</v>
      </c>
      <c r="E240" s="554" t="e">
        <f t="shared" si="14"/>
        <v>#NUM!</v>
      </c>
      <c r="G240" s="554" t="e">
        <f t="shared" si="15"/>
        <v>#NUM!</v>
      </c>
    </row>
    <row r="241" spans="2:7" x14ac:dyDescent="0.3">
      <c r="B241" s="556">
        <v>232</v>
      </c>
      <c r="C241" s="554" t="e">
        <f t="shared" si="12"/>
        <v>#NUM!</v>
      </c>
      <c r="D241" s="554" t="e">
        <f t="shared" si="13"/>
        <v>#NUM!</v>
      </c>
      <c r="E241" s="554" t="e">
        <f t="shared" si="14"/>
        <v>#NUM!</v>
      </c>
      <c r="G241" s="554" t="e">
        <f t="shared" si="15"/>
        <v>#NUM!</v>
      </c>
    </row>
    <row r="242" spans="2:7" x14ac:dyDescent="0.3">
      <c r="B242" s="556">
        <v>233</v>
      </c>
      <c r="C242" s="554" t="e">
        <f t="shared" si="12"/>
        <v>#NUM!</v>
      </c>
      <c r="D242" s="554" t="e">
        <f t="shared" si="13"/>
        <v>#NUM!</v>
      </c>
      <c r="E242" s="554" t="e">
        <f t="shared" si="14"/>
        <v>#NUM!</v>
      </c>
      <c r="G242" s="554" t="e">
        <f t="shared" si="15"/>
        <v>#NUM!</v>
      </c>
    </row>
    <row r="243" spans="2:7" x14ac:dyDescent="0.3">
      <c r="B243" s="556">
        <v>234</v>
      </c>
      <c r="C243" s="554" t="e">
        <f t="shared" si="12"/>
        <v>#NUM!</v>
      </c>
      <c r="D243" s="554" t="e">
        <f t="shared" si="13"/>
        <v>#NUM!</v>
      </c>
      <c r="E243" s="554" t="e">
        <f t="shared" si="14"/>
        <v>#NUM!</v>
      </c>
      <c r="G243" s="554" t="e">
        <f t="shared" si="15"/>
        <v>#NUM!</v>
      </c>
    </row>
    <row r="244" spans="2:7" x14ac:dyDescent="0.3">
      <c r="B244" s="556">
        <v>235</v>
      </c>
      <c r="C244" s="554" t="e">
        <f t="shared" si="12"/>
        <v>#NUM!</v>
      </c>
      <c r="D244" s="554" t="e">
        <f t="shared" si="13"/>
        <v>#NUM!</v>
      </c>
      <c r="E244" s="554" t="e">
        <f t="shared" si="14"/>
        <v>#NUM!</v>
      </c>
      <c r="G244" s="554" t="e">
        <f t="shared" si="15"/>
        <v>#NUM!</v>
      </c>
    </row>
    <row r="245" spans="2:7" x14ac:dyDescent="0.3">
      <c r="B245" s="556">
        <v>236</v>
      </c>
      <c r="C245" s="554" t="e">
        <f t="shared" si="12"/>
        <v>#NUM!</v>
      </c>
      <c r="D245" s="554" t="e">
        <f t="shared" si="13"/>
        <v>#NUM!</v>
      </c>
      <c r="E245" s="554" t="e">
        <f t="shared" si="14"/>
        <v>#NUM!</v>
      </c>
      <c r="G245" s="554" t="e">
        <f t="shared" si="15"/>
        <v>#NUM!</v>
      </c>
    </row>
    <row r="246" spans="2:7" x14ac:dyDescent="0.3">
      <c r="B246" s="556">
        <v>237</v>
      </c>
      <c r="C246" s="554" t="e">
        <f t="shared" si="12"/>
        <v>#NUM!</v>
      </c>
      <c r="D246" s="554" t="e">
        <f t="shared" si="13"/>
        <v>#NUM!</v>
      </c>
      <c r="E246" s="554" t="e">
        <f t="shared" si="14"/>
        <v>#NUM!</v>
      </c>
      <c r="G246" s="554" t="e">
        <f t="shared" si="15"/>
        <v>#NUM!</v>
      </c>
    </row>
    <row r="247" spans="2:7" x14ac:dyDescent="0.3">
      <c r="B247" s="556">
        <v>238</v>
      </c>
      <c r="C247" s="554" t="e">
        <f t="shared" si="12"/>
        <v>#NUM!</v>
      </c>
      <c r="D247" s="554" t="e">
        <f t="shared" si="13"/>
        <v>#NUM!</v>
      </c>
      <c r="E247" s="554" t="e">
        <f t="shared" si="14"/>
        <v>#NUM!</v>
      </c>
      <c r="G247" s="554" t="e">
        <f t="shared" si="15"/>
        <v>#NUM!</v>
      </c>
    </row>
    <row r="248" spans="2:7" x14ac:dyDescent="0.3">
      <c r="B248" s="556">
        <v>239</v>
      </c>
      <c r="C248" s="554" t="e">
        <f t="shared" si="12"/>
        <v>#NUM!</v>
      </c>
      <c r="D248" s="554" t="e">
        <f t="shared" si="13"/>
        <v>#NUM!</v>
      </c>
      <c r="E248" s="554" t="e">
        <f t="shared" si="14"/>
        <v>#NUM!</v>
      </c>
      <c r="G248" s="554" t="e">
        <f t="shared" si="15"/>
        <v>#NUM!</v>
      </c>
    </row>
    <row r="249" spans="2:7" x14ac:dyDescent="0.3">
      <c r="B249" s="556">
        <v>240</v>
      </c>
      <c r="C249" s="554" t="e">
        <f t="shared" si="12"/>
        <v>#NUM!</v>
      </c>
      <c r="D249" s="554" t="e">
        <f t="shared" si="13"/>
        <v>#NUM!</v>
      </c>
      <c r="E249" s="554" t="e">
        <f t="shared" si="14"/>
        <v>#NUM!</v>
      </c>
      <c r="G249" s="554" t="e">
        <f t="shared" si="15"/>
        <v>#NUM!</v>
      </c>
    </row>
    <row r="250" spans="2:7" x14ac:dyDescent="0.3">
      <c r="B250" s="556">
        <v>241</v>
      </c>
      <c r="C250" s="554" t="e">
        <f t="shared" si="12"/>
        <v>#NUM!</v>
      </c>
      <c r="D250" s="554" t="e">
        <f t="shared" si="13"/>
        <v>#NUM!</v>
      </c>
      <c r="E250" s="554" t="e">
        <f t="shared" si="14"/>
        <v>#NUM!</v>
      </c>
      <c r="G250" s="554" t="e">
        <f t="shared" si="15"/>
        <v>#NUM!</v>
      </c>
    </row>
    <row r="251" spans="2:7" x14ac:dyDescent="0.3">
      <c r="B251" s="556">
        <v>242</v>
      </c>
      <c r="C251" s="554" t="e">
        <f t="shared" si="12"/>
        <v>#NUM!</v>
      </c>
      <c r="D251" s="554" t="e">
        <f t="shared" si="13"/>
        <v>#NUM!</v>
      </c>
      <c r="E251" s="554" t="e">
        <f t="shared" si="14"/>
        <v>#NUM!</v>
      </c>
      <c r="G251" s="554" t="e">
        <f t="shared" si="15"/>
        <v>#NUM!</v>
      </c>
    </row>
    <row r="252" spans="2:7" x14ac:dyDescent="0.3">
      <c r="B252" s="556">
        <v>243</v>
      </c>
      <c r="C252" s="554" t="e">
        <f t="shared" si="12"/>
        <v>#NUM!</v>
      </c>
      <c r="D252" s="554" t="e">
        <f t="shared" si="13"/>
        <v>#NUM!</v>
      </c>
      <c r="E252" s="554" t="e">
        <f t="shared" si="14"/>
        <v>#NUM!</v>
      </c>
      <c r="G252" s="554" t="e">
        <f t="shared" si="15"/>
        <v>#NUM!</v>
      </c>
    </row>
    <row r="253" spans="2:7" x14ac:dyDescent="0.3">
      <c r="B253" s="556">
        <v>244</v>
      </c>
      <c r="C253" s="554" t="e">
        <f t="shared" si="12"/>
        <v>#NUM!</v>
      </c>
      <c r="D253" s="554" t="e">
        <f t="shared" si="13"/>
        <v>#NUM!</v>
      </c>
      <c r="E253" s="554" t="e">
        <f t="shared" si="14"/>
        <v>#NUM!</v>
      </c>
      <c r="G253" s="554" t="e">
        <f t="shared" si="15"/>
        <v>#NUM!</v>
      </c>
    </row>
    <row r="254" spans="2:7" x14ac:dyDescent="0.3">
      <c r="B254" s="556">
        <v>245</v>
      </c>
      <c r="C254" s="554" t="e">
        <f t="shared" si="12"/>
        <v>#NUM!</v>
      </c>
      <c r="D254" s="554" t="e">
        <f t="shared" si="13"/>
        <v>#NUM!</v>
      </c>
      <c r="E254" s="554" t="e">
        <f t="shared" si="14"/>
        <v>#NUM!</v>
      </c>
      <c r="G254" s="554" t="e">
        <f t="shared" si="15"/>
        <v>#NUM!</v>
      </c>
    </row>
    <row r="255" spans="2:7" x14ac:dyDescent="0.3">
      <c r="B255" s="556">
        <v>246</v>
      </c>
      <c r="C255" s="554" t="e">
        <f t="shared" si="12"/>
        <v>#NUM!</v>
      </c>
      <c r="D255" s="554" t="e">
        <f t="shared" si="13"/>
        <v>#NUM!</v>
      </c>
      <c r="E255" s="554" t="e">
        <f t="shared" si="14"/>
        <v>#NUM!</v>
      </c>
      <c r="G255" s="554" t="e">
        <f t="shared" si="15"/>
        <v>#NUM!</v>
      </c>
    </row>
    <row r="256" spans="2:7" x14ac:dyDescent="0.3">
      <c r="B256" s="556">
        <v>247</v>
      </c>
      <c r="C256" s="554" t="e">
        <f t="shared" si="12"/>
        <v>#NUM!</v>
      </c>
      <c r="D256" s="554" t="e">
        <f t="shared" si="13"/>
        <v>#NUM!</v>
      </c>
      <c r="E256" s="554" t="e">
        <f t="shared" si="14"/>
        <v>#NUM!</v>
      </c>
      <c r="G256" s="554" t="e">
        <f t="shared" si="15"/>
        <v>#NUM!</v>
      </c>
    </row>
    <row r="257" spans="2:7" x14ac:dyDescent="0.3">
      <c r="B257" s="556">
        <v>248</v>
      </c>
      <c r="C257" s="554" t="e">
        <f t="shared" si="12"/>
        <v>#NUM!</v>
      </c>
      <c r="D257" s="554" t="e">
        <f t="shared" si="13"/>
        <v>#NUM!</v>
      </c>
      <c r="E257" s="554" t="e">
        <f t="shared" si="14"/>
        <v>#NUM!</v>
      </c>
      <c r="G257" s="554" t="e">
        <f t="shared" si="15"/>
        <v>#NUM!</v>
      </c>
    </row>
    <row r="258" spans="2:7" x14ac:dyDescent="0.3">
      <c r="B258" s="556">
        <v>249</v>
      </c>
      <c r="C258" s="554" t="e">
        <f t="shared" si="12"/>
        <v>#NUM!</v>
      </c>
      <c r="D258" s="554" t="e">
        <f t="shared" si="13"/>
        <v>#NUM!</v>
      </c>
      <c r="E258" s="554" t="e">
        <f t="shared" si="14"/>
        <v>#NUM!</v>
      </c>
      <c r="G258" s="554" t="e">
        <f t="shared" si="15"/>
        <v>#NUM!</v>
      </c>
    </row>
    <row r="259" spans="2:7" x14ac:dyDescent="0.3">
      <c r="B259" s="556">
        <v>250</v>
      </c>
      <c r="C259" s="554" t="e">
        <f t="shared" si="12"/>
        <v>#NUM!</v>
      </c>
      <c r="D259" s="554" t="e">
        <f t="shared" si="13"/>
        <v>#NUM!</v>
      </c>
      <c r="E259" s="554" t="e">
        <f t="shared" si="14"/>
        <v>#NUM!</v>
      </c>
      <c r="G259" s="554" t="e">
        <f t="shared" si="15"/>
        <v>#NUM!</v>
      </c>
    </row>
    <row r="260" spans="2:7" x14ac:dyDescent="0.3">
      <c r="B260" s="556">
        <v>251</v>
      </c>
      <c r="C260" s="554" t="e">
        <f t="shared" si="12"/>
        <v>#NUM!</v>
      </c>
      <c r="D260" s="554" t="e">
        <f t="shared" si="13"/>
        <v>#NUM!</v>
      </c>
      <c r="E260" s="554" t="e">
        <f t="shared" si="14"/>
        <v>#NUM!</v>
      </c>
      <c r="G260" s="554" t="e">
        <f t="shared" si="15"/>
        <v>#NUM!</v>
      </c>
    </row>
    <row r="261" spans="2:7" x14ac:dyDescent="0.3">
      <c r="B261" s="556">
        <v>252</v>
      </c>
      <c r="C261" s="554" t="e">
        <f t="shared" si="12"/>
        <v>#NUM!</v>
      </c>
      <c r="D261" s="554" t="e">
        <f t="shared" si="13"/>
        <v>#NUM!</v>
      </c>
      <c r="E261" s="554" t="e">
        <f t="shared" si="14"/>
        <v>#NUM!</v>
      </c>
      <c r="G261" s="554" t="e">
        <f t="shared" si="15"/>
        <v>#NUM!</v>
      </c>
    </row>
    <row r="262" spans="2:7" x14ac:dyDescent="0.3">
      <c r="B262" s="556">
        <v>253</v>
      </c>
      <c r="C262" s="554" t="e">
        <f t="shared" si="12"/>
        <v>#NUM!</v>
      </c>
      <c r="D262" s="554" t="e">
        <f t="shared" si="13"/>
        <v>#NUM!</v>
      </c>
      <c r="E262" s="554" t="e">
        <f t="shared" si="14"/>
        <v>#NUM!</v>
      </c>
      <c r="G262" s="554" t="e">
        <f t="shared" si="15"/>
        <v>#NUM!</v>
      </c>
    </row>
    <row r="263" spans="2:7" x14ac:dyDescent="0.3">
      <c r="B263" s="556">
        <v>254</v>
      </c>
      <c r="C263" s="554" t="e">
        <f t="shared" si="12"/>
        <v>#NUM!</v>
      </c>
      <c r="D263" s="554" t="e">
        <f t="shared" si="13"/>
        <v>#NUM!</v>
      </c>
      <c r="E263" s="554" t="e">
        <f t="shared" si="14"/>
        <v>#NUM!</v>
      </c>
      <c r="G263" s="554" t="e">
        <f t="shared" si="15"/>
        <v>#NUM!</v>
      </c>
    </row>
    <row r="264" spans="2:7" x14ac:dyDescent="0.3">
      <c r="B264" s="556">
        <v>255</v>
      </c>
      <c r="C264" s="554" t="e">
        <f t="shared" si="12"/>
        <v>#NUM!</v>
      </c>
      <c r="D264" s="554" t="e">
        <f t="shared" si="13"/>
        <v>#NUM!</v>
      </c>
      <c r="E264" s="554" t="e">
        <f t="shared" si="14"/>
        <v>#NUM!</v>
      </c>
      <c r="G264" s="554" t="e">
        <f t="shared" si="15"/>
        <v>#NUM!</v>
      </c>
    </row>
    <row r="265" spans="2:7" x14ac:dyDescent="0.3">
      <c r="B265" s="556">
        <v>256</v>
      </c>
      <c r="C265" s="554" t="e">
        <f t="shared" si="12"/>
        <v>#NUM!</v>
      </c>
      <c r="D265" s="554" t="e">
        <f t="shared" si="13"/>
        <v>#NUM!</v>
      </c>
      <c r="E265" s="554" t="e">
        <f t="shared" si="14"/>
        <v>#NUM!</v>
      </c>
      <c r="G265" s="554" t="e">
        <f t="shared" si="15"/>
        <v>#NUM!</v>
      </c>
    </row>
    <row r="266" spans="2:7" x14ac:dyDescent="0.3">
      <c r="B266" s="556">
        <v>257</v>
      </c>
      <c r="C266" s="554" t="e">
        <f t="shared" ref="C266:C329" si="16">IF($C$3&lt;G266+(G266*($C$4/$C$6)),$C$3,G266+(G266*($C$4/$C$6)))</f>
        <v>#NUM!</v>
      </c>
      <c r="D266" s="554" t="e">
        <f t="shared" ref="D266:D329" si="17">G266*$C$4/$C$6</f>
        <v>#NUM!</v>
      </c>
      <c r="E266" s="554" t="e">
        <f t="shared" ref="E266:E329" si="18">C266-D266</f>
        <v>#NUM!</v>
      </c>
      <c r="G266" s="554" t="e">
        <f t="shared" si="15"/>
        <v>#NUM!</v>
      </c>
    </row>
    <row r="267" spans="2:7" x14ac:dyDescent="0.3">
      <c r="B267" s="556">
        <v>258</v>
      </c>
      <c r="C267" s="554" t="e">
        <f t="shared" si="16"/>
        <v>#NUM!</v>
      </c>
      <c r="D267" s="554" t="e">
        <f t="shared" si="17"/>
        <v>#NUM!</v>
      </c>
      <c r="E267" s="554" t="e">
        <f t="shared" si="18"/>
        <v>#NUM!</v>
      </c>
      <c r="G267" s="554" t="e">
        <f t="shared" ref="G267:G330" si="19">G266-E266-F266</f>
        <v>#NUM!</v>
      </c>
    </row>
    <row r="268" spans="2:7" x14ac:dyDescent="0.3">
      <c r="B268" s="556">
        <v>259</v>
      </c>
      <c r="C268" s="554" t="e">
        <f t="shared" si="16"/>
        <v>#NUM!</v>
      </c>
      <c r="D268" s="554" t="e">
        <f t="shared" si="17"/>
        <v>#NUM!</v>
      </c>
      <c r="E268" s="554" t="e">
        <f t="shared" si="18"/>
        <v>#NUM!</v>
      </c>
      <c r="G268" s="554" t="e">
        <f t="shared" si="19"/>
        <v>#NUM!</v>
      </c>
    </row>
    <row r="269" spans="2:7" x14ac:dyDescent="0.3">
      <c r="B269" s="556">
        <v>260</v>
      </c>
      <c r="C269" s="554" t="e">
        <f t="shared" si="16"/>
        <v>#NUM!</v>
      </c>
      <c r="D269" s="554" t="e">
        <f t="shared" si="17"/>
        <v>#NUM!</v>
      </c>
      <c r="E269" s="554" t="e">
        <f t="shared" si="18"/>
        <v>#NUM!</v>
      </c>
      <c r="G269" s="554" t="e">
        <f t="shared" si="19"/>
        <v>#NUM!</v>
      </c>
    </row>
    <row r="270" spans="2:7" x14ac:dyDescent="0.3">
      <c r="B270" s="556">
        <v>261</v>
      </c>
      <c r="C270" s="554" t="e">
        <f t="shared" si="16"/>
        <v>#NUM!</v>
      </c>
      <c r="D270" s="554" t="e">
        <f t="shared" si="17"/>
        <v>#NUM!</v>
      </c>
      <c r="E270" s="554" t="e">
        <f t="shared" si="18"/>
        <v>#NUM!</v>
      </c>
      <c r="G270" s="554" t="e">
        <f t="shared" si="19"/>
        <v>#NUM!</v>
      </c>
    </row>
    <row r="271" spans="2:7" x14ac:dyDescent="0.3">
      <c r="B271" s="556">
        <v>262</v>
      </c>
      <c r="C271" s="554" t="e">
        <f t="shared" si="16"/>
        <v>#NUM!</v>
      </c>
      <c r="D271" s="554" t="e">
        <f t="shared" si="17"/>
        <v>#NUM!</v>
      </c>
      <c r="E271" s="554" t="e">
        <f t="shared" si="18"/>
        <v>#NUM!</v>
      </c>
      <c r="G271" s="554" t="e">
        <f t="shared" si="19"/>
        <v>#NUM!</v>
      </c>
    </row>
    <row r="272" spans="2:7" x14ac:dyDescent="0.3">
      <c r="B272" s="556">
        <v>263</v>
      </c>
      <c r="C272" s="554" t="e">
        <f t="shared" si="16"/>
        <v>#NUM!</v>
      </c>
      <c r="D272" s="554" t="e">
        <f t="shared" si="17"/>
        <v>#NUM!</v>
      </c>
      <c r="E272" s="554" t="e">
        <f t="shared" si="18"/>
        <v>#NUM!</v>
      </c>
      <c r="G272" s="554" t="e">
        <f t="shared" si="19"/>
        <v>#NUM!</v>
      </c>
    </row>
    <row r="273" spans="2:7" x14ac:dyDescent="0.3">
      <c r="B273" s="556">
        <v>264</v>
      </c>
      <c r="C273" s="554" t="e">
        <f t="shared" si="16"/>
        <v>#NUM!</v>
      </c>
      <c r="D273" s="554" t="e">
        <f t="shared" si="17"/>
        <v>#NUM!</v>
      </c>
      <c r="E273" s="554" t="e">
        <f t="shared" si="18"/>
        <v>#NUM!</v>
      </c>
      <c r="G273" s="554" t="e">
        <f t="shared" si="19"/>
        <v>#NUM!</v>
      </c>
    </row>
    <row r="274" spans="2:7" x14ac:dyDescent="0.3">
      <c r="B274" s="556">
        <v>265</v>
      </c>
      <c r="C274" s="554" t="e">
        <f t="shared" si="16"/>
        <v>#NUM!</v>
      </c>
      <c r="D274" s="554" t="e">
        <f t="shared" si="17"/>
        <v>#NUM!</v>
      </c>
      <c r="E274" s="554" t="e">
        <f t="shared" si="18"/>
        <v>#NUM!</v>
      </c>
      <c r="G274" s="554" t="e">
        <f t="shared" si="19"/>
        <v>#NUM!</v>
      </c>
    </row>
    <row r="275" spans="2:7" x14ac:dyDescent="0.3">
      <c r="B275" s="556">
        <v>266</v>
      </c>
      <c r="C275" s="554" t="e">
        <f t="shared" si="16"/>
        <v>#NUM!</v>
      </c>
      <c r="D275" s="554" t="e">
        <f t="shared" si="17"/>
        <v>#NUM!</v>
      </c>
      <c r="E275" s="554" t="e">
        <f t="shared" si="18"/>
        <v>#NUM!</v>
      </c>
      <c r="G275" s="554" t="e">
        <f t="shared" si="19"/>
        <v>#NUM!</v>
      </c>
    </row>
    <row r="276" spans="2:7" x14ac:dyDescent="0.3">
      <c r="B276" s="556">
        <v>267</v>
      </c>
      <c r="C276" s="554" t="e">
        <f t="shared" si="16"/>
        <v>#NUM!</v>
      </c>
      <c r="D276" s="554" t="e">
        <f t="shared" si="17"/>
        <v>#NUM!</v>
      </c>
      <c r="E276" s="554" t="e">
        <f t="shared" si="18"/>
        <v>#NUM!</v>
      </c>
      <c r="G276" s="554" t="e">
        <f t="shared" si="19"/>
        <v>#NUM!</v>
      </c>
    </row>
    <row r="277" spans="2:7" x14ac:dyDescent="0.3">
      <c r="B277" s="556">
        <v>268</v>
      </c>
      <c r="C277" s="554" t="e">
        <f t="shared" si="16"/>
        <v>#NUM!</v>
      </c>
      <c r="D277" s="554" t="e">
        <f t="shared" si="17"/>
        <v>#NUM!</v>
      </c>
      <c r="E277" s="554" t="e">
        <f t="shared" si="18"/>
        <v>#NUM!</v>
      </c>
      <c r="G277" s="554" t="e">
        <f t="shared" si="19"/>
        <v>#NUM!</v>
      </c>
    </row>
    <row r="278" spans="2:7" x14ac:dyDescent="0.3">
      <c r="B278" s="556">
        <v>269</v>
      </c>
      <c r="C278" s="554" t="e">
        <f t="shared" si="16"/>
        <v>#NUM!</v>
      </c>
      <c r="D278" s="554" t="e">
        <f t="shared" si="17"/>
        <v>#NUM!</v>
      </c>
      <c r="E278" s="554" t="e">
        <f t="shared" si="18"/>
        <v>#NUM!</v>
      </c>
      <c r="G278" s="554" t="e">
        <f t="shared" si="19"/>
        <v>#NUM!</v>
      </c>
    </row>
    <row r="279" spans="2:7" x14ac:dyDescent="0.3">
      <c r="B279" s="556">
        <v>270</v>
      </c>
      <c r="C279" s="554" t="e">
        <f t="shared" si="16"/>
        <v>#NUM!</v>
      </c>
      <c r="D279" s="554" t="e">
        <f t="shared" si="17"/>
        <v>#NUM!</v>
      </c>
      <c r="E279" s="554" t="e">
        <f t="shared" si="18"/>
        <v>#NUM!</v>
      </c>
      <c r="G279" s="554" t="e">
        <f t="shared" si="19"/>
        <v>#NUM!</v>
      </c>
    </row>
    <row r="280" spans="2:7" x14ac:dyDescent="0.3">
      <c r="B280" s="556">
        <v>271</v>
      </c>
      <c r="C280" s="554" t="e">
        <f t="shared" si="16"/>
        <v>#NUM!</v>
      </c>
      <c r="D280" s="554" t="e">
        <f t="shared" si="17"/>
        <v>#NUM!</v>
      </c>
      <c r="E280" s="554" t="e">
        <f t="shared" si="18"/>
        <v>#NUM!</v>
      </c>
      <c r="G280" s="554" t="e">
        <f t="shared" si="19"/>
        <v>#NUM!</v>
      </c>
    </row>
    <row r="281" spans="2:7" x14ac:dyDescent="0.3">
      <c r="B281" s="556">
        <v>272</v>
      </c>
      <c r="C281" s="554" t="e">
        <f t="shared" si="16"/>
        <v>#NUM!</v>
      </c>
      <c r="D281" s="554" t="e">
        <f t="shared" si="17"/>
        <v>#NUM!</v>
      </c>
      <c r="E281" s="554" t="e">
        <f t="shared" si="18"/>
        <v>#NUM!</v>
      </c>
      <c r="G281" s="554" t="e">
        <f t="shared" si="19"/>
        <v>#NUM!</v>
      </c>
    </row>
    <row r="282" spans="2:7" x14ac:dyDescent="0.3">
      <c r="B282" s="556">
        <v>273</v>
      </c>
      <c r="C282" s="554" t="e">
        <f t="shared" si="16"/>
        <v>#NUM!</v>
      </c>
      <c r="D282" s="554" t="e">
        <f t="shared" si="17"/>
        <v>#NUM!</v>
      </c>
      <c r="E282" s="554" t="e">
        <f t="shared" si="18"/>
        <v>#NUM!</v>
      </c>
      <c r="G282" s="554" t="e">
        <f t="shared" si="19"/>
        <v>#NUM!</v>
      </c>
    </row>
    <row r="283" spans="2:7" x14ac:dyDescent="0.3">
      <c r="B283" s="556">
        <v>274</v>
      </c>
      <c r="C283" s="554" t="e">
        <f t="shared" si="16"/>
        <v>#NUM!</v>
      </c>
      <c r="D283" s="554" t="e">
        <f t="shared" si="17"/>
        <v>#NUM!</v>
      </c>
      <c r="E283" s="554" t="e">
        <f t="shared" si="18"/>
        <v>#NUM!</v>
      </c>
      <c r="G283" s="554" t="e">
        <f t="shared" si="19"/>
        <v>#NUM!</v>
      </c>
    </row>
    <row r="284" spans="2:7" x14ac:dyDescent="0.3">
      <c r="B284" s="556">
        <v>275</v>
      </c>
      <c r="C284" s="554" t="e">
        <f t="shared" si="16"/>
        <v>#NUM!</v>
      </c>
      <c r="D284" s="554" t="e">
        <f t="shared" si="17"/>
        <v>#NUM!</v>
      </c>
      <c r="E284" s="554" t="e">
        <f t="shared" si="18"/>
        <v>#NUM!</v>
      </c>
      <c r="G284" s="554" t="e">
        <f t="shared" si="19"/>
        <v>#NUM!</v>
      </c>
    </row>
    <row r="285" spans="2:7" x14ac:dyDescent="0.3">
      <c r="B285" s="556">
        <v>276</v>
      </c>
      <c r="C285" s="554" t="e">
        <f t="shared" si="16"/>
        <v>#NUM!</v>
      </c>
      <c r="D285" s="554" t="e">
        <f t="shared" si="17"/>
        <v>#NUM!</v>
      </c>
      <c r="E285" s="554" t="e">
        <f t="shared" si="18"/>
        <v>#NUM!</v>
      </c>
      <c r="G285" s="554" t="e">
        <f t="shared" si="19"/>
        <v>#NUM!</v>
      </c>
    </row>
    <row r="286" spans="2:7" x14ac:dyDescent="0.3">
      <c r="B286" s="556">
        <v>277</v>
      </c>
      <c r="C286" s="554" t="e">
        <f t="shared" si="16"/>
        <v>#NUM!</v>
      </c>
      <c r="D286" s="554" t="e">
        <f t="shared" si="17"/>
        <v>#NUM!</v>
      </c>
      <c r="E286" s="554" t="e">
        <f t="shared" si="18"/>
        <v>#NUM!</v>
      </c>
      <c r="G286" s="554" t="e">
        <f t="shared" si="19"/>
        <v>#NUM!</v>
      </c>
    </row>
    <row r="287" spans="2:7" x14ac:dyDescent="0.3">
      <c r="B287" s="556">
        <v>278</v>
      </c>
      <c r="C287" s="554" t="e">
        <f t="shared" si="16"/>
        <v>#NUM!</v>
      </c>
      <c r="D287" s="554" t="e">
        <f t="shared" si="17"/>
        <v>#NUM!</v>
      </c>
      <c r="E287" s="554" t="e">
        <f t="shared" si="18"/>
        <v>#NUM!</v>
      </c>
      <c r="G287" s="554" t="e">
        <f t="shared" si="19"/>
        <v>#NUM!</v>
      </c>
    </row>
    <row r="288" spans="2:7" x14ac:dyDescent="0.3">
      <c r="B288" s="556">
        <v>279</v>
      </c>
      <c r="C288" s="554" t="e">
        <f t="shared" si="16"/>
        <v>#NUM!</v>
      </c>
      <c r="D288" s="554" t="e">
        <f t="shared" si="17"/>
        <v>#NUM!</v>
      </c>
      <c r="E288" s="554" t="e">
        <f t="shared" si="18"/>
        <v>#NUM!</v>
      </c>
      <c r="G288" s="554" t="e">
        <f t="shared" si="19"/>
        <v>#NUM!</v>
      </c>
    </row>
    <row r="289" spans="2:7" x14ac:dyDescent="0.3">
      <c r="B289" s="556">
        <v>280</v>
      </c>
      <c r="C289" s="554" t="e">
        <f t="shared" si="16"/>
        <v>#NUM!</v>
      </c>
      <c r="D289" s="554" t="e">
        <f t="shared" si="17"/>
        <v>#NUM!</v>
      </c>
      <c r="E289" s="554" t="e">
        <f t="shared" si="18"/>
        <v>#NUM!</v>
      </c>
      <c r="G289" s="554" t="e">
        <f t="shared" si="19"/>
        <v>#NUM!</v>
      </c>
    </row>
    <row r="290" spans="2:7" x14ac:dyDescent="0.3">
      <c r="B290" s="556">
        <v>281</v>
      </c>
      <c r="C290" s="554" t="e">
        <f t="shared" si="16"/>
        <v>#NUM!</v>
      </c>
      <c r="D290" s="554" t="e">
        <f t="shared" si="17"/>
        <v>#NUM!</v>
      </c>
      <c r="E290" s="554" t="e">
        <f t="shared" si="18"/>
        <v>#NUM!</v>
      </c>
      <c r="G290" s="554" t="e">
        <f t="shared" si="19"/>
        <v>#NUM!</v>
      </c>
    </row>
    <row r="291" spans="2:7" x14ac:dyDescent="0.3">
      <c r="B291" s="556">
        <v>282</v>
      </c>
      <c r="C291" s="554" t="e">
        <f t="shared" si="16"/>
        <v>#NUM!</v>
      </c>
      <c r="D291" s="554" t="e">
        <f t="shared" si="17"/>
        <v>#NUM!</v>
      </c>
      <c r="E291" s="554" t="e">
        <f t="shared" si="18"/>
        <v>#NUM!</v>
      </c>
      <c r="G291" s="554" t="e">
        <f t="shared" si="19"/>
        <v>#NUM!</v>
      </c>
    </row>
    <row r="292" spans="2:7" x14ac:dyDescent="0.3">
      <c r="B292" s="556">
        <v>283</v>
      </c>
      <c r="C292" s="554" t="e">
        <f t="shared" si="16"/>
        <v>#NUM!</v>
      </c>
      <c r="D292" s="554" t="e">
        <f t="shared" si="17"/>
        <v>#NUM!</v>
      </c>
      <c r="E292" s="554" t="e">
        <f t="shared" si="18"/>
        <v>#NUM!</v>
      </c>
      <c r="G292" s="554" t="e">
        <f t="shared" si="19"/>
        <v>#NUM!</v>
      </c>
    </row>
    <row r="293" spans="2:7" x14ac:dyDescent="0.3">
      <c r="B293" s="556">
        <v>284</v>
      </c>
      <c r="C293" s="554" t="e">
        <f t="shared" si="16"/>
        <v>#NUM!</v>
      </c>
      <c r="D293" s="554" t="e">
        <f t="shared" si="17"/>
        <v>#NUM!</v>
      </c>
      <c r="E293" s="554" t="e">
        <f t="shared" si="18"/>
        <v>#NUM!</v>
      </c>
      <c r="G293" s="554" t="e">
        <f t="shared" si="19"/>
        <v>#NUM!</v>
      </c>
    </row>
    <row r="294" spans="2:7" x14ac:dyDescent="0.3">
      <c r="B294" s="556">
        <v>285</v>
      </c>
      <c r="C294" s="554" t="e">
        <f t="shared" si="16"/>
        <v>#NUM!</v>
      </c>
      <c r="D294" s="554" t="e">
        <f t="shared" si="17"/>
        <v>#NUM!</v>
      </c>
      <c r="E294" s="554" t="e">
        <f t="shared" si="18"/>
        <v>#NUM!</v>
      </c>
      <c r="G294" s="554" t="e">
        <f t="shared" si="19"/>
        <v>#NUM!</v>
      </c>
    </row>
    <row r="295" spans="2:7" x14ac:dyDescent="0.3">
      <c r="B295" s="556">
        <v>286</v>
      </c>
      <c r="C295" s="554" t="e">
        <f t="shared" si="16"/>
        <v>#NUM!</v>
      </c>
      <c r="D295" s="554" t="e">
        <f t="shared" si="17"/>
        <v>#NUM!</v>
      </c>
      <c r="E295" s="554" t="e">
        <f t="shared" si="18"/>
        <v>#NUM!</v>
      </c>
      <c r="G295" s="554" t="e">
        <f t="shared" si="19"/>
        <v>#NUM!</v>
      </c>
    </row>
    <row r="296" spans="2:7" x14ac:dyDescent="0.3">
      <c r="B296" s="556">
        <v>287</v>
      </c>
      <c r="C296" s="554" t="e">
        <f t="shared" si="16"/>
        <v>#NUM!</v>
      </c>
      <c r="D296" s="554" t="e">
        <f t="shared" si="17"/>
        <v>#NUM!</v>
      </c>
      <c r="E296" s="554" t="e">
        <f t="shared" si="18"/>
        <v>#NUM!</v>
      </c>
      <c r="G296" s="554" t="e">
        <f t="shared" si="19"/>
        <v>#NUM!</v>
      </c>
    </row>
    <row r="297" spans="2:7" x14ac:dyDescent="0.3">
      <c r="B297" s="556">
        <v>288</v>
      </c>
      <c r="C297" s="554" t="e">
        <f t="shared" si="16"/>
        <v>#NUM!</v>
      </c>
      <c r="D297" s="554" t="e">
        <f t="shared" si="17"/>
        <v>#NUM!</v>
      </c>
      <c r="E297" s="554" t="e">
        <f t="shared" si="18"/>
        <v>#NUM!</v>
      </c>
      <c r="G297" s="554" t="e">
        <f t="shared" si="19"/>
        <v>#NUM!</v>
      </c>
    </row>
    <row r="298" spans="2:7" x14ac:dyDescent="0.3">
      <c r="B298" s="556">
        <v>289</v>
      </c>
      <c r="C298" s="554" t="e">
        <f t="shared" si="16"/>
        <v>#NUM!</v>
      </c>
      <c r="D298" s="554" t="e">
        <f t="shared" si="17"/>
        <v>#NUM!</v>
      </c>
      <c r="E298" s="554" t="e">
        <f t="shared" si="18"/>
        <v>#NUM!</v>
      </c>
      <c r="G298" s="554" t="e">
        <f t="shared" si="19"/>
        <v>#NUM!</v>
      </c>
    </row>
    <row r="299" spans="2:7" x14ac:dyDescent="0.3">
      <c r="B299" s="556">
        <v>290</v>
      </c>
      <c r="C299" s="554" t="e">
        <f t="shared" si="16"/>
        <v>#NUM!</v>
      </c>
      <c r="D299" s="554" t="e">
        <f t="shared" si="17"/>
        <v>#NUM!</v>
      </c>
      <c r="E299" s="554" t="e">
        <f t="shared" si="18"/>
        <v>#NUM!</v>
      </c>
      <c r="G299" s="554" t="e">
        <f t="shared" si="19"/>
        <v>#NUM!</v>
      </c>
    </row>
    <row r="300" spans="2:7" x14ac:dyDescent="0.3">
      <c r="B300" s="556">
        <v>291</v>
      </c>
      <c r="C300" s="554" t="e">
        <f t="shared" si="16"/>
        <v>#NUM!</v>
      </c>
      <c r="D300" s="554" t="e">
        <f t="shared" si="17"/>
        <v>#NUM!</v>
      </c>
      <c r="E300" s="554" t="e">
        <f t="shared" si="18"/>
        <v>#NUM!</v>
      </c>
      <c r="G300" s="554" t="e">
        <f t="shared" si="19"/>
        <v>#NUM!</v>
      </c>
    </row>
    <row r="301" spans="2:7" x14ac:dyDescent="0.3">
      <c r="B301" s="556">
        <v>292</v>
      </c>
      <c r="C301" s="554" t="e">
        <f t="shared" si="16"/>
        <v>#NUM!</v>
      </c>
      <c r="D301" s="554" t="e">
        <f t="shared" si="17"/>
        <v>#NUM!</v>
      </c>
      <c r="E301" s="554" t="e">
        <f t="shared" si="18"/>
        <v>#NUM!</v>
      </c>
      <c r="G301" s="554" t="e">
        <f t="shared" si="19"/>
        <v>#NUM!</v>
      </c>
    </row>
    <row r="302" spans="2:7" x14ac:dyDescent="0.3">
      <c r="B302" s="556">
        <v>293</v>
      </c>
      <c r="C302" s="554" t="e">
        <f t="shared" si="16"/>
        <v>#NUM!</v>
      </c>
      <c r="D302" s="554" t="e">
        <f t="shared" si="17"/>
        <v>#NUM!</v>
      </c>
      <c r="E302" s="554" t="e">
        <f t="shared" si="18"/>
        <v>#NUM!</v>
      </c>
      <c r="G302" s="554" t="e">
        <f t="shared" si="19"/>
        <v>#NUM!</v>
      </c>
    </row>
    <row r="303" spans="2:7" x14ac:dyDescent="0.3">
      <c r="B303" s="556">
        <v>294</v>
      </c>
      <c r="C303" s="554" t="e">
        <f t="shared" si="16"/>
        <v>#NUM!</v>
      </c>
      <c r="D303" s="554" t="e">
        <f t="shared" si="17"/>
        <v>#NUM!</v>
      </c>
      <c r="E303" s="554" t="e">
        <f t="shared" si="18"/>
        <v>#NUM!</v>
      </c>
      <c r="G303" s="554" t="e">
        <f t="shared" si="19"/>
        <v>#NUM!</v>
      </c>
    </row>
    <row r="304" spans="2:7" x14ac:dyDescent="0.3">
      <c r="B304" s="556">
        <v>295</v>
      </c>
      <c r="C304" s="554" t="e">
        <f t="shared" si="16"/>
        <v>#NUM!</v>
      </c>
      <c r="D304" s="554" t="e">
        <f t="shared" si="17"/>
        <v>#NUM!</v>
      </c>
      <c r="E304" s="554" t="e">
        <f t="shared" si="18"/>
        <v>#NUM!</v>
      </c>
      <c r="G304" s="554" t="e">
        <f t="shared" si="19"/>
        <v>#NUM!</v>
      </c>
    </row>
    <row r="305" spans="2:7" x14ac:dyDescent="0.3">
      <c r="B305" s="556">
        <v>296</v>
      </c>
      <c r="C305" s="554" t="e">
        <f t="shared" si="16"/>
        <v>#NUM!</v>
      </c>
      <c r="D305" s="554" t="e">
        <f t="shared" si="17"/>
        <v>#NUM!</v>
      </c>
      <c r="E305" s="554" t="e">
        <f t="shared" si="18"/>
        <v>#NUM!</v>
      </c>
      <c r="G305" s="554" t="e">
        <f t="shared" si="19"/>
        <v>#NUM!</v>
      </c>
    </row>
    <row r="306" spans="2:7" x14ac:dyDescent="0.3">
      <c r="B306" s="556">
        <v>297</v>
      </c>
      <c r="C306" s="554" t="e">
        <f t="shared" si="16"/>
        <v>#NUM!</v>
      </c>
      <c r="D306" s="554" t="e">
        <f t="shared" si="17"/>
        <v>#NUM!</v>
      </c>
      <c r="E306" s="554" t="e">
        <f t="shared" si="18"/>
        <v>#NUM!</v>
      </c>
      <c r="G306" s="554" t="e">
        <f t="shared" si="19"/>
        <v>#NUM!</v>
      </c>
    </row>
    <row r="307" spans="2:7" x14ac:dyDescent="0.3">
      <c r="B307" s="556">
        <v>298</v>
      </c>
      <c r="C307" s="554" t="e">
        <f t="shared" si="16"/>
        <v>#NUM!</v>
      </c>
      <c r="D307" s="554" t="e">
        <f t="shared" si="17"/>
        <v>#NUM!</v>
      </c>
      <c r="E307" s="554" t="e">
        <f t="shared" si="18"/>
        <v>#NUM!</v>
      </c>
      <c r="G307" s="554" t="e">
        <f t="shared" si="19"/>
        <v>#NUM!</v>
      </c>
    </row>
    <row r="308" spans="2:7" x14ac:dyDescent="0.3">
      <c r="B308" s="556">
        <v>299</v>
      </c>
      <c r="C308" s="554" t="e">
        <f t="shared" si="16"/>
        <v>#NUM!</v>
      </c>
      <c r="D308" s="554" t="e">
        <f t="shared" si="17"/>
        <v>#NUM!</v>
      </c>
      <c r="E308" s="554" t="e">
        <f t="shared" si="18"/>
        <v>#NUM!</v>
      </c>
      <c r="G308" s="554" t="e">
        <f t="shared" si="19"/>
        <v>#NUM!</v>
      </c>
    </row>
    <row r="309" spans="2:7" x14ac:dyDescent="0.3">
      <c r="B309" s="556">
        <v>300</v>
      </c>
      <c r="C309" s="554" t="e">
        <f t="shared" si="16"/>
        <v>#NUM!</v>
      </c>
      <c r="D309" s="554" t="e">
        <f t="shared" si="17"/>
        <v>#NUM!</v>
      </c>
      <c r="E309" s="554" t="e">
        <f t="shared" si="18"/>
        <v>#NUM!</v>
      </c>
      <c r="G309" s="554" t="e">
        <f t="shared" si="19"/>
        <v>#NUM!</v>
      </c>
    </row>
    <row r="310" spans="2:7" x14ac:dyDescent="0.3">
      <c r="B310" s="556">
        <v>301</v>
      </c>
      <c r="C310" s="554" t="e">
        <f t="shared" si="16"/>
        <v>#NUM!</v>
      </c>
      <c r="D310" s="554" t="e">
        <f t="shared" si="17"/>
        <v>#NUM!</v>
      </c>
      <c r="E310" s="554" t="e">
        <f t="shared" si="18"/>
        <v>#NUM!</v>
      </c>
      <c r="G310" s="554" t="e">
        <f t="shared" si="19"/>
        <v>#NUM!</v>
      </c>
    </row>
    <row r="311" spans="2:7" x14ac:dyDescent="0.3">
      <c r="B311" s="556">
        <v>302</v>
      </c>
      <c r="C311" s="554" t="e">
        <f t="shared" si="16"/>
        <v>#NUM!</v>
      </c>
      <c r="D311" s="554" t="e">
        <f t="shared" si="17"/>
        <v>#NUM!</v>
      </c>
      <c r="E311" s="554" t="e">
        <f t="shared" si="18"/>
        <v>#NUM!</v>
      </c>
      <c r="G311" s="554" t="e">
        <f t="shared" si="19"/>
        <v>#NUM!</v>
      </c>
    </row>
    <row r="312" spans="2:7" x14ac:dyDescent="0.3">
      <c r="B312" s="556">
        <v>303</v>
      </c>
      <c r="C312" s="554" t="e">
        <f t="shared" si="16"/>
        <v>#NUM!</v>
      </c>
      <c r="D312" s="554" t="e">
        <f t="shared" si="17"/>
        <v>#NUM!</v>
      </c>
      <c r="E312" s="554" t="e">
        <f t="shared" si="18"/>
        <v>#NUM!</v>
      </c>
      <c r="G312" s="554" t="e">
        <f t="shared" si="19"/>
        <v>#NUM!</v>
      </c>
    </row>
    <row r="313" spans="2:7" x14ac:dyDescent="0.3">
      <c r="B313" s="556">
        <v>304</v>
      </c>
      <c r="C313" s="554" t="e">
        <f t="shared" si="16"/>
        <v>#NUM!</v>
      </c>
      <c r="D313" s="554" t="e">
        <f t="shared" si="17"/>
        <v>#NUM!</v>
      </c>
      <c r="E313" s="554" t="e">
        <f t="shared" si="18"/>
        <v>#NUM!</v>
      </c>
      <c r="G313" s="554" t="e">
        <f t="shared" si="19"/>
        <v>#NUM!</v>
      </c>
    </row>
    <row r="314" spans="2:7" x14ac:dyDescent="0.3">
      <c r="B314" s="556">
        <v>305</v>
      </c>
      <c r="C314" s="554" t="e">
        <f t="shared" si="16"/>
        <v>#NUM!</v>
      </c>
      <c r="D314" s="554" t="e">
        <f t="shared" si="17"/>
        <v>#NUM!</v>
      </c>
      <c r="E314" s="554" t="e">
        <f t="shared" si="18"/>
        <v>#NUM!</v>
      </c>
      <c r="G314" s="554" t="e">
        <f t="shared" si="19"/>
        <v>#NUM!</v>
      </c>
    </row>
    <row r="315" spans="2:7" x14ac:dyDescent="0.3">
      <c r="B315" s="556">
        <v>306</v>
      </c>
      <c r="C315" s="554" t="e">
        <f t="shared" si="16"/>
        <v>#NUM!</v>
      </c>
      <c r="D315" s="554" t="e">
        <f t="shared" si="17"/>
        <v>#NUM!</v>
      </c>
      <c r="E315" s="554" t="e">
        <f t="shared" si="18"/>
        <v>#NUM!</v>
      </c>
      <c r="G315" s="554" t="e">
        <f t="shared" si="19"/>
        <v>#NUM!</v>
      </c>
    </row>
    <row r="316" spans="2:7" x14ac:dyDescent="0.3">
      <c r="B316" s="556">
        <v>307</v>
      </c>
      <c r="C316" s="554" t="e">
        <f t="shared" si="16"/>
        <v>#NUM!</v>
      </c>
      <c r="D316" s="554" t="e">
        <f t="shared" si="17"/>
        <v>#NUM!</v>
      </c>
      <c r="E316" s="554" t="e">
        <f t="shared" si="18"/>
        <v>#NUM!</v>
      </c>
      <c r="G316" s="554" t="e">
        <f t="shared" si="19"/>
        <v>#NUM!</v>
      </c>
    </row>
    <row r="317" spans="2:7" x14ac:dyDescent="0.3">
      <c r="B317" s="556">
        <v>308</v>
      </c>
      <c r="C317" s="554" t="e">
        <f t="shared" si="16"/>
        <v>#NUM!</v>
      </c>
      <c r="D317" s="554" t="e">
        <f t="shared" si="17"/>
        <v>#NUM!</v>
      </c>
      <c r="E317" s="554" t="e">
        <f t="shared" si="18"/>
        <v>#NUM!</v>
      </c>
      <c r="G317" s="554" t="e">
        <f t="shared" si="19"/>
        <v>#NUM!</v>
      </c>
    </row>
    <row r="318" spans="2:7" x14ac:dyDescent="0.3">
      <c r="B318" s="556">
        <v>309</v>
      </c>
      <c r="C318" s="554" t="e">
        <f t="shared" si="16"/>
        <v>#NUM!</v>
      </c>
      <c r="D318" s="554" t="e">
        <f t="shared" si="17"/>
        <v>#NUM!</v>
      </c>
      <c r="E318" s="554" t="e">
        <f t="shared" si="18"/>
        <v>#NUM!</v>
      </c>
      <c r="G318" s="554" t="e">
        <f t="shared" si="19"/>
        <v>#NUM!</v>
      </c>
    </row>
    <row r="319" spans="2:7" x14ac:dyDescent="0.3">
      <c r="B319" s="556">
        <v>310</v>
      </c>
      <c r="C319" s="554" t="e">
        <f t="shared" si="16"/>
        <v>#NUM!</v>
      </c>
      <c r="D319" s="554" t="e">
        <f t="shared" si="17"/>
        <v>#NUM!</v>
      </c>
      <c r="E319" s="554" t="e">
        <f t="shared" si="18"/>
        <v>#NUM!</v>
      </c>
      <c r="G319" s="554" t="e">
        <f t="shared" si="19"/>
        <v>#NUM!</v>
      </c>
    </row>
    <row r="320" spans="2:7" x14ac:dyDescent="0.3">
      <c r="B320" s="556">
        <v>311</v>
      </c>
      <c r="C320" s="554" t="e">
        <f t="shared" si="16"/>
        <v>#NUM!</v>
      </c>
      <c r="D320" s="554" t="e">
        <f t="shared" si="17"/>
        <v>#NUM!</v>
      </c>
      <c r="E320" s="554" t="e">
        <f t="shared" si="18"/>
        <v>#NUM!</v>
      </c>
      <c r="G320" s="554" t="e">
        <f t="shared" si="19"/>
        <v>#NUM!</v>
      </c>
    </row>
    <row r="321" spans="2:7" x14ac:dyDescent="0.3">
      <c r="B321" s="556">
        <v>312</v>
      </c>
      <c r="C321" s="554" t="e">
        <f t="shared" si="16"/>
        <v>#NUM!</v>
      </c>
      <c r="D321" s="554" t="e">
        <f t="shared" si="17"/>
        <v>#NUM!</v>
      </c>
      <c r="E321" s="554" t="e">
        <f t="shared" si="18"/>
        <v>#NUM!</v>
      </c>
      <c r="G321" s="554" t="e">
        <f t="shared" si="19"/>
        <v>#NUM!</v>
      </c>
    </row>
    <row r="322" spans="2:7" x14ac:dyDescent="0.3">
      <c r="B322" s="556">
        <v>313</v>
      </c>
      <c r="C322" s="554" t="e">
        <f t="shared" si="16"/>
        <v>#NUM!</v>
      </c>
      <c r="D322" s="554" t="e">
        <f t="shared" si="17"/>
        <v>#NUM!</v>
      </c>
      <c r="E322" s="554" t="e">
        <f t="shared" si="18"/>
        <v>#NUM!</v>
      </c>
      <c r="G322" s="554" t="e">
        <f t="shared" si="19"/>
        <v>#NUM!</v>
      </c>
    </row>
    <row r="323" spans="2:7" x14ac:dyDescent="0.3">
      <c r="B323" s="556">
        <v>314</v>
      </c>
      <c r="C323" s="554" t="e">
        <f t="shared" si="16"/>
        <v>#NUM!</v>
      </c>
      <c r="D323" s="554" t="e">
        <f t="shared" si="17"/>
        <v>#NUM!</v>
      </c>
      <c r="E323" s="554" t="e">
        <f t="shared" si="18"/>
        <v>#NUM!</v>
      </c>
      <c r="G323" s="554" t="e">
        <f t="shared" si="19"/>
        <v>#NUM!</v>
      </c>
    </row>
    <row r="324" spans="2:7" x14ac:dyDescent="0.3">
      <c r="B324" s="556">
        <v>315</v>
      </c>
      <c r="C324" s="554" t="e">
        <f t="shared" si="16"/>
        <v>#NUM!</v>
      </c>
      <c r="D324" s="554" t="e">
        <f t="shared" si="17"/>
        <v>#NUM!</v>
      </c>
      <c r="E324" s="554" t="e">
        <f t="shared" si="18"/>
        <v>#NUM!</v>
      </c>
      <c r="G324" s="554" t="e">
        <f t="shared" si="19"/>
        <v>#NUM!</v>
      </c>
    </row>
    <row r="325" spans="2:7" x14ac:dyDescent="0.3">
      <c r="B325" s="556">
        <v>316</v>
      </c>
      <c r="C325" s="554" t="e">
        <f t="shared" si="16"/>
        <v>#NUM!</v>
      </c>
      <c r="D325" s="554" t="e">
        <f t="shared" si="17"/>
        <v>#NUM!</v>
      </c>
      <c r="E325" s="554" t="e">
        <f t="shared" si="18"/>
        <v>#NUM!</v>
      </c>
      <c r="G325" s="554" t="e">
        <f t="shared" si="19"/>
        <v>#NUM!</v>
      </c>
    </row>
    <row r="326" spans="2:7" x14ac:dyDescent="0.3">
      <c r="B326" s="556">
        <v>317</v>
      </c>
      <c r="C326" s="554" t="e">
        <f t="shared" si="16"/>
        <v>#NUM!</v>
      </c>
      <c r="D326" s="554" t="e">
        <f t="shared" si="17"/>
        <v>#NUM!</v>
      </c>
      <c r="E326" s="554" t="e">
        <f t="shared" si="18"/>
        <v>#NUM!</v>
      </c>
      <c r="G326" s="554" t="e">
        <f t="shared" si="19"/>
        <v>#NUM!</v>
      </c>
    </row>
    <row r="327" spans="2:7" x14ac:dyDescent="0.3">
      <c r="B327" s="556">
        <v>318</v>
      </c>
      <c r="C327" s="554" t="e">
        <f t="shared" si="16"/>
        <v>#NUM!</v>
      </c>
      <c r="D327" s="554" t="e">
        <f t="shared" si="17"/>
        <v>#NUM!</v>
      </c>
      <c r="E327" s="554" t="e">
        <f t="shared" si="18"/>
        <v>#NUM!</v>
      </c>
      <c r="G327" s="554" t="e">
        <f t="shared" si="19"/>
        <v>#NUM!</v>
      </c>
    </row>
    <row r="328" spans="2:7" x14ac:dyDescent="0.3">
      <c r="B328" s="556">
        <v>319</v>
      </c>
      <c r="C328" s="554" t="e">
        <f t="shared" si="16"/>
        <v>#NUM!</v>
      </c>
      <c r="D328" s="554" t="e">
        <f t="shared" si="17"/>
        <v>#NUM!</v>
      </c>
      <c r="E328" s="554" t="e">
        <f t="shared" si="18"/>
        <v>#NUM!</v>
      </c>
      <c r="G328" s="554" t="e">
        <f t="shared" si="19"/>
        <v>#NUM!</v>
      </c>
    </row>
    <row r="329" spans="2:7" x14ac:dyDescent="0.3">
      <c r="B329" s="556">
        <v>320</v>
      </c>
      <c r="C329" s="554" t="e">
        <f t="shared" si="16"/>
        <v>#NUM!</v>
      </c>
      <c r="D329" s="554" t="e">
        <f t="shared" si="17"/>
        <v>#NUM!</v>
      </c>
      <c r="E329" s="554" t="e">
        <f t="shared" si="18"/>
        <v>#NUM!</v>
      </c>
      <c r="G329" s="554" t="e">
        <f t="shared" si="19"/>
        <v>#NUM!</v>
      </c>
    </row>
    <row r="330" spans="2:7" x14ac:dyDescent="0.3">
      <c r="B330" s="556">
        <v>321</v>
      </c>
      <c r="C330" s="554" t="e">
        <f t="shared" ref="C330:C371" si="20">IF($C$3&lt;G330+(G330*($C$4/$C$6)),$C$3,G330+(G330*($C$4/$C$6)))</f>
        <v>#NUM!</v>
      </c>
      <c r="D330" s="554" t="e">
        <f t="shared" ref="D330:D371" si="21">G330*$C$4/$C$6</f>
        <v>#NUM!</v>
      </c>
      <c r="E330" s="554" t="e">
        <f t="shared" ref="E330:E371" si="22">C330-D330</f>
        <v>#NUM!</v>
      </c>
      <c r="G330" s="554" t="e">
        <f t="shared" si="19"/>
        <v>#NUM!</v>
      </c>
    </row>
    <row r="331" spans="2:7" x14ac:dyDescent="0.3">
      <c r="B331" s="556">
        <v>322</v>
      </c>
      <c r="C331" s="554" t="e">
        <f t="shared" si="20"/>
        <v>#NUM!</v>
      </c>
      <c r="D331" s="554" t="e">
        <f t="shared" si="21"/>
        <v>#NUM!</v>
      </c>
      <c r="E331" s="554" t="e">
        <f t="shared" si="22"/>
        <v>#NUM!</v>
      </c>
      <c r="G331" s="554" t="e">
        <f t="shared" ref="G331:G371" si="23">G330-E330-F330</f>
        <v>#NUM!</v>
      </c>
    </row>
    <row r="332" spans="2:7" x14ac:dyDescent="0.3">
      <c r="B332" s="556">
        <v>323</v>
      </c>
      <c r="C332" s="554" t="e">
        <f t="shared" si="20"/>
        <v>#NUM!</v>
      </c>
      <c r="D332" s="554" t="e">
        <f t="shared" si="21"/>
        <v>#NUM!</v>
      </c>
      <c r="E332" s="554" t="e">
        <f t="shared" si="22"/>
        <v>#NUM!</v>
      </c>
      <c r="G332" s="554" t="e">
        <f t="shared" si="23"/>
        <v>#NUM!</v>
      </c>
    </row>
    <row r="333" spans="2:7" x14ac:dyDescent="0.3">
      <c r="B333" s="556">
        <v>324</v>
      </c>
      <c r="C333" s="554" t="e">
        <f t="shared" si="20"/>
        <v>#NUM!</v>
      </c>
      <c r="D333" s="554" t="e">
        <f t="shared" si="21"/>
        <v>#NUM!</v>
      </c>
      <c r="E333" s="554" t="e">
        <f t="shared" si="22"/>
        <v>#NUM!</v>
      </c>
      <c r="G333" s="554" t="e">
        <f t="shared" si="23"/>
        <v>#NUM!</v>
      </c>
    </row>
    <row r="334" spans="2:7" x14ac:dyDescent="0.3">
      <c r="B334" s="556">
        <v>325</v>
      </c>
      <c r="C334" s="554" t="e">
        <f t="shared" si="20"/>
        <v>#NUM!</v>
      </c>
      <c r="D334" s="554" t="e">
        <f t="shared" si="21"/>
        <v>#NUM!</v>
      </c>
      <c r="E334" s="554" t="e">
        <f t="shared" si="22"/>
        <v>#NUM!</v>
      </c>
      <c r="G334" s="554" t="e">
        <f t="shared" si="23"/>
        <v>#NUM!</v>
      </c>
    </row>
    <row r="335" spans="2:7" x14ac:dyDescent="0.3">
      <c r="B335" s="556">
        <v>326</v>
      </c>
      <c r="C335" s="554" t="e">
        <f t="shared" si="20"/>
        <v>#NUM!</v>
      </c>
      <c r="D335" s="554" t="e">
        <f t="shared" si="21"/>
        <v>#NUM!</v>
      </c>
      <c r="E335" s="554" t="e">
        <f t="shared" si="22"/>
        <v>#NUM!</v>
      </c>
      <c r="G335" s="554" t="e">
        <f t="shared" si="23"/>
        <v>#NUM!</v>
      </c>
    </row>
    <row r="336" spans="2:7" x14ac:dyDescent="0.3">
      <c r="B336" s="556">
        <v>327</v>
      </c>
      <c r="C336" s="554" t="e">
        <f t="shared" si="20"/>
        <v>#NUM!</v>
      </c>
      <c r="D336" s="554" t="e">
        <f t="shared" si="21"/>
        <v>#NUM!</v>
      </c>
      <c r="E336" s="554" t="e">
        <f t="shared" si="22"/>
        <v>#NUM!</v>
      </c>
      <c r="G336" s="554" t="e">
        <f t="shared" si="23"/>
        <v>#NUM!</v>
      </c>
    </row>
    <row r="337" spans="2:7" x14ac:dyDescent="0.3">
      <c r="B337" s="556">
        <v>328</v>
      </c>
      <c r="C337" s="554" t="e">
        <f t="shared" si="20"/>
        <v>#NUM!</v>
      </c>
      <c r="D337" s="554" t="e">
        <f t="shared" si="21"/>
        <v>#NUM!</v>
      </c>
      <c r="E337" s="554" t="e">
        <f t="shared" si="22"/>
        <v>#NUM!</v>
      </c>
      <c r="G337" s="554" t="e">
        <f t="shared" si="23"/>
        <v>#NUM!</v>
      </c>
    </row>
    <row r="338" spans="2:7" x14ac:dyDescent="0.3">
      <c r="B338" s="556">
        <v>329</v>
      </c>
      <c r="C338" s="554" t="e">
        <f t="shared" si="20"/>
        <v>#NUM!</v>
      </c>
      <c r="D338" s="554" t="e">
        <f t="shared" si="21"/>
        <v>#NUM!</v>
      </c>
      <c r="E338" s="554" t="e">
        <f t="shared" si="22"/>
        <v>#NUM!</v>
      </c>
      <c r="G338" s="554" t="e">
        <f t="shared" si="23"/>
        <v>#NUM!</v>
      </c>
    </row>
    <row r="339" spans="2:7" x14ac:dyDescent="0.3">
      <c r="B339" s="556">
        <v>330</v>
      </c>
      <c r="C339" s="554" t="e">
        <f t="shared" si="20"/>
        <v>#NUM!</v>
      </c>
      <c r="D339" s="554" t="e">
        <f t="shared" si="21"/>
        <v>#NUM!</v>
      </c>
      <c r="E339" s="554" t="e">
        <f t="shared" si="22"/>
        <v>#NUM!</v>
      </c>
      <c r="G339" s="554" t="e">
        <f t="shared" si="23"/>
        <v>#NUM!</v>
      </c>
    </row>
    <row r="340" spans="2:7" x14ac:dyDescent="0.3">
      <c r="B340" s="556">
        <v>331</v>
      </c>
      <c r="C340" s="554" t="e">
        <f t="shared" si="20"/>
        <v>#NUM!</v>
      </c>
      <c r="D340" s="554" t="e">
        <f t="shared" si="21"/>
        <v>#NUM!</v>
      </c>
      <c r="E340" s="554" t="e">
        <f t="shared" si="22"/>
        <v>#NUM!</v>
      </c>
      <c r="G340" s="554" t="e">
        <f t="shared" si="23"/>
        <v>#NUM!</v>
      </c>
    </row>
    <row r="341" spans="2:7" x14ac:dyDescent="0.3">
      <c r="B341" s="556">
        <v>332</v>
      </c>
      <c r="C341" s="554" t="e">
        <f t="shared" si="20"/>
        <v>#NUM!</v>
      </c>
      <c r="D341" s="554" t="e">
        <f t="shared" si="21"/>
        <v>#NUM!</v>
      </c>
      <c r="E341" s="554" t="e">
        <f t="shared" si="22"/>
        <v>#NUM!</v>
      </c>
      <c r="G341" s="554" t="e">
        <f t="shared" si="23"/>
        <v>#NUM!</v>
      </c>
    </row>
    <row r="342" spans="2:7" x14ac:dyDescent="0.3">
      <c r="B342" s="556">
        <v>333</v>
      </c>
      <c r="C342" s="554" t="e">
        <f t="shared" si="20"/>
        <v>#NUM!</v>
      </c>
      <c r="D342" s="554" t="e">
        <f t="shared" si="21"/>
        <v>#NUM!</v>
      </c>
      <c r="E342" s="554" t="e">
        <f t="shared" si="22"/>
        <v>#NUM!</v>
      </c>
      <c r="G342" s="554" t="e">
        <f t="shared" si="23"/>
        <v>#NUM!</v>
      </c>
    </row>
    <row r="343" spans="2:7" x14ac:dyDescent="0.3">
      <c r="B343" s="556">
        <v>334</v>
      </c>
      <c r="C343" s="554" t="e">
        <f t="shared" si="20"/>
        <v>#NUM!</v>
      </c>
      <c r="D343" s="554" t="e">
        <f t="shared" si="21"/>
        <v>#NUM!</v>
      </c>
      <c r="E343" s="554" t="e">
        <f t="shared" si="22"/>
        <v>#NUM!</v>
      </c>
      <c r="G343" s="554" t="e">
        <f t="shared" si="23"/>
        <v>#NUM!</v>
      </c>
    </row>
    <row r="344" spans="2:7" x14ac:dyDescent="0.3">
      <c r="B344" s="556">
        <v>335</v>
      </c>
      <c r="C344" s="554" t="e">
        <f t="shared" si="20"/>
        <v>#NUM!</v>
      </c>
      <c r="D344" s="554" t="e">
        <f t="shared" si="21"/>
        <v>#NUM!</v>
      </c>
      <c r="E344" s="554" t="e">
        <f t="shared" si="22"/>
        <v>#NUM!</v>
      </c>
      <c r="G344" s="554" t="e">
        <f t="shared" si="23"/>
        <v>#NUM!</v>
      </c>
    </row>
    <row r="345" spans="2:7" x14ac:dyDescent="0.3">
      <c r="B345" s="556">
        <v>336</v>
      </c>
      <c r="C345" s="554" t="e">
        <f t="shared" si="20"/>
        <v>#NUM!</v>
      </c>
      <c r="D345" s="554" t="e">
        <f t="shared" si="21"/>
        <v>#NUM!</v>
      </c>
      <c r="E345" s="554" t="e">
        <f t="shared" si="22"/>
        <v>#NUM!</v>
      </c>
      <c r="G345" s="554" t="e">
        <f t="shared" si="23"/>
        <v>#NUM!</v>
      </c>
    </row>
    <row r="346" spans="2:7" x14ac:dyDescent="0.3">
      <c r="B346" s="556">
        <v>337</v>
      </c>
      <c r="C346" s="554" t="e">
        <f t="shared" si="20"/>
        <v>#NUM!</v>
      </c>
      <c r="D346" s="554" t="e">
        <f t="shared" si="21"/>
        <v>#NUM!</v>
      </c>
      <c r="E346" s="554" t="e">
        <f t="shared" si="22"/>
        <v>#NUM!</v>
      </c>
      <c r="G346" s="554" t="e">
        <f t="shared" si="23"/>
        <v>#NUM!</v>
      </c>
    </row>
    <row r="347" spans="2:7" x14ac:dyDescent="0.3">
      <c r="B347" s="556">
        <v>338</v>
      </c>
      <c r="C347" s="554" t="e">
        <f t="shared" si="20"/>
        <v>#NUM!</v>
      </c>
      <c r="D347" s="554" t="e">
        <f t="shared" si="21"/>
        <v>#NUM!</v>
      </c>
      <c r="E347" s="554" t="e">
        <f t="shared" si="22"/>
        <v>#NUM!</v>
      </c>
      <c r="G347" s="554" t="e">
        <f t="shared" si="23"/>
        <v>#NUM!</v>
      </c>
    </row>
    <row r="348" spans="2:7" x14ac:dyDescent="0.3">
      <c r="B348" s="556">
        <v>339</v>
      </c>
      <c r="C348" s="554" t="e">
        <f t="shared" si="20"/>
        <v>#NUM!</v>
      </c>
      <c r="D348" s="554" t="e">
        <f t="shared" si="21"/>
        <v>#NUM!</v>
      </c>
      <c r="E348" s="554" t="e">
        <f t="shared" si="22"/>
        <v>#NUM!</v>
      </c>
      <c r="G348" s="554" t="e">
        <f t="shared" si="23"/>
        <v>#NUM!</v>
      </c>
    </row>
    <row r="349" spans="2:7" x14ac:dyDescent="0.3">
      <c r="B349" s="556">
        <v>340</v>
      </c>
      <c r="C349" s="554" t="e">
        <f t="shared" si="20"/>
        <v>#NUM!</v>
      </c>
      <c r="D349" s="554" t="e">
        <f t="shared" si="21"/>
        <v>#NUM!</v>
      </c>
      <c r="E349" s="554" t="e">
        <f t="shared" si="22"/>
        <v>#NUM!</v>
      </c>
      <c r="G349" s="554" t="e">
        <f t="shared" si="23"/>
        <v>#NUM!</v>
      </c>
    </row>
    <row r="350" spans="2:7" x14ac:dyDescent="0.3">
      <c r="B350" s="556">
        <v>341</v>
      </c>
      <c r="C350" s="554" t="e">
        <f t="shared" si="20"/>
        <v>#NUM!</v>
      </c>
      <c r="D350" s="554" t="e">
        <f t="shared" si="21"/>
        <v>#NUM!</v>
      </c>
      <c r="E350" s="554" t="e">
        <f t="shared" si="22"/>
        <v>#NUM!</v>
      </c>
      <c r="G350" s="554" t="e">
        <f t="shared" si="23"/>
        <v>#NUM!</v>
      </c>
    </row>
    <row r="351" spans="2:7" x14ac:dyDescent="0.3">
      <c r="B351" s="556">
        <v>342</v>
      </c>
      <c r="C351" s="554" t="e">
        <f t="shared" si="20"/>
        <v>#NUM!</v>
      </c>
      <c r="D351" s="554" t="e">
        <f t="shared" si="21"/>
        <v>#NUM!</v>
      </c>
      <c r="E351" s="554" t="e">
        <f t="shared" si="22"/>
        <v>#NUM!</v>
      </c>
      <c r="G351" s="554" t="e">
        <f t="shared" si="23"/>
        <v>#NUM!</v>
      </c>
    </row>
    <row r="352" spans="2:7" x14ac:dyDescent="0.3">
      <c r="B352" s="556">
        <v>343</v>
      </c>
      <c r="C352" s="554" t="e">
        <f t="shared" si="20"/>
        <v>#NUM!</v>
      </c>
      <c r="D352" s="554" t="e">
        <f t="shared" si="21"/>
        <v>#NUM!</v>
      </c>
      <c r="E352" s="554" t="e">
        <f t="shared" si="22"/>
        <v>#NUM!</v>
      </c>
      <c r="G352" s="554" t="e">
        <f t="shared" si="23"/>
        <v>#NUM!</v>
      </c>
    </row>
    <row r="353" spans="2:7" x14ac:dyDescent="0.3">
      <c r="B353" s="556">
        <v>344</v>
      </c>
      <c r="C353" s="554" t="e">
        <f t="shared" si="20"/>
        <v>#NUM!</v>
      </c>
      <c r="D353" s="554" t="e">
        <f t="shared" si="21"/>
        <v>#NUM!</v>
      </c>
      <c r="E353" s="554" t="e">
        <f t="shared" si="22"/>
        <v>#NUM!</v>
      </c>
      <c r="G353" s="554" t="e">
        <f t="shared" si="23"/>
        <v>#NUM!</v>
      </c>
    </row>
    <row r="354" spans="2:7" x14ac:dyDescent="0.3">
      <c r="B354" s="556">
        <v>345</v>
      </c>
      <c r="C354" s="554" t="e">
        <f t="shared" si="20"/>
        <v>#NUM!</v>
      </c>
      <c r="D354" s="554" t="e">
        <f t="shared" si="21"/>
        <v>#NUM!</v>
      </c>
      <c r="E354" s="554" t="e">
        <f t="shared" si="22"/>
        <v>#NUM!</v>
      </c>
      <c r="G354" s="554" t="e">
        <f t="shared" si="23"/>
        <v>#NUM!</v>
      </c>
    </row>
    <row r="355" spans="2:7" x14ac:dyDescent="0.3">
      <c r="B355" s="556">
        <v>346</v>
      </c>
      <c r="C355" s="554" t="e">
        <f t="shared" si="20"/>
        <v>#NUM!</v>
      </c>
      <c r="D355" s="554" t="e">
        <f t="shared" si="21"/>
        <v>#NUM!</v>
      </c>
      <c r="E355" s="554" t="e">
        <f t="shared" si="22"/>
        <v>#NUM!</v>
      </c>
      <c r="G355" s="554" t="e">
        <f t="shared" si="23"/>
        <v>#NUM!</v>
      </c>
    </row>
    <row r="356" spans="2:7" x14ac:dyDescent="0.3">
      <c r="B356" s="556">
        <v>347</v>
      </c>
      <c r="C356" s="554" t="e">
        <f t="shared" si="20"/>
        <v>#NUM!</v>
      </c>
      <c r="D356" s="554" t="e">
        <f t="shared" si="21"/>
        <v>#NUM!</v>
      </c>
      <c r="E356" s="554" t="e">
        <f t="shared" si="22"/>
        <v>#NUM!</v>
      </c>
      <c r="G356" s="554" t="e">
        <f t="shared" si="23"/>
        <v>#NUM!</v>
      </c>
    </row>
    <row r="357" spans="2:7" x14ac:dyDescent="0.3">
      <c r="B357" s="556">
        <v>348</v>
      </c>
      <c r="C357" s="554" t="e">
        <f t="shared" si="20"/>
        <v>#NUM!</v>
      </c>
      <c r="D357" s="554" t="e">
        <f t="shared" si="21"/>
        <v>#NUM!</v>
      </c>
      <c r="E357" s="554" t="e">
        <f t="shared" si="22"/>
        <v>#NUM!</v>
      </c>
      <c r="G357" s="554" t="e">
        <f t="shared" si="23"/>
        <v>#NUM!</v>
      </c>
    </row>
    <row r="358" spans="2:7" x14ac:dyDescent="0.3">
      <c r="B358" s="556">
        <v>349</v>
      </c>
      <c r="C358" s="554" t="e">
        <f t="shared" si="20"/>
        <v>#NUM!</v>
      </c>
      <c r="D358" s="554" t="e">
        <f t="shared" si="21"/>
        <v>#NUM!</v>
      </c>
      <c r="E358" s="554" t="e">
        <f t="shared" si="22"/>
        <v>#NUM!</v>
      </c>
      <c r="G358" s="554" t="e">
        <f t="shared" si="23"/>
        <v>#NUM!</v>
      </c>
    </row>
    <row r="359" spans="2:7" x14ac:dyDescent="0.3">
      <c r="B359" s="556">
        <v>350</v>
      </c>
      <c r="C359" s="554" t="e">
        <f t="shared" si="20"/>
        <v>#NUM!</v>
      </c>
      <c r="D359" s="554" t="e">
        <f t="shared" si="21"/>
        <v>#NUM!</v>
      </c>
      <c r="E359" s="554" t="e">
        <f t="shared" si="22"/>
        <v>#NUM!</v>
      </c>
      <c r="G359" s="554" t="e">
        <f t="shared" si="23"/>
        <v>#NUM!</v>
      </c>
    </row>
    <row r="360" spans="2:7" x14ac:dyDescent="0.3">
      <c r="B360" s="556">
        <v>351</v>
      </c>
      <c r="C360" s="554" t="e">
        <f t="shared" si="20"/>
        <v>#NUM!</v>
      </c>
      <c r="D360" s="554" t="e">
        <f t="shared" si="21"/>
        <v>#NUM!</v>
      </c>
      <c r="E360" s="554" t="e">
        <f t="shared" si="22"/>
        <v>#NUM!</v>
      </c>
      <c r="G360" s="554" t="e">
        <f t="shared" si="23"/>
        <v>#NUM!</v>
      </c>
    </row>
    <row r="361" spans="2:7" x14ac:dyDescent="0.3">
      <c r="B361" s="556">
        <v>352</v>
      </c>
      <c r="C361" s="554" t="e">
        <f t="shared" si="20"/>
        <v>#NUM!</v>
      </c>
      <c r="D361" s="554" t="e">
        <f t="shared" si="21"/>
        <v>#NUM!</v>
      </c>
      <c r="E361" s="554" t="e">
        <f t="shared" si="22"/>
        <v>#NUM!</v>
      </c>
      <c r="G361" s="554" t="e">
        <f t="shared" si="23"/>
        <v>#NUM!</v>
      </c>
    </row>
    <row r="362" spans="2:7" x14ac:dyDescent="0.3">
      <c r="B362" s="556">
        <v>353</v>
      </c>
      <c r="C362" s="554" t="e">
        <f t="shared" si="20"/>
        <v>#NUM!</v>
      </c>
      <c r="D362" s="554" t="e">
        <f t="shared" si="21"/>
        <v>#NUM!</v>
      </c>
      <c r="E362" s="554" t="e">
        <f t="shared" si="22"/>
        <v>#NUM!</v>
      </c>
      <c r="G362" s="554" t="e">
        <f t="shared" si="23"/>
        <v>#NUM!</v>
      </c>
    </row>
    <row r="363" spans="2:7" x14ac:dyDescent="0.3">
      <c r="B363" s="556">
        <v>354</v>
      </c>
      <c r="C363" s="554" t="e">
        <f t="shared" si="20"/>
        <v>#NUM!</v>
      </c>
      <c r="D363" s="554" t="e">
        <f t="shared" si="21"/>
        <v>#NUM!</v>
      </c>
      <c r="E363" s="554" t="e">
        <f t="shared" si="22"/>
        <v>#NUM!</v>
      </c>
      <c r="G363" s="554" t="e">
        <f t="shared" si="23"/>
        <v>#NUM!</v>
      </c>
    </row>
    <row r="364" spans="2:7" x14ac:dyDescent="0.3">
      <c r="B364" s="556">
        <v>355</v>
      </c>
      <c r="C364" s="554" t="e">
        <f t="shared" si="20"/>
        <v>#NUM!</v>
      </c>
      <c r="D364" s="554" t="e">
        <f t="shared" si="21"/>
        <v>#NUM!</v>
      </c>
      <c r="E364" s="554" t="e">
        <f t="shared" si="22"/>
        <v>#NUM!</v>
      </c>
      <c r="G364" s="554" t="e">
        <f t="shared" si="23"/>
        <v>#NUM!</v>
      </c>
    </row>
    <row r="365" spans="2:7" x14ac:dyDescent="0.3">
      <c r="B365" s="556">
        <v>356</v>
      </c>
      <c r="C365" s="554" t="e">
        <f t="shared" si="20"/>
        <v>#NUM!</v>
      </c>
      <c r="D365" s="554" t="e">
        <f t="shared" si="21"/>
        <v>#NUM!</v>
      </c>
      <c r="E365" s="554" t="e">
        <f t="shared" si="22"/>
        <v>#NUM!</v>
      </c>
      <c r="G365" s="554" t="e">
        <f t="shared" si="23"/>
        <v>#NUM!</v>
      </c>
    </row>
    <row r="366" spans="2:7" x14ac:dyDescent="0.3">
      <c r="B366" s="556">
        <v>357</v>
      </c>
      <c r="C366" s="554" t="e">
        <f t="shared" si="20"/>
        <v>#NUM!</v>
      </c>
      <c r="D366" s="554" t="e">
        <f t="shared" si="21"/>
        <v>#NUM!</v>
      </c>
      <c r="E366" s="554" t="e">
        <f t="shared" si="22"/>
        <v>#NUM!</v>
      </c>
      <c r="G366" s="554" t="e">
        <f t="shared" si="23"/>
        <v>#NUM!</v>
      </c>
    </row>
    <row r="367" spans="2:7" x14ac:dyDescent="0.3">
      <c r="B367" s="556">
        <v>358</v>
      </c>
      <c r="C367" s="554" t="e">
        <f t="shared" si="20"/>
        <v>#NUM!</v>
      </c>
      <c r="D367" s="554" t="e">
        <f t="shared" si="21"/>
        <v>#NUM!</v>
      </c>
      <c r="E367" s="554" t="e">
        <f t="shared" si="22"/>
        <v>#NUM!</v>
      </c>
      <c r="G367" s="554" t="e">
        <f t="shared" si="23"/>
        <v>#NUM!</v>
      </c>
    </row>
    <row r="368" spans="2:7" x14ac:dyDescent="0.3">
      <c r="B368" s="556">
        <v>359</v>
      </c>
      <c r="C368" s="554" t="e">
        <f t="shared" si="20"/>
        <v>#NUM!</v>
      </c>
      <c r="D368" s="554" t="e">
        <f t="shared" si="21"/>
        <v>#NUM!</v>
      </c>
      <c r="E368" s="554" t="e">
        <f t="shared" si="22"/>
        <v>#NUM!</v>
      </c>
      <c r="G368" s="554" t="e">
        <f t="shared" si="23"/>
        <v>#NUM!</v>
      </c>
    </row>
    <row r="369" spans="2:7" x14ac:dyDescent="0.3">
      <c r="B369" s="556">
        <v>360</v>
      </c>
      <c r="C369" s="554" t="e">
        <f t="shared" si="20"/>
        <v>#NUM!</v>
      </c>
      <c r="D369" s="554" t="e">
        <f t="shared" si="21"/>
        <v>#NUM!</v>
      </c>
      <c r="E369" s="554" t="e">
        <f t="shared" si="22"/>
        <v>#NUM!</v>
      </c>
      <c r="G369" s="554" t="e">
        <f t="shared" si="23"/>
        <v>#NUM!</v>
      </c>
    </row>
    <row r="370" spans="2:7" x14ac:dyDescent="0.3">
      <c r="B370" s="556">
        <v>361</v>
      </c>
      <c r="C370" s="554" t="e">
        <f t="shared" si="20"/>
        <v>#NUM!</v>
      </c>
      <c r="D370" s="554" t="e">
        <f t="shared" si="21"/>
        <v>#NUM!</v>
      </c>
      <c r="E370" s="554" t="e">
        <f t="shared" si="22"/>
        <v>#NUM!</v>
      </c>
      <c r="G370" s="554" t="e">
        <f t="shared" si="23"/>
        <v>#NUM!</v>
      </c>
    </row>
    <row r="371" spans="2:7" x14ac:dyDescent="0.3">
      <c r="B371" s="556">
        <v>362</v>
      </c>
      <c r="C371" s="554" t="e">
        <f t="shared" si="20"/>
        <v>#NUM!</v>
      </c>
      <c r="D371" s="554" t="e">
        <f t="shared" si="21"/>
        <v>#NUM!</v>
      </c>
      <c r="E371" s="554" t="e">
        <f t="shared" si="22"/>
        <v>#NUM!</v>
      </c>
      <c r="G371" s="554" t="e">
        <f t="shared" si="23"/>
        <v>#NUM!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7A020BA9-7A66-4A02-AE68-651D6F7B3FE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4C8-2F8A-44A1-BB1A-A19515344C61}">
  <sheetPr codeName="Sheet16">
    <tabColor theme="4" tint="0.39997558519241921"/>
  </sheetPr>
  <dimension ref="A1:H33"/>
  <sheetViews>
    <sheetView workbookViewId="0">
      <selection activeCell="D17" sqref="D17"/>
    </sheetView>
  </sheetViews>
  <sheetFormatPr defaultColWidth="8.77734375" defaultRowHeight="14.4" x14ac:dyDescent="0.3"/>
  <cols>
    <col min="1" max="1" width="8.77734375" style="556"/>
    <col min="2" max="2" width="28.44140625" style="560" customWidth="1"/>
    <col min="3" max="3" width="17.88671875" style="561" customWidth="1"/>
    <col min="4" max="4" width="25.5546875" style="560" customWidth="1"/>
    <col min="5" max="5" width="16" style="561" customWidth="1"/>
    <col min="6" max="6" width="12.77734375" style="562" customWidth="1"/>
    <col min="7" max="7" width="13.5546875" style="562" customWidth="1"/>
    <col min="8" max="8" width="26.33203125" style="556" customWidth="1"/>
    <col min="9" max="9" width="17.21875" style="556" customWidth="1"/>
    <col min="10" max="16384" width="8.77734375" style="556"/>
  </cols>
  <sheetData>
    <row r="1" spans="1:8" x14ac:dyDescent="0.3">
      <c r="A1" s="626" t="s">
        <v>454</v>
      </c>
    </row>
    <row r="2" spans="1:8" ht="15" thickBot="1" x14ac:dyDescent="0.35"/>
    <row r="3" spans="1:8" s="567" customFormat="1" ht="29.4" thickBot="1" x14ac:dyDescent="0.35">
      <c r="B3" s="563" t="s">
        <v>385</v>
      </c>
      <c r="C3" s="564" t="e">
        <f>'Principle Recapture ARV'!C3</f>
        <v>#NUM!</v>
      </c>
      <c r="D3" s="563"/>
      <c r="E3" s="564"/>
      <c r="F3" s="565" t="s">
        <v>445</v>
      </c>
      <c r="G3" s="566" t="s">
        <v>446</v>
      </c>
      <c r="H3"/>
    </row>
    <row r="4" spans="1:8" x14ac:dyDescent="0.3">
      <c r="B4" s="568" t="s">
        <v>384</v>
      </c>
      <c r="C4" s="569" t="e">
        <f>SUM('Principle Recapture ARV'!E9:E20)</f>
        <v>#NUM!</v>
      </c>
      <c r="D4" s="570" t="s">
        <v>415</v>
      </c>
      <c r="E4" s="569" t="e">
        <f>SUM('Principle Recapture ARV'!D9:D20)</f>
        <v>#NUM!</v>
      </c>
      <c r="F4" s="571" t="e">
        <f>C4/(C4+E4)</f>
        <v>#NUM!</v>
      </c>
      <c r="G4" s="572" t="e">
        <f>C4/'ROI Detail ARV'!$I$3</f>
        <v>#NUM!</v>
      </c>
      <c r="H4"/>
    </row>
    <row r="5" spans="1:8" x14ac:dyDescent="0.3">
      <c r="B5" s="573" t="s">
        <v>386</v>
      </c>
      <c r="C5" s="574" t="e">
        <f>SUM('Principle Recapture ARV'!E21:E32)</f>
        <v>#NUM!</v>
      </c>
      <c r="D5" s="575" t="s">
        <v>416</v>
      </c>
      <c r="E5" s="574" t="e">
        <f>SUM('Principle Recapture ARV'!D21:D32)</f>
        <v>#NUM!</v>
      </c>
      <c r="F5" s="576" t="e">
        <f t="shared" ref="F5:F33" si="0">C5/(C5+E5)</f>
        <v>#NUM!</v>
      </c>
      <c r="G5" s="572" t="e">
        <f>C5/'ROI Detail ARV'!$I$3</f>
        <v>#NUM!</v>
      </c>
      <c r="H5"/>
    </row>
    <row r="6" spans="1:8" x14ac:dyDescent="0.3">
      <c r="B6" s="573" t="s">
        <v>387</v>
      </c>
      <c r="C6" s="574" t="e">
        <f>SUM('Principle Recapture ARV'!E33:E44)</f>
        <v>#NUM!</v>
      </c>
      <c r="D6" s="575" t="s">
        <v>417</v>
      </c>
      <c r="E6" s="574" t="e">
        <f>SUM('Principle Recapture ARV'!D33:D44)</f>
        <v>#NUM!</v>
      </c>
      <c r="F6" s="576" t="e">
        <f t="shared" si="0"/>
        <v>#NUM!</v>
      </c>
      <c r="G6" s="572" t="e">
        <f>C6/'ROI Detail ARV'!$I$3</f>
        <v>#NUM!</v>
      </c>
      <c r="H6"/>
    </row>
    <row r="7" spans="1:8" x14ac:dyDescent="0.3">
      <c r="B7" s="573" t="s">
        <v>388</v>
      </c>
      <c r="C7" s="574" t="e">
        <f>SUM('Principle Recapture ARV'!E45:E56)</f>
        <v>#NUM!</v>
      </c>
      <c r="D7" s="575" t="s">
        <v>418</v>
      </c>
      <c r="E7" s="574" t="e">
        <f>SUM('Principle Recapture ARV'!D45:D56)</f>
        <v>#NUM!</v>
      </c>
      <c r="F7" s="576" t="e">
        <f t="shared" si="0"/>
        <v>#NUM!</v>
      </c>
      <c r="G7" s="572" t="e">
        <f>C7/'ROI Detail ARV'!$I$3</f>
        <v>#NUM!</v>
      </c>
      <c r="H7"/>
    </row>
    <row r="8" spans="1:8" x14ac:dyDescent="0.3">
      <c r="B8" s="573" t="s">
        <v>389</v>
      </c>
      <c r="C8" s="574" t="e">
        <f>SUM('Principle Recapture ARV'!E57:E68)</f>
        <v>#NUM!</v>
      </c>
      <c r="D8" s="575" t="s">
        <v>419</v>
      </c>
      <c r="E8" s="574" t="e">
        <f>SUM('Principle Recapture ARV'!D57:D68)</f>
        <v>#NUM!</v>
      </c>
      <c r="F8" s="576" t="e">
        <f t="shared" si="0"/>
        <v>#NUM!</v>
      </c>
      <c r="G8" s="572" t="e">
        <f>C8/'ROI Detail ARV'!$I$3</f>
        <v>#NUM!</v>
      </c>
      <c r="H8"/>
    </row>
    <row r="9" spans="1:8" x14ac:dyDescent="0.3">
      <c r="B9" s="573" t="s">
        <v>390</v>
      </c>
      <c r="C9" s="574" t="e">
        <f>SUM('Principle Recapture ARV'!E69:E80)</f>
        <v>#NUM!</v>
      </c>
      <c r="D9" s="575" t="s">
        <v>420</v>
      </c>
      <c r="E9" s="574" t="e">
        <f>SUM('Principle Recapture ARV'!D69:D80)</f>
        <v>#NUM!</v>
      </c>
      <c r="F9" s="576" t="e">
        <f t="shared" si="0"/>
        <v>#NUM!</v>
      </c>
      <c r="G9" s="572" t="e">
        <f>C9/'ROI Detail ARV'!$I$3</f>
        <v>#NUM!</v>
      </c>
      <c r="H9"/>
    </row>
    <row r="10" spans="1:8" x14ac:dyDescent="0.3">
      <c r="B10" s="573" t="s">
        <v>391</v>
      </c>
      <c r="C10" s="574" t="e">
        <f>SUM('Principle Recapture ARV'!E81:E92)</f>
        <v>#NUM!</v>
      </c>
      <c r="D10" s="575" t="s">
        <v>421</v>
      </c>
      <c r="E10" s="574" t="e">
        <f>SUM('Principle Recapture ARV'!D81:D92)</f>
        <v>#NUM!</v>
      </c>
      <c r="F10" s="576" t="e">
        <f t="shared" si="0"/>
        <v>#NUM!</v>
      </c>
      <c r="G10" s="572" t="e">
        <f>C10/'ROI Detail ARV'!$I$3</f>
        <v>#NUM!</v>
      </c>
      <c r="H10"/>
    </row>
    <row r="11" spans="1:8" x14ac:dyDescent="0.3">
      <c r="B11" s="573" t="s">
        <v>392</v>
      </c>
      <c r="C11" s="574" t="e">
        <f>SUM('Principle Recapture ARV'!E93:E104)</f>
        <v>#NUM!</v>
      </c>
      <c r="D11" s="575" t="s">
        <v>422</v>
      </c>
      <c r="E11" s="574" t="e">
        <f>SUM('Principle Recapture ARV'!D93:D104)</f>
        <v>#NUM!</v>
      </c>
      <c r="F11" s="576" t="e">
        <f t="shared" si="0"/>
        <v>#NUM!</v>
      </c>
      <c r="G11" s="572" t="e">
        <f>C11/'ROI Detail ARV'!$I$3</f>
        <v>#NUM!</v>
      </c>
      <c r="H11"/>
    </row>
    <row r="12" spans="1:8" x14ac:dyDescent="0.3">
      <c r="B12" s="573" t="s">
        <v>393</v>
      </c>
      <c r="C12" s="574" t="e">
        <f>SUM('Principle Recapture ARV'!E105:E116)</f>
        <v>#NUM!</v>
      </c>
      <c r="D12" s="575" t="s">
        <v>423</v>
      </c>
      <c r="E12" s="574" t="e">
        <f>SUM('Principle Recapture ARV'!D105:D116)</f>
        <v>#NUM!</v>
      </c>
      <c r="F12" s="576" t="e">
        <f t="shared" si="0"/>
        <v>#NUM!</v>
      </c>
      <c r="G12" s="572" t="e">
        <f>C12/'ROI Detail ARV'!$I$3</f>
        <v>#NUM!</v>
      </c>
      <c r="H12"/>
    </row>
    <row r="13" spans="1:8" x14ac:dyDescent="0.3">
      <c r="B13" s="573" t="s">
        <v>394</v>
      </c>
      <c r="C13" s="574" t="e">
        <f>SUM('Principle Recapture ARV'!E117:E128)</f>
        <v>#NUM!</v>
      </c>
      <c r="D13" s="575" t="s">
        <v>424</v>
      </c>
      <c r="E13" s="574" t="e">
        <f>SUM('Principle Recapture ARV'!D117:D128)</f>
        <v>#NUM!</v>
      </c>
      <c r="F13" s="576" t="e">
        <f t="shared" si="0"/>
        <v>#NUM!</v>
      </c>
      <c r="G13" s="572" t="e">
        <f>C13/'ROI Detail ARV'!$I$3</f>
        <v>#NUM!</v>
      </c>
      <c r="H13"/>
    </row>
    <row r="14" spans="1:8" x14ac:dyDescent="0.3">
      <c r="B14" s="573" t="s">
        <v>395</v>
      </c>
      <c r="C14" s="574" t="e">
        <f>SUM('Principle Recapture ARV'!E129:E140)</f>
        <v>#NUM!</v>
      </c>
      <c r="D14" s="575" t="s">
        <v>425</v>
      </c>
      <c r="E14" s="574" t="e">
        <f>SUM('Principle Recapture ARV'!D129:D140)</f>
        <v>#NUM!</v>
      </c>
      <c r="F14" s="576" t="e">
        <f t="shared" si="0"/>
        <v>#NUM!</v>
      </c>
      <c r="G14" s="572" t="e">
        <f>C14/'ROI Detail ARV'!$I$3</f>
        <v>#NUM!</v>
      </c>
      <c r="H14"/>
    </row>
    <row r="15" spans="1:8" x14ac:dyDescent="0.3">
      <c r="B15" s="573" t="s">
        <v>396</v>
      </c>
      <c r="C15" s="574" t="e">
        <f>SUM('Principle Recapture ARV'!E141:E152)</f>
        <v>#NUM!</v>
      </c>
      <c r="D15" s="575" t="s">
        <v>426</v>
      </c>
      <c r="E15" s="574" t="e">
        <f>SUM('Principle Recapture ARV'!D141:D152)</f>
        <v>#NUM!</v>
      </c>
      <c r="F15" s="576" t="e">
        <f t="shared" si="0"/>
        <v>#NUM!</v>
      </c>
      <c r="G15" s="572" t="e">
        <f>C15/'ROI Detail ARV'!$I$3</f>
        <v>#NUM!</v>
      </c>
      <c r="H15"/>
    </row>
    <row r="16" spans="1:8" x14ac:dyDescent="0.3">
      <c r="B16" s="573" t="s">
        <v>397</v>
      </c>
      <c r="C16" s="574" t="e">
        <f>SUM('Principle Recapture ARV'!E153:E164)</f>
        <v>#NUM!</v>
      </c>
      <c r="D16" s="575" t="s">
        <v>427</v>
      </c>
      <c r="E16" s="574" t="e">
        <f>SUM('Principle Recapture ARV'!D153:D164)</f>
        <v>#NUM!</v>
      </c>
      <c r="F16" s="576" t="e">
        <f t="shared" si="0"/>
        <v>#NUM!</v>
      </c>
      <c r="G16" s="572" t="e">
        <f>C16/'ROI Detail ARV'!$I$3</f>
        <v>#NUM!</v>
      </c>
      <c r="H16"/>
    </row>
    <row r="17" spans="2:8" x14ac:dyDescent="0.3">
      <c r="B17" s="573" t="s">
        <v>398</v>
      </c>
      <c r="C17" s="574" t="e">
        <f>SUM('Principle Recapture ARV'!E165:E176)</f>
        <v>#NUM!</v>
      </c>
      <c r="D17" s="575" t="s">
        <v>428</v>
      </c>
      <c r="E17" s="574" t="e">
        <f>SUM('Principle Recapture ARV'!D165:D176)</f>
        <v>#NUM!</v>
      </c>
      <c r="F17" s="576" t="e">
        <f t="shared" si="0"/>
        <v>#NUM!</v>
      </c>
      <c r="G17" s="572" t="e">
        <f>C17/'ROI Detail ARV'!$I$3</f>
        <v>#NUM!</v>
      </c>
      <c r="H17"/>
    </row>
    <row r="18" spans="2:8" x14ac:dyDescent="0.3">
      <c r="B18" s="573" t="s">
        <v>399</v>
      </c>
      <c r="C18" s="574" t="e">
        <f>SUM('Principle Recapture ARV'!E177:E188)</f>
        <v>#NUM!</v>
      </c>
      <c r="D18" s="575" t="s">
        <v>429</v>
      </c>
      <c r="E18" s="574" t="e">
        <f>SUM('Principle Recapture ARV'!D177:D188)</f>
        <v>#NUM!</v>
      </c>
      <c r="F18" s="576" t="e">
        <f t="shared" si="0"/>
        <v>#NUM!</v>
      </c>
      <c r="G18" s="572" t="e">
        <f>C18/'ROI Detail ARV'!$I$3</f>
        <v>#NUM!</v>
      </c>
    </row>
    <row r="19" spans="2:8" x14ac:dyDescent="0.3">
      <c r="B19" s="573" t="s">
        <v>400</v>
      </c>
      <c r="C19" s="574" t="e">
        <f>SUM('Principle Recapture ARV'!E189:E200)</f>
        <v>#NUM!</v>
      </c>
      <c r="D19" s="575" t="s">
        <v>430</v>
      </c>
      <c r="E19" s="574" t="e">
        <f>SUM('Principle Recapture ARV'!D189:D200)</f>
        <v>#NUM!</v>
      </c>
      <c r="F19" s="576" t="e">
        <f t="shared" si="0"/>
        <v>#NUM!</v>
      </c>
      <c r="G19" s="572" t="e">
        <f>C19/'ROI Detail ARV'!$I$3</f>
        <v>#NUM!</v>
      </c>
    </row>
    <row r="20" spans="2:8" x14ac:dyDescent="0.3">
      <c r="B20" s="573" t="s">
        <v>401</v>
      </c>
      <c r="C20" s="574" t="e">
        <f>SUM('Principle Recapture ARV'!E201:E212)</f>
        <v>#NUM!</v>
      </c>
      <c r="D20" s="575" t="s">
        <v>431</v>
      </c>
      <c r="E20" s="574" t="e">
        <f>SUM('Principle Recapture ARV'!D201:D212)</f>
        <v>#NUM!</v>
      </c>
      <c r="F20" s="576" t="e">
        <f t="shared" si="0"/>
        <v>#NUM!</v>
      </c>
      <c r="G20" s="572" t="e">
        <f>C20/'ROI Detail ARV'!$I$3</f>
        <v>#NUM!</v>
      </c>
    </row>
    <row r="21" spans="2:8" x14ac:dyDescent="0.3">
      <c r="B21" s="573" t="s">
        <v>402</v>
      </c>
      <c r="C21" s="574" t="e">
        <f>SUM('Principle Recapture ARV'!E213:E224)</f>
        <v>#NUM!</v>
      </c>
      <c r="D21" s="575" t="s">
        <v>432</v>
      </c>
      <c r="E21" s="574" t="e">
        <f>SUM('Principle Recapture ARV'!D213:D224)</f>
        <v>#NUM!</v>
      </c>
      <c r="F21" s="576" t="e">
        <f t="shared" si="0"/>
        <v>#NUM!</v>
      </c>
      <c r="G21" s="572" t="e">
        <f>C21/'ROI Detail ARV'!$I$3</f>
        <v>#NUM!</v>
      </c>
    </row>
    <row r="22" spans="2:8" x14ac:dyDescent="0.3">
      <c r="B22" s="573" t="s">
        <v>403</v>
      </c>
      <c r="C22" s="574" t="e">
        <f>SUM('Principle Recapture ARV'!E225:E236)</f>
        <v>#NUM!</v>
      </c>
      <c r="D22" s="575" t="s">
        <v>433</v>
      </c>
      <c r="E22" s="574" t="e">
        <f>SUM('Principle Recapture ARV'!D225:D236)</f>
        <v>#NUM!</v>
      </c>
      <c r="F22" s="576" t="e">
        <f t="shared" si="0"/>
        <v>#NUM!</v>
      </c>
      <c r="G22" s="572" t="e">
        <f>C22/'ROI Detail ARV'!$I$3</f>
        <v>#NUM!</v>
      </c>
    </row>
    <row r="23" spans="2:8" x14ac:dyDescent="0.3">
      <c r="B23" s="573" t="s">
        <v>404</v>
      </c>
      <c r="C23" s="574" t="e">
        <f>SUM('Principle Recapture ARV'!E237:E248)</f>
        <v>#NUM!</v>
      </c>
      <c r="D23" s="575" t="s">
        <v>434</v>
      </c>
      <c r="E23" s="574" t="e">
        <f>SUM('Principle Recapture ARV'!D237:D248)</f>
        <v>#NUM!</v>
      </c>
      <c r="F23" s="576" t="e">
        <f t="shared" si="0"/>
        <v>#NUM!</v>
      </c>
      <c r="G23" s="572" t="e">
        <f>C23/'ROI Detail ARV'!$I$3</f>
        <v>#NUM!</v>
      </c>
    </row>
    <row r="24" spans="2:8" x14ac:dyDescent="0.3">
      <c r="B24" s="573" t="s">
        <v>405</v>
      </c>
      <c r="C24" s="574" t="e">
        <f>SUM('Principle Recapture ARV'!E249:E260)</f>
        <v>#NUM!</v>
      </c>
      <c r="D24" s="575" t="s">
        <v>435</v>
      </c>
      <c r="E24" s="574" t="e">
        <f>SUM('Principle Recapture ARV'!D249:D260)</f>
        <v>#NUM!</v>
      </c>
      <c r="F24" s="576" t="e">
        <f t="shared" si="0"/>
        <v>#NUM!</v>
      </c>
      <c r="G24" s="572" t="e">
        <f>C24/'ROI Detail ARV'!$I$3</f>
        <v>#NUM!</v>
      </c>
    </row>
    <row r="25" spans="2:8" x14ac:dyDescent="0.3">
      <c r="B25" s="573" t="s">
        <v>406</v>
      </c>
      <c r="C25" s="574" t="e">
        <f>SUM('Principle Recapture ARV'!E261:E272)</f>
        <v>#NUM!</v>
      </c>
      <c r="D25" s="575" t="s">
        <v>436</v>
      </c>
      <c r="E25" s="574" t="e">
        <f>SUM('Principle Recapture ARV'!D261:D272)</f>
        <v>#NUM!</v>
      </c>
      <c r="F25" s="576" t="e">
        <f t="shared" si="0"/>
        <v>#NUM!</v>
      </c>
      <c r="G25" s="572" t="e">
        <f>C25/'ROI Detail ARV'!$I$3</f>
        <v>#NUM!</v>
      </c>
    </row>
    <row r="26" spans="2:8" x14ac:dyDescent="0.3">
      <c r="B26" s="573" t="s">
        <v>407</v>
      </c>
      <c r="C26" s="574" t="e">
        <f>SUM('Principle Recapture ARV'!E273:E284)</f>
        <v>#NUM!</v>
      </c>
      <c r="D26" s="575" t="s">
        <v>437</v>
      </c>
      <c r="E26" s="574" t="e">
        <f>SUM('Principle Recapture ARV'!D273:D284)</f>
        <v>#NUM!</v>
      </c>
      <c r="F26" s="576" t="e">
        <f t="shared" si="0"/>
        <v>#NUM!</v>
      </c>
      <c r="G26" s="572" t="e">
        <f>C26/'ROI Detail ARV'!$I$3</f>
        <v>#NUM!</v>
      </c>
    </row>
    <row r="27" spans="2:8" x14ac:dyDescent="0.3">
      <c r="B27" s="573" t="s">
        <v>408</v>
      </c>
      <c r="C27" s="574" t="e">
        <f>SUM('Principle Recapture ARV'!E285:E296)</f>
        <v>#NUM!</v>
      </c>
      <c r="D27" s="575" t="s">
        <v>438</v>
      </c>
      <c r="E27" s="574" t="e">
        <f>SUM('Principle Recapture ARV'!D285:D296)</f>
        <v>#NUM!</v>
      </c>
      <c r="F27" s="576" t="e">
        <f t="shared" si="0"/>
        <v>#NUM!</v>
      </c>
      <c r="G27" s="572" t="e">
        <f>C27/'ROI Detail ARV'!$I$3</f>
        <v>#NUM!</v>
      </c>
    </row>
    <row r="28" spans="2:8" x14ac:dyDescent="0.3">
      <c r="B28" s="573" t="s">
        <v>409</v>
      </c>
      <c r="C28" s="574" t="e">
        <f>SUM('Principle Recapture ARV'!E297:E308)</f>
        <v>#NUM!</v>
      </c>
      <c r="D28" s="575" t="s">
        <v>439</v>
      </c>
      <c r="E28" s="574" t="e">
        <f>SUM('Principle Recapture ARV'!D297:D308)</f>
        <v>#NUM!</v>
      </c>
      <c r="F28" s="576" t="e">
        <f t="shared" si="0"/>
        <v>#NUM!</v>
      </c>
      <c r="G28" s="572" t="e">
        <f>C28/'ROI Detail ARV'!$I$3</f>
        <v>#NUM!</v>
      </c>
    </row>
    <row r="29" spans="2:8" x14ac:dyDescent="0.3">
      <c r="B29" s="573" t="s">
        <v>410</v>
      </c>
      <c r="C29" s="574" t="e">
        <f>SUM('Principle Recapture ARV'!E309:E320)</f>
        <v>#NUM!</v>
      </c>
      <c r="D29" s="575" t="s">
        <v>440</v>
      </c>
      <c r="E29" s="574" t="e">
        <f>SUM('Principle Recapture ARV'!D309:D320)</f>
        <v>#NUM!</v>
      </c>
      <c r="F29" s="576" t="e">
        <f t="shared" si="0"/>
        <v>#NUM!</v>
      </c>
      <c r="G29" s="572" t="e">
        <f>C29/'ROI Detail ARV'!$I$3</f>
        <v>#NUM!</v>
      </c>
    </row>
    <row r="30" spans="2:8" x14ac:dyDescent="0.3">
      <c r="B30" s="573" t="s">
        <v>411</v>
      </c>
      <c r="C30" s="574" t="e">
        <f>SUM('Principle Recapture ARV'!E321:E332)</f>
        <v>#NUM!</v>
      </c>
      <c r="D30" s="575" t="s">
        <v>441</v>
      </c>
      <c r="E30" s="574" t="e">
        <f>SUM('Principle Recapture ARV'!D321:D332)</f>
        <v>#NUM!</v>
      </c>
      <c r="F30" s="576" t="e">
        <f t="shared" si="0"/>
        <v>#NUM!</v>
      </c>
      <c r="G30" s="572" t="e">
        <f>C30/'ROI Detail ARV'!$I$3</f>
        <v>#NUM!</v>
      </c>
    </row>
    <row r="31" spans="2:8" x14ac:dyDescent="0.3">
      <c r="B31" s="573" t="s">
        <v>412</v>
      </c>
      <c r="C31" s="574" t="e">
        <f>SUM('Principle Recapture ARV'!E333:E344)</f>
        <v>#NUM!</v>
      </c>
      <c r="D31" s="575" t="s">
        <v>442</v>
      </c>
      <c r="E31" s="574" t="e">
        <f>SUM('Principle Recapture ARV'!D333:D344)</f>
        <v>#NUM!</v>
      </c>
      <c r="F31" s="576" t="e">
        <f t="shared" si="0"/>
        <v>#NUM!</v>
      </c>
      <c r="G31" s="572" t="e">
        <f>C31/'ROI Detail ARV'!$I$3</f>
        <v>#NUM!</v>
      </c>
    </row>
    <row r="32" spans="2:8" x14ac:dyDescent="0.3">
      <c r="B32" s="573" t="s">
        <v>413</v>
      </c>
      <c r="C32" s="574" t="e">
        <f>SUM('Principle Recapture ARV'!E345:E356)</f>
        <v>#NUM!</v>
      </c>
      <c r="D32" s="575" t="s">
        <v>443</v>
      </c>
      <c r="E32" s="574" t="e">
        <f>SUM('Principle Recapture ARV'!D345:D356)</f>
        <v>#NUM!</v>
      </c>
      <c r="F32" s="576" t="e">
        <f t="shared" si="0"/>
        <v>#NUM!</v>
      </c>
      <c r="G32" s="572" t="e">
        <f>C32/'ROI Detail ARV'!$I$3</f>
        <v>#NUM!</v>
      </c>
    </row>
    <row r="33" spans="2:7" ht="15" thickBot="1" x14ac:dyDescent="0.35">
      <c r="B33" s="577" t="s">
        <v>414</v>
      </c>
      <c r="C33" s="578" t="e">
        <f>SUM('Principle Recapture ARV'!E357:E368)</f>
        <v>#NUM!</v>
      </c>
      <c r="D33" s="579" t="s">
        <v>444</v>
      </c>
      <c r="E33" s="578" t="e">
        <f>SUM('Principle Recapture ARV'!D357:D368)</f>
        <v>#NUM!</v>
      </c>
      <c r="F33" s="580" t="e">
        <f t="shared" si="0"/>
        <v>#NUM!</v>
      </c>
      <c r="G33" s="572" t="e">
        <f>C33/'ROI Detail ARV'!$I$3</f>
        <v>#NUM!</v>
      </c>
    </row>
  </sheetData>
  <hyperlinks>
    <hyperlink ref="A1" location="'Table of contents'!A1" display="Table of contents" xr:uid="{B9E63A39-EEF7-470F-8474-17302B37E50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Calculating offering price</vt:lpstr>
      <vt:lpstr>ROI Number insert</vt:lpstr>
      <vt:lpstr>Outputs</vt:lpstr>
      <vt:lpstr>Total Result</vt:lpstr>
      <vt:lpstr>Financial Statement</vt:lpstr>
      <vt:lpstr>ROI details</vt:lpstr>
      <vt:lpstr>Total CF</vt:lpstr>
      <vt:lpstr>PR Result</vt:lpstr>
      <vt:lpstr>RepairMentenance</vt:lpstr>
      <vt:lpstr>Mortgage payment schedule</vt:lpstr>
      <vt:lpstr>Graph</vt:lpstr>
      <vt:lpstr>Capital Budgeting</vt:lpstr>
      <vt:lpstr>Deal structure</vt:lpstr>
      <vt:lpstr>Mortgage Caculator</vt:lpstr>
      <vt:lpstr>Debt payment Calculator</vt:lpstr>
      <vt:lpstr>Financial Statement ARV</vt:lpstr>
      <vt:lpstr>Calculating offering price ARV</vt:lpstr>
      <vt:lpstr>ROI Detail ARV</vt:lpstr>
      <vt:lpstr>ROI Number insert ARV</vt:lpstr>
      <vt:lpstr>Principle Recapture ARV</vt:lpstr>
      <vt:lpstr>PR ARV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ichigo</dc:creator>
  <cp:lastModifiedBy>Masa</cp:lastModifiedBy>
  <dcterms:created xsi:type="dcterms:W3CDTF">2020-06-04T21:48:11Z</dcterms:created>
  <dcterms:modified xsi:type="dcterms:W3CDTF">2023-02-25T17:04:42Z</dcterms:modified>
</cp:coreProperties>
</file>