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webextensions/webextension1.xml" ContentType="application/vnd.ms-office.webextension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13.xml" ContentType="application/vnd.openxmlformats-officedocument.drawing+xml"/>
  <Override PartName="/xl/ctrlProps/ctrlProp16.xml" ContentType="application/vnd.ms-excel.controlproperties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a\Desktop\REAnalyzingTool\"/>
    </mc:Choice>
  </mc:AlternateContent>
  <xr:revisionPtr revIDLastSave="0" documentId="13_ncr:1_{A3C5ACB8-2CD8-43A7-8C18-59DEC736EBE9}" xr6:coauthVersionLast="47" xr6:coauthVersionMax="47" xr10:uidLastSave="{00000000-0000-0000-0000-000000000000}"/>
  <workbookProtection workbookAlgorithmName="SHA-512" workbookHashValue="v3X0tmlfdSbCbrM2fBbpz3xigvxd6kY4D6cmKFWc/eKbsTkt91CbrLtppen8IVkgI6tsPVShG14uGh4/LC04aQ==" workbookSaltValue="o5nBqxnr0Rdn3LHgBv0wcA==" workbookSpinCount="100000" lockStructure="1"/>
  <bookViews>
    <workbookView xWindow="28680" yWindow="-120" windowWidth="29040" windowHeight="15720" firstSheet="8" activeTab="14" xr2:uid="{D473BC54-900F-4A3E-8C3D-C23A812F35C1}"/>
  </bookViews>
  <sheets>
    <sheet name="Table of contents" sheetId="22" r:id="rId1"/>
    <sheet name="Calculating offering price" sheetId="2" r:id="rId2"/>
    <sheet name="ROI Number insert" sheetId="3" r:id="rId3"/>
    <sheet name="Outputs" sheetId="21" r:id="rId4"/>
    <sheet name="Total Result" sheetId="7" r:id="rId5"/>
    <sheet name="Financial Statement" sheetId="9" r:id="rId6"/>
    <sheet name="ROI details" sheetId="8" r:id="rId7"/>
    <sheet name="Total CF" sheetId="20" r:id="rId8"/>
    <sheet name="PR Result" sheetId="18" r:id="rId9"/>
    <sheet name="Mortgage payment schedule" sheetId="6" r:id="rId10"/>
    <sheet name="Graph" sheetId="16" r:id="rId11"/>
    <sheet name="Capital Budgeting" sheetId="10" r:id="rId12"/>
    <sheet name="Deal structure" sheetId="17" r:id="rId13"/>
    <sheet name="Mortgage Caculator" sheetId="4" r:id="rId14"/>
    <sheet name="Debt payment Calculator" sheetId="5" r:id="rId15"/>
    <sheet name="Financial Statement ARV" sheetId="11" r:id="rId16"/>
    <sheet name="Calculating offering price ARV" sheetId="13" r:id="rId17"/>
    <sheet name="ROI Detail ARV" sheetId="12" r:id="rId18"/>
    <sheet name="ROI Number insert ARV" sheetId="14" r:id="rId19"/>
    <sheet name="Principle Recapture ARV" sheetId="15" r:id="rId20"/>
    <sheet name="PR ARV result" sheetId="1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21" l="1"/>
  <c r="I9" i="10"/>
  <c r="F9" i="10"/>
  <c r="F29" i="3"/>
  <c r="C5" i="2"/>
  <c r="C28" i="2"/>
  <c r="G28" i="2" l="1"/>
  <c r="C32" i="2" l="1"/>
  <c r="I3" i="3" l="1" a="1"/>
  <c r="I3" i="3" s="1"/>
  <c r="B6" i="21"/>
  <c r="B5" i="21"/>
  <c r="B4" i="21"/>
  <c r="B3" i="21"/>
  <c r="B2" i="21"/>
  <c r="B26" i="21"/>
  <c r="C19" i="13"/>
  <c r="F14" i="3"/>
  <c r="C38" i="9" l="1"/>
  <c r="C37" i="9"/>
  <c r="C39" i="9" l="1"/>
  <c r="E44" i="13" l="1"/>
  <c r="E43" i="13"/>
  <c r="D44" i="13"/>
  <c r="D43" i="13"/>
  <c r="C44" i="13"/>
  <c r="C43" i="13"/>
  <c r="C42" i="13"/>
  <c r="E13" i="14" l="1"/>
  <c r="D19" i="7" s="1"/>
  <c r="E6" i="14"/>
  <c r="C87" i="2"/>
  <c r="C95" i="2" s="1"/>
  <c r="C94" i="13" l="1"/>
  <c r="C105" i="13"/>
  <c r="C116" i="13"/>
  <c r="H16" i="8"/>
  <c r="C117" i="2"/>
  <c r="C106" i="2"/>
  <c r="C94" i="2"/>
  <c r="C116" i="2" s="1"/>
  <c r="H16" i="12"/>
  <c r="H56" i="7"/>
  <c r="H24" i="12"/>
  <c r="H24" i="8"/>
  <c r="D37" i="7"/>
  <c r="C6" i="15"/>
  <c r="C5" i="15"/>
  <c r="C4" i="15"/>
  <c r="E40" i="14"/>
  <c r="C12" i="11" s="1"/>
  <c r="E39" i="14"/>
  <c r="C11" i="11" s="1"/>
  <c r="H17" i="14"/>
  <c r="C21" i="11" s="1"/>
  <c r="H8" i="14"/>
  <c r="H7" i="14"/>
  <c r="H6" i="14"/>
  <c r="H5" i="14"/>
  <c r="H3" i="14"/>
  <c r="F7" i="4"/>
  <c r="F5" i="4"/>
  <c r="F8" i="4" s="1"/>
  <c r="C110" i="13"/>
  <c r="C117" i="13" s="1"/>
  <c r="H21" i="12" s="1"/>
  <c r="C99" i="13"/>
  <c r="C88" i="13"/>
  <c r="C87" i="13"/>
  <c r="E17" i="14"/>
  <c r="E50" i="14" s="1"/>
  <c r="H28" i="12" s="1"/>
  <c r="E18" i="14"/>
  <c r="E3" i="14"/>
  <c r="C5" i="11"/>
  <c r="C34" i="13"/>
  <c r="C52" i="13" s="1"/>
  <c r="C32" i="13"/>
  <c r="H18" i="14" s="1"/>
  <c r="E38" i="14" s="1"/>
  <c r="C9" i="11" s="1"/>
  <c r="C30" i="13"/>
  <c r="H16" i="14" s="1"/>
  <c r="C17" i="11" s="1"/>
  <c r="C28" i="13"/>
  <c r="H14" i="14" s="1"/>
  <c r="E32" i="14" s="1"/>
  <c r="C13" i="13"/>
  <c r="C6" i="13"/>
  <c r="C4" i="13"/>
  <c r="C79" i="13" s="1"/>
  <c r="C3" i="13"/>
  <c r="E40" i="13" s="1"/>
  <c r="F6" i="5"/>
  <c r="F18" i="4"/>
  <c r="F19" i="4" s="1"/>
  <c r="E9" i="14"/>
  <c r="F4" i="4" s="1"/>
  <c r="E2" i="14"/>
  <c r="C89" i="13"/>
  <c r="C75" i="13"/>
  <c r="C74" i="13"/>
  <c r="C73" i="13"/>
  <c r="C72" i="13"/>
  <c r="C69" i="13"/>
  <c r="E68" i="13"/>
  <c r="D68" i="13"/>
  <c r="C68" i="13"/>
  <c r="C51" i="13"/>
  <c r="C57" i="13" s="1"/>
  <c r="E23" i="14" s="1"/>
  <c r="E45" i="13"/>
  <c r="D45" i="13"/>
  <c r="C45" i="13"/>
  <c r="C46" i="13" s="1"/>
  <c r="C21" i="13" s="1"/>
  <c r="E42" i="13"/>
  <c r="D42" i="13"/>
  <c r="E41" i="13"/>
  <c r="D41" i="13"/>
  <c r="B23" i="13"/>
  <c r="B22" i="13"/>
  <c r="H29" i="12"/>
  <c r="C27" i="7"/>
  <c r="C2" i="7"/>
  <c r="C18" i="11" l="1"/>
  <c r="D31" i="7" s="1"/>
  <c r="H20" i="14"/>
  <c r="H21" i="14" s="1"/>
  <c r="F3" i="4"/>
  <c r="C41" i="7"/>
  <c r="C91" i="13"/>
  <c r="C102" i="13" s="1"/>
  <c r="C113" i="13" s="1"/>
  <c r="C114" i="13" s="1"/>
  <c r="C115" i="13" s="1"/>
  <c r="C106" i="13"/>
  <c r="H20" i="12" s="1"/>
  <c r="C70" i="13"/>
  <c r="C76" i="13" s="1"/>
  <c r="C105" i="2"/>
  <c r="C40" i="13"/>
  <c r="D40" i="13"/>
  <c r="F9" i="4"/>
  <c r="F10" i="4" s="1"/>
  <c r="F11" i="4" s="1"/>
  <c r="C4" i="11"/>
  <c r="E24" i="14"/>
  <c r="E26" i="14" s="1"/>
  <c r="C6" i="11" s="1"/>
  <c r="C95" i="13"/>
  <c r="H19" i="12" s="1"/>
  <c r="C29" i="13"/>
  <c r="C60" i="13"/>
  <c r="C63" i="13" s="1"/>
  <c r="C90" i="13"/>
  <c r="E11" i="14"/>
  <c r="E12" i="14" s="1"/>
  <c r="H11" i="14" s="1"/>
  <c r="C71" i="13"/>
  <c r="C82" i="13" s="1"/>
  <c r="C58" i="13"/>
  <c r="C35" i="13"/>
  <c r="E36" i="14"/>
  <c r="E37" i="14" s="1"/>
  <c r="C14" i="11" s="1"/>
  <c r="H15" i="14"/>
  <c r="C112" i="13"/>
  <c r="C101" i="13"/>
  <c r="B23" i="2"/>
  <c r="B22" i="2"/>
  <c r="C59" i="13" l="1"/>
  <c r="C23" i="13" s="1"/>
  <c r="C103" i="13"/>
  <c r="C104" i="13" s="1"/>
  <c r="C2" i="15"/>
  <c r="G9" i="15" s="1"/>
  <c r="D9" i="15" s="1"/>
  <c r="C92" i="13"/>
  <c r="C93" i="13" s="1"/>
  <c r="C3" i="11"/>
  <c r="D30" i="7" s="1"/>
  <c r="E33" i="14"/>
  <c r="E34" i="14" s="1"/>
  <c r="C13" i="11" s="1"/>
  <c r="C26" i="13"/>
  <c r="C3" i="15"/>
  <c r="E27" i="14"/>
  <c r="C77" i="13"/>
  <c r="C78" i="13" s="1"/>
  <c r="C64" i="13"/>
  <c r="C96" i="13"/>
  <c r="C107" i="13"/>
  <c r="C118" i="13"/>
  <c r="C26" i="7"/>
  <c r="D26" i="21" s="1"/>
  <c r="E26" i="21" s="1"/>
  <c r="D32" i="17" l="1"/>
  <c r="C9" i="15"/>
  <c r="E9" i="15" s="1"/>
  <c r="G10" i="15" s="1"/>
  <c r="D10" i="15" s="1"/>
  <c r="C3" i="19"/>
  <c r="E42" i="14"/>
  <c r="C15" i="11" s="1"/>
  <c r="E41" i="14"/>
  <c r="C27" i="13"/>
  <c r="D36" i="7" s="1"/>
  <c r="H12" i="14"/>
  <c r="C22" i="13"/>
  <c r="C83" i="13"/>
  <c r="C3" i="4"/>
  <c r="D34" i="7" l="1"/>
  <c r="C8" i="11"/>
  <c r="D33" i="7"/>
  <c r="C10" i="15"/>
  <c r="E10" i="15" s="1"/>
  <c r="H13" i="14"/>
  <c r="E29" i="14"/>
  <c r="E30" i="14" s="1"/>
  <c r="C4" i="7"/>
  <c r="C3" i="7"/>
  <c r="E46" i="14" l="1"/>
  <c r="C20" i="11"/>
  <c r="G11" i="15"/>
  <c r="C1" i="7"/>
  <c r="C11" i="7" s="1"/>
  <c r="D11" i="15" l="1"/>
  <c r="C11" i="15"/>
  <c r="D11" i="7"/>
  <c r="C12" i="9"/>
  <c r="C11" i="9"/>
  <c r="C5" i="9"/>
  <c r="E11" i="15" l="1"/>
  <c r="C89" i="2"/>
  <c r="C90" i="2" s="1"/>
  <c r="G12" i="15" l="1"/>
  <c r="D12" i="15" s="1"/>
  <c r="C112" i="2"/>
  <c r="C101" i="2"/>
  <c r="I17" i="3"/>
  <c r="C18" i="4"/>
  <c r="C19" i="4" s="1"/>
  <c r="C12" i="15" l="1"/>
  <c r="E12" i="15" s="1"/>
  <c r="G13" i="15" s="1"/>
  <c r="C37" i="7"/>
  <c r="E37" i="7" s="1"/>
  <c r="C21" i="9"/>
  <c r="C5" i="4"/>
  <c r="C7" i="4"/>
  <c r="C4" i="4"/>
  <c r="C6" i="6"/>
  <c r="C5" i="6"/>
  <c r="C4" i="6"/>
  <c r="C31" i="7"/>
  <c r="E31" i="7" s="1"/>
  <c r="F2" i="3"/>
  <c r="C14" i="7" s="1"/>
  <c r="F13" i="3"/>
  <c r="H27" i="12" s="1"/>
  <c r="F9" i="3"/>
  <c r="C27" i="10" s="1"/>
  <c r="C25" i="7"/>
  <c r="C23" i="7"/>
  <c r="H29" i="8"/>
  <c r="I20" i="3"/>
  <c r="I18" i="3"/>
  <c r="I14" i="3"/>
  <c r="D31" i="17" l="1"/>
  <c r="D33" i="17" s="1"/>
  <c r="D34" i="17" s="1"/>
  <c r="D35" i="17" s="1"/>
  <c r="D36" i="17" s="1"/>
  <c r="D37" i="17" s="1"/>
  <c r="D13" i="15"/>
  <c r="C13" i="15"/>
  <c r="C19" i="7"/>
  <c r="B8" i="21" s="1"/>
  <c r="C6" i="10"/>
  <c r="I13" i="10"/>
  <c r="I21" i="10"/>
  <c r="I29" i="10"/>
  <c r="F27" i="10"/>
  <c r="H27" i="8"/>
  <c r="E13" i="15" l="1"/>
  <c r="G14" i="15" s="1"/>
  <c r="I6" i="10"/>
  <c r="F6" i="10"/>
  <c r="C6" i="5"/>
  <c r="C30" i="2" s="1"/>
  <c r="I16" i="3" s="1"/>
  <c r="C17" i="9" s="1"/>
  <c r="C8" i="4"/>
  <c r="F32" i="3"/>
  <c r="F38" i="3"/>
  <c r="C9" i="9" s="1"/>
  <c r="I15" i="3"/>
  <c r="C91" i="2"/>
  <c r="C102" i="2" s="1"/>
  <c r="C113" i="2" s="1"/>
  <c r="C79" i="2"/>
  <c r="C74" i="2"/>
  <c r="C73" i="2"/>
  <c r="C72" i="2"/>
  <c r="C69" i="2"/>
  <c r="E68" i="2"/>
  <c r="D68" i="2"/>
  <c r="C68" i="2"/>
  <c r="C60" i="2"/>
  <c r="C75" i="2"/>
  <c r="C52" i="2"/>
  <c r="C71" i="2" s="1"/>
  <c r="C51" i="2"/>
  <c r="C4" i="9" s="1"/>
  <c r="C46" i="2"/>
  <c r="C21" i="2" s="1"/>
  <c r="E45" i="2"/>
  <c r="D45" i="2"/>
  <c r="C45" i="2"/>
  <c r="E42" i="2"/>
  <c r="D42" i="2"/>
  <c r="E41" i="2"/>
  <c r="D41" i="2"/>
  <c r="E40" i="2"/>
  <c r="D40" i="2"/>
  <c r="C40" i="2"/>
  <c r="C35" i="2"/>
  <c r="C29" i="2"/>
  <c r="C18" i="9" l="1"/>
  <c r="D14" i="15"/>
  <c r="C14" i="15"/>
  <c r="C82" i="2"/>
  <c r="C70" i="2"/>
  <c r="C76" i="2" s="1"/>
  <c r="C77" i="2" s="1"/>
  <c r="C78" i="2" s="1"/>
  <c r="C22" i="2" s="1"/>
  <c r="C92" i="2"/>
  <c r="C93" i="2" s="1"/>
  <c r="I21" i="3"/>
  <c r="F36" i="3"/>
  <c r="F37" i="3" s="1"/>
  <c r="C14" i="9" s="1"/>
  <c r="F50" i="3"/>
  <c r="C63" i="2"/>
  <c r="B15" i="21" s="1"/>
  <c r="C57" i="2"/>
  <c r="B16" i="21" s="1"/>
  <c r="E14" i="15" l="1"/>
  <c r="G15" i="15" s="1"/>
  <c r="D15" i="15" s="1"/>
  <c r="H28" i="8"/>
  <c r="H19" i="8"/>
  <c r="C58" i="2"/>
  <c r="C59" i="2" s="1"/>
  <c r="F23" i="3"/>
  <c r="C103" i="2"/>
  <c r="C104" i="2" s="1"/>
  <c r="C83" i="2"/>
  <c r="B13" i="21" l="1"/>
  <c r="B14" i="21" s="1"/>
  <c r="H17" i="12"/>
  <c r="C5" i="13"/>
  <c r="C24" i="7"/>
  <c r="C7" i="2"/>
  <c r="C33" i="2" s="1"/>
  <c r="H17" i="8"/>
  <c r="C8" i="2"/>
  <c r="I19" i="8"/>
  <c r="K19" i="8"/>
  <c r="C15" i="15"/>
  <c r="E15" i="15" s="1"/>
  <c r="G16" i="15" s="1"/>
  <c r="H20" i="8"/>
  <c r="F24" i="3"/>
  <c r="F26" i="3" s="1"/>
  <c r="F33" i="3"/>
  <c r="F34" i="3" s="1"/>
  <c r="I9" i="3"/>
  <c r="H9" i="14" s="1"/>
  <c r="C23" i="2"/>
  <c r="C64" i="2"/>
  <c r="C114" i="2"/>
  <c r="C115" i="2" s="1"/>
  <c r="F11" i="3"/>
  <c r="C17" i="7" s="1"/>
  <c r="D17" i="7" s="1"/>
  <c r="I4" i="3"/>
  <c r="H4" i="14" s="1"/>
  <c r="I19" i="3" l="1"/>
  <c r="F35" i="3" s="1"/>
  <c r="C10" i="9" s="1"/>
  <c r="C33" i="13"/>
  <c r="C7" i="13"/>
  <c r="C8" i="13"/>
  <c r="C16" i="15"/>
  <c r="D16" i="15"/>
  <c r="E20" i="14"/>
  <c r="C4" i="10"/>
  <c r="I4" i="10" s="1"/>
  <c r="C13" i="9"/>
  <c r="F27" i="3"/>
  <c r="C6" i="9"/>
  <c r="C3" i="9" s="1"/>
  <c r="F10" i="3"/>
  <c r="F12" i="3"/>
  <c r="H21" i="8"/>
  <c r="H19" i="14" l="1"/>
  <c r="C36" i="13"/>
  <c r="C37" i="13" s="1"/>
  <c r="C10" i="13" s="1"/>
  <c r="C12" i="13" s="1"/>
  <c r="C14" i="13" s="1"/>
  <c r="E43" i="14"/>
  <c r="E16" i="15"/>
  <c r="G17" i="15" s="1"/>
  <c r="C18" i="7"/>
  <c r="H25" i="12"/>
  <c r="F4" i="10"/>
  <c r="C30" i="7"/>
  <c r="E30" i="7" s="1"/>
  <c r="F41" i="3"/>
  <c r="F20" i="3"/>
  <c r="H25" i="8"/>
  <c r="I11" i="3"/>
  <c r="C2" i="6"/>
  <c r="G9" i="6" s="1"/>
  <c r="C17" i="13" l="1"/>
  <c r="C16" i="13"/>
  <c r="C18" i="13" s="1"/>
  <c r="C81" i="13"/>
  <c r="C25" i="13"/>
  <c r="C62" i="13"/>
  <c r="C80" i="13"/>
  <c r="C61" i="13"/>
  <c r="E35" i="14"/>
  <c r="C10" i="11" s="1"/>
  <c r="H22" i="14"/>
  <c r="H23" i="14" s="1"/>
  <c r="E16" i="14" s="1"/>
  <c r="C16" i="9"/>
  <c r="H35" i="20"/>
  <c r="J35" i="20" s="1"/>
  <c r="H17" i="20"/>
  <c r="J17" i="20" s="1"/>
  <c r="H7" i="20"/>
  <c r="J7" i="20" s="1"/>
  <c r="H14" i="20"/>
  <c r="J14" i="20" s="1"/>
  <c r="H6" i="20"/>
  <c r="J6" i="20" s="1"/>
  <c r="H16" i="20"/>
  <c r="J16" i="20" s="1"/>
  <c r="H13" i="20"/>
  <c r="J13" i="20" s="1"/>
  <c r="H5" i="20"/>
  <c r="J5" i="20" s="1"/>
  <c r="C5" i="10"/>
  <c r="F5" i="10" s="1"/>
  <c r="D18" i="7"/>
  <c r="C16" i="11"/>
  <c r="C37" i="12"/>
  <c r="C6" i="12"/>
  <c r="C33" i="12"/>
  <c r="C9" i="12"/>
  <c r="C7" i="12"/>
  <c r="C22" i="12"/>
  <c r="C23" i="12"/>
  <c r="C42" i="12"/>
  <c r="C18" i="12"/>
  <c r="C24" i="12"/>
  <c r="C35" i="12"/>
  <c r="C38" i="12"/>
  <c r="C44" i="12"/>
  <c r="C17" i="15"/>
  <c r="D17" i="15"/>
  <c r="C15" i="9"/>
  <c r="C34" i="7"/>
  <c r="E34" i="7" s="1"/>
  <c r="C8" i="9"/>
  <c r="F44" i="3"/>
  <c r="F45" i="3" s="1"/>
  <c r="H34" i="8" s="1"/>
  <c r="C33" i="7"/>
  <c r="E33" i="7" s="1"/>
  <c r="D9" i="6"/>
  <c r="H36" i="20" l="1"/>
  <c r="J36" i="20" s="1"/>
  <c r="C19" i="12"/>
  <c r="E44" i="14"/>
  <c r="E45" i="14" s="1"/>
  <c r="H22" i="20"/>
  <c r="J22" i="20" s="1"/>
  <c r="H37" i="20"/>
  <c r="J37" i="20" s="1"/>
  <c r="H18" i="20"/>
  <c r="J18" i="20" s="1"/>
  <c r="C8" i="12"/>
  <c r="H26" i="20"/>
  <c r="J26" i="20" s="1"/>
  <c r="H34" i="20"/>
  <c r="J34" i="20" s="1"/>
  <c r="C21" i="12"/>
  <c r="C45" i="12"/>
  <c r="C40" i="12"/>
  <c r="H30" i="20"/>
  <c r="J30" i="20" s="1"/>
  <c r="H33" i="20"/>
  <c r="J33" i="20" s="1"/>
  <c r="H19" i="20"/>
  <c r="J19" i="20" s="1"/>
  <c r="C17" i="12"/>
  <c r="C34" i="12"/>
  <c r="H23" i="20"/>
  <c r="J23" i="20" s="1"/>
  <c r="C20" i="12"/>
  <c r="C36" i="12"/>
  <c r="C7" i="11"/>
  <c r="C19" i="11" s="1"/>
  <c r="H27" i="20"/>
  <c r="J27" i="20" s="1"/>
  <c r="D32" i="7"/>
  <c r="D35" i="7" s="1"/>
  <c r="D38" i="7" s="1"/>
  <c r="D39" i="7" s="1"/>
  <c r="C39" i="12"/>
  <c r="H31" i="20"/>
  <c r="J31" i="20" s="1"/>
  <c r="C43" i="12"/>
  <c r="C25" i="12"/>
  <c r="H4" i="20"/>
  <c r="J4" i="20" s="1"/>
  <c r="H9" i="20"/>
  <c r="J9" i="20" s="1"/>
  <c r="H8" i="20"/>
  <c r="J8" i="20" s="1"/>
  <c r="C41" i="12"/>
  <c r="C46" i="12"/>
  <c r="H11" i="20"/>
  <c r="J11" i="20" s="1"/>
  <c r="H15" i="20"/>
  <c r="J15" i="20" s="1"/>
  <c r="H12" i="20"/>
  <c r="J12" i="20" s="1"/>
  <c r="H20" i="20"/>
  <c r="J20" i="20" s="1"/>
  <c r="H24" i="20"/>
  <c r="J24" i="20" s="1"/>
  <c r="H28" i="20"/>
  <c r="J28" i="20" s="1"/>
  <c r="H32" i="20"/>
  <c r="J32" i="20" s="1"/>
  <c r="H29" i="20"/>
  <c r="J29" i="20" s="1"/>
  <c r="H10" i="20"/>
  <c r="J10" i="20" s="1"/>
  <c r="H21" i="20"/>
  <c r="J21" i="20" s="1"/>
  <c r="H25" i="20"/>
  <c r="J25" i="20" s="1"/>
  <c r="H37" i="8"/>
  <c r="C8" i="7"/>
  <c r="I5" i="10"/>
  <c r="E47" i="14"/>
  <c r="H34" i="12"/>
  <c r="H35" i="12" s="1"/>
  <c r="E17" i="15"/>
  <c r="G18" i="15" s="1"/>
  <c r="H35" i="8"/>
  <c r="C7" i="7" s="1"/>
  <c r="B12" i="21" s="1"/>
  <c r="C7" i="9"/>
  <c r="C19" i="9" s="1"/>
  <c r="C32" i="7"/>
  <c r="C9" i="4"/>
  <c r="C10" i="4" s="1"/>
  <c r="C11" i="4" s="1"/>
  <c r="C26" i="2" s="1"/>
  <c r="C9" i="7" l="1"/>
  <c r="C10" i="7" s="1"/>
  <c r="D7" i="7"/>
  <c r="E7" i="7" s="1"/>
  <c r="D8" i="7"/>
  <c r="E8" i="7" s="1"/>
  <c r="E48" i="14"/>
  <c r="C5" i="12"/>
  <c r="H3" i="20" s="1"/>
  <c r="D18" i="15"/>
  <c r="C18" i="15"/>
  <c r="C35" i="7"/>
  <c r="E35" i="7" s="1"/>
  <c r="E32" i="7"/>
  <c r="I12" i="3"/>
  <c r="I13" i="3" s="1"/>
  <c r="C27" i="2"/>
  <c r="C3" i="6"/>
  <c r="C4" i="18" s="1"/>
  <c r="C23" i="21" s="1"/>
  <c r="J3" i="20" l="1"/>
  <c r="H38" i="20"/>
  <c r="H41" i="20"/>
  <c r="E18" i="15"/>
  <c r="G19" i="15" s="1"/>
  <c r="C19" i="15" s="1"/>
  <c r="D12" i="7"/>
  <c r="C22" i="11"/>
  <c r="F30" i="3"/>
  <c r="C9" i="6"/>
  <c r="E9" i="6" s="1"/>
  <c r="C36" i="2"/>
  <c r="C37" i="2" s="1"/>
  <c r="C10" i="2" s="1"/>
  <c r="C12" i="2" s="1"/>
  <c r="C14" i="2" s="1"/>
  <c r="C16" i="2" s="1"/>
  <c r="C36" i="7"/>
  <c r="C20" i="9"/>
  <c r="I22" i="3"/>
  <c r="I23" i="3" s="1"/>
  <c r="F16" i="3" s="1"/>
  <c r="F15" i="3" s="1"/>
  <c r="C25" i="8" l="1"/>
  <c r="E25" i="8" s="1"/>
  <c r="C35" i="20"/>
  <c r="C36" i="20"/>
  <c r="C37" i="20"/>
  <c r="C34" i="20"/>
  <c r="C33" i="20"/>
  <c r="C7" i="8"/>
  <c r="E7" i="8" s="1"/>
  <c r="C10" i="20"/>
  <c r="C26" i="20"/>
  <c r="C30" i="20"/>
  <c r="C24" i="20"/>
  <c r="C21" i="20"/>
  <c r="C19" i="20"/>
  <c r="C7" i="20"/>
  <c r="C12" i="20"/>
  <c r="C6" i="20"/>
  <c r="C27" i="20"/>
  <c r="C29" i="20"/>
  <c r="C17" i="20"/>
  <c r="C14" i="20"/>
  <c r="C11" i="20"/>
  <c r="C4" i="20"/>
  <c r="C25" i="20"/>
  <c r="C8" i="20"/>
  <c r="C32" i="20"/>
  <c r="C23" i="20"/>
  <c r="C31" i="20"/>
  <c r="C9" i="20"/>
  <c r="C28" i="20"/>
  <c r="C18" i="20"/>
  <c r="C20" i="20"/>
  <c r="C15" i="20"/>
  <c r="C5" i="20"/>
  <c r="C16" i="20"/>
  <c r="C13" i="20"/>
  <c r="C22" i="20"/>
  <c r="C8" i="8"/>
  <c r="E8" i="8" s="1"/>
  <c r="C39" i="8"/>
  <c r="E39" i="8" s="1"/>
  <c r="C37" i="8"/>
  <c r="E37" i="8" s="1"/>
  <c r="C9" i="8"/>
  <c r="E9" i="8" s="1"/>
  <c r="C36" i="8"/>
  <c r="C15" i="10" s="1"/>
  <c r="C45" i="8"/>
  <c r="E45" i="8" s="1"/>
  <c r="C35" i="8"/>
  <c r="C14" i="10" s="1"/>
  <c r="F14" i="10" s="1"/>
  <c r="C23" i="8"/>
  <c r="E23" i="8" s="1"/>
  <c r="C38" i="8"/>
  <c r="E38" i="8" s="1"/>
  <c r="C6" i="8"/>
  <c r="E6" i="8" s="1"/>
  <c r="F46" i="3"/>
  <c r="F47" i="3" s="1"/>
  <c r="C5" i="8" s="1"/>
  <c r="C34" i="8"/>
  <c r="E34" i="8" s="1"/>
  <c r="C18" i="8"/>
  <c r="E18" i="8" s="1"/>
  <c r="C33" i="8"/>
  <c r="E33" i="8" s="1"/>
  <c r="C42" i="8"/>
  <c r="C21" i="10" s="1"/>
  <c r="F21" i="10" s="1"/>
  <c r="C21" i="8"/>
  <c r="E21" i="8" s="1"/>
  <c r="C43" i="8"/>
  <c r="E43" i="8" s="1"/>
  <c r="C19" i="8"/>
  <c r="E19" i="8" s="1"/>
  <c r="C41" i="8"/>
  <c r="C20" i="10" s="1"/>
  <c r="C20" i="8"/>
  <c r="E20" i="8" s="1"/>
  <c r="C22" i="8"/>
  <c r="E22" i="8" s="1"/>
  <c r="C40" i="8"/>
  <c r="E40" i="8" s="1"/>
  <c r="C44" i="8"/>
  <c r="E44" i="8" s="1"/>
  <c r="C24" i="8"/>
  <c r="E24" i="8" s="1"/>
  <c r="C46" i="8"/>
  <c r="E46" i="8" s="1"/>
  <c r="C17" i="8"/>
  <c r="E17" i="8" s="1"/>
  <c r="G10" i="6"/>
  <c r="D10" i="6" s="1"/>
  <c r="D19" i="15"/>
  <c r="E19" i="15" s="1"/>
  <c r="G20" i="15" s="1"/>
  <c r="C38" i="7"/>
  <c r="E36" i="7"/>
  <c r="E21" i="12"/>
  <c r="H26" i="12"/>
  <c r="C20" i="7"/>
  <c r="C21" i="7" s="1"/>
  <c r="C22" i="9"/>
  <c r="D13" i="17" s="1"/>
  <c r="D14" i="17" s="1"/>
  <c r="C12" i="7"/>
  <c r="C10" i="12"/>
  <c r="E54" i="7" s="1"/>
  <c r="C16" i="12"/>
  <c r="E5" i="12"/>
  <c r="C118" i="2"/>
  <c r="C96" i="2"/>
  <c r="C17" i="2"/>
  <c r="C25" i="2"/>
  <c r="C80" i="2"/>
  <c r="C81" i="2"/>
  <c r="C107" i="2"/>
  <c r="C61" i="2"/>
  <c r="C28" i="7"/>
  <c r="C62" i="2"/>
  <c r="F19" i="3"/>
  <c r="C7" i="10"/>
  <c r="H26" i="8"/>
  <c r="B9" i="21" s="1"/>
  <c r="E57" i="7" l="1"/>
  <c r="C6" i="7"/>
  <c r="B7" i="21"/>
  <c r="F26" i="21" s="1"/>
  <c r="C24" i="10"/>
  <c r="F24" i="10" s="1"/>
  <c r="C18" i="10"/>
  <c r="F18" i="10" s="1"/>
  <c r="E12" i="7"/>
  <c r="B10" i="21"/>
  <c r="H30" i="8"/>
  <c r="E35" i="8"/>
  <c r="E15" i="20"/>
  <c r="E32" i="20"/>
  <c r="E27" i="20"/>
  <c r="E19" i="20"/>
  <c r="E26" i="20"/>
  <c r="E13" i="20"/>
  <c r="E20" i="20"/>
  <c r="E31" i="20"/>
  <c r="E8" i="20"/>
  <c r="E37" i="20"/>
  <c r="E17" i="20"/>
  <c r="E6" i="20"/>
  <c r="E21" i="20"/>
  <c r="E10" i="20"/>
  <c r="E35" i="20"/>
  <c r="E16" i="20"/>
  <c r="E18" i="20"/>
  <c r="E33" i="20"/>
  <c r="E25" i="20"/>
  <c r="E11" i="20"/>
  <c r="E29" i="20"/>
  <c r="E12" i="20"/>
  <c r="E24" i="20"/>
  <c r="C3" i="20"/>
  <c r="E22" i="20"/>
  <c r="E9" i="20"/>
  <c r="E14" i="20"/>
  <c r="C16" i="10"/>
  <c r="F16" i="10" s="1"/>
  <c r="E41" i="8"/>
  <c r="E5" i="20"/>
  <c r="E28" i="20"/>
  <c r="E23" i="20"/>
  <c r="E4" i="20"/>
  <c r="E36" i="20"/>
  <c r="E34" i="20"/>
  <c r="E7" i="20"/>
  <c r="E30" i="20"/>
  <c r="C23" i="10"/>
  <c r="F23" i="10" s="1"/>
  <c r="E42" i="8"/>
  <c r="F48" i="3"/>
  <c r="C10" i="6"/>
  <c r="E10" i="6" s="1"/>
  <c r="C13" i="10"/>
  <c r="F13" i="10" s="1"/>
  <c r="C25" i="10"/>
  <c r="F25" i="10" s="1"/>
  <c r="E36" i="8"/>
  <c r="C22" i="10"/>
  <c r="F22" i="10" s="1"/>
  <c r="C17" i="10"/>
  <c r="F17" i="10" s="1"/>
  <c r="D17" i="17"/>
  <c r="C23" i="9"/>
  <c r="C33" i="9" s="1"/>
  <c r="C40" i="9" s="1"/>
  <c r="C41" i="9" s="1"/>
  <c r="C49" i="7" s="1"/>
  <c r="C30" i="21" s="1"/>
  <c r="D4" i="17"/>
  <c r="D6" i="17" s="1"/>
  <c r="D7" i="17" s="1"/>
  <c r="D9" i="17" s="1"/>
  <c r="D11" i="17" s="1"/>
  <c r="C12" i="10"/>
  <c r="F12" i="10" s="1"/>
  <c r="C19" i="10"/>
  <c r="F19" i="10" s="1"/>
  <c r="D20" i="15"/>
  <c r="E4" i="19" s="1"/>
  <c r="C20" i="15"/>
  <c r="C39" i="7"/>
  <c r="E39" i="7" s="1"/>
  <c r="E38" i="7"/>
  <c r="H30" i="12"/>
  <c r="C26" i="12"/>
  <c r="E61" i="7" s="1"/>
  <c r="E16" i="12"/>
  <c r="C32" i="12"/>
  <c r="E18" i="12"/>
  <c r="E43" i="12"/>
  <c r="E34" i="12"/>
  <c r="C13" i="7"/>
  <c r="E20" i="12"/>
  <c r="E42" i="12"/>
  <c r="E17" i="12"/>
  <c r="E38" i="12"/>
  <c r="E6" i="12"/>
  <c r="E39" i="12"/>
  <c r="E40" i="12"/>
  <c r="E36" i="12"/>
  <c r="E46" i="12"/>
  <c r="H31" i="12"/>
  <c r="E23" i="12"/>
  <c r="E45" i="12"/>
  <c r="E25" i="12"/>
  <c r="E24" i="12"/>
  <c r="E41" i="12"/>
  <c r="E9" i="12"/>
  <c r="E19" i="12"/>
  <c r="E8" i="12"/>
  <c r="E37" i="12"/>
  <c r="E7" i="12"/>
  <c r="E35" i="12"/>
  <c r="E33" i="12"/>
  <c r="E44" i="12"/>
  <c r="E22" i="12"/>
  <c r="K21" i="12"/>
  <c r="I20" i="12"/>
  <c r="K20" i="12"/>
  <c r="K19" i="12"/>
  <c r="I21" i="12"/>
  <c r="I19" i="12"/>
  <c r="C18" i="2"/>
  <c r="I20" i="8"/>
  <c r="K21" i="8"/>
  <c r="I21" i="8"/>
  <c r="J21" i="8" s="1"/>
  <c r="D69" i="7" s="1"/>
  <c r="K20" i="8"/>
  <c r="J19" i="8"/>
  <c r="D56" i="7" s="1"/>
  <c r="C11" i="8"/>
  <c r="I3" i="8"/>
  <c r="H31" i="8"/>
  <c r="H32" i="8" s="1"/>
  <c r="C50" i="7" s="1"/>
  <c r="C31" i="21" s="1"/>
  <c r="I7" i="10"/>
  <c r="I3" i="10" s="1"/>
  <c r="F7" i="10"/>
  <c r="F3" i="10" s="1"/>
  <c r="F10" i="10" s="1"/>
  <c r="C3" i="10"/>
  <c r="C10" i="10" s="1"/>
  <c r="C10" i="8"/>
  <c r="C54" i="7" s="1"/>
  <c r="G54" i="7" s="1"/>
  <c r="C16" i="8"/>
  <c r="E5" i="8"/>
  <c r="C38" i="20" l="1"/>
  <c r="C20" i="21" a="1"/>
  <c r="C20" i="21" s="1"/>
  <c r="D18" i="17"/>
  <c r="B11" i="21"/>
  <c r="C24" i="9"/>
  <c r="C47" i="7" s="1"/>
  <c r="C28" i="21" s="1"/>
  <c r="C41" i="20"/>
  <c r="D5" i="8"/>
  <c r="C39" i="20"/>
  <c r="D3" i="20" s="1"/>
  <c r="D20" i="21" s="1" a="1"/>
  <c r="D20" i="21" s="1"/>
  <c r="G11" i="6"/>
  <c r="E3" i="20"/>
  <c r="E20" i="21" s="1" a="1"/>
  <c r="E20" i="21" s="1"/>
  <c r="D15" i="17"/>
  <c r="D16" i="17" s="1"/>
  <c r="E20" i="15"/>
  <c r="E56" i="7"/>
  <c r="E63" i="7"/>
  <c r="E69" i="7"/>
  <c r="H32" i="12"/>
  <c r="E32" i="12"/>
  <c r="C47" i="12"/>
  <c r="E67" i="7" s="1"/>
  <c r="I27" i="10"/>
  <c r="I28" i="10" s="1"/>
  <c r="C69" i="7"/>
  <c r="C63" i="7"/>
  <c r="I19" i="10"/>
  <c r="I20" i="10" s="1"/>
  <c r="J20" i="8"/>
  <c r="D63" i="7" s="1"/>
  <c r="I11" i="10"/>
  <c r="I12" i="10" s="1"/>
  <c r="I16" i="10" s="1"/>
  <c r="I17" i="10" s="1"/>
  <c r="C56" i="7"/>
  <c r="C12" i="8"/>
  <c r="D54" i="7" s="1"/>
  <c r="I10" i="10"/>
  <c r="I14" i="10"/>
  <c r="D8" i="8"/>
  <c r="C48" i="8"/>
  <c r="C27" i="8"/>
  <c r="D9" i="8"/>
  <c r="C13" i="8" s="1"/>
  <c r="D7" i="8"/>
  <c r="D6" i="8"/>
  <c r="E16" i="8"/>
  <c r="C32" i="8"/>
  <c r="C26" i="8"/>
  <c r="I7" i="8"/>
  <c r="I11" i="8"/>
  <c r="C11" i="6" l="1"/>
  <c r="D11" i="6"/>
  <c r="D15" i="20"/>
  <c r="D26" i="20"/>
  <c r="D8" i="20"/>
  <c r="D17" i="20"/>
  <c r="D35" i="20"/>
  <c r="D29" i="20"/>
  <c r="D24" i="20"/>
  <c r="D28" i="20"/>
  <c r="D4" i="20"/>
  <c r="D34" i="20"/>
  <c r="D19" i="20"/>
  <c r="D6" i="20"/>
  <c r="D10" i="20"/>
  <c r="D33" i="20"/>
  <c r="D11" i="20"/>
  <c r="D36" i="20"/>
  <c r="D32" i="20"/>
  <c r="D31" i="20"/>
  <c r="D16" i="20"/>
  <c r="D27" i="20"/>
  <c r="D20" i="20"/>
  <c r="D21" i="20"/>
  <c r="D18" i="20"/>
  <c r="D25" i="20"/>
  <c r="D9" i="20"/>
  <c r="D30" i="20"/>
  <c r="D37" i="20"/>
  <c r="D12" i="20"/>
  <c r="D22" i="20"/>
  <c r="D14" i="20"/>
  <c r="D23" i="20"/>
  <c r="D7" i="20"/>
  <c r="D13" i="20"/>
  <c r="D5" i="20"/>
  <c r="G21" i="15"/>
  <c r="C21" i="15" s="1"/>
  <c r="C4" i="19"/>
  <c r="F4" i="19" s="1"/>
  <c r="C40" i="20"/>
  <c r="G63" i="7"/>
  <c r="G69" i="7"/>
  <c r="G56" i="7"/>
  <c r="I30" i="10"/>
  <c r="I32" i="10"/>
  <c r="I33" i="10" s="1"/>
  <c r="D22" i="8"/>
  <c r="D18" i="8"/>
  <c r="D21" i="8"/>
  <c r="D25" i="8"/>
  <c r="D24" i="8"/>
  <c r="D20" i="8"/>
  <c r="D23" i="8"/>
  <c r="D19" i="8"/>
  <c r="D17" i="8"/>
  <c r="D16" i="8"/>
  <c r="D33" i="8"/>
  <c r="D40" i="8"/>
  <c r="D37" i="8"/>
  <c r="D44" i="8"/>
  <c r="D35" i="8"/>
  <c r="D43" i="8"/>
  <c r="D41" i="8"/>
  <c r="D39" i="8"/>
  <c r="D46" i="8"/>
  <c r="D36" i="8"/>
  <c r="D38" i="8"/>
  <c r="D34" i="8"/>
  <c r="D45" i="8"/>
  <c r="D42" i="8"/>
  <c r="I26" i="10"/>
  <c r="I31" i="10" s="1"/>
  <c r="I15" i="10"/>
  <c r="I18" i="10"/>
  <c r="I23" i="10" s="1"/>
  <c r="C61" i="7"/>
  <c r="G61" i="7" s="1"/>
  <c r="C28" i="8"/>
  <c r="D61" i="7" s="1"/>
  <c r="D32" i="8"/>
  <c r="C11" i="10"/>
  <c r="C29" i="10" s="1"/>
  <c r="E32" i="8"/>
  <c r="C47" i="8"/>
  <c r="I24" i="10"/>
  <c r="I25" i="10" s="1"/>
  <c r="I22" i="10"/>
  <c r="D21" i="15" l="1"/>
  <c r="E21" i="15" s="1"/>
  <c r="E11" i="6"/>
  <c r="C29" i="8"/>
  <c r="C50" i="8"/>
  <c r="C26" i="10"/>
  <c r="F11" i="10"/>
  <c r="C67" i="7"/>
  <c r="G67" i="7" s="1"/>
  <c r="C49" i="8"/>
  <c r="D67" i="7" s="1"/>
  <c r="G12" i="6" l="1"/>
  <c r="G22" i="15"/>
  <c r="C30" i="10"/>
  <c r="C31" i="10" s="1"/>
  <c r="C28" i="10"/>
  <c r="C22" i="15" l="1"/>
  <c r="D22" i="15"/>
  <c r="C12" i="6"/>
  <c r="D12" i="6"/>
  <c r="E12" i="6" l="1"/>
  <c r="G13" i="6" s="1"/>
  <c r="E22" i="15"/>
  <c r="G23" i="15" l="1"/>
  <c r="C13" i="6"/>
  <c r="D13" i="6"/>
  <c r="E13" i="6" l="1"/>
  <c r="G14" i="6" s="1"/>
  <c r="D23" i="15"/>
  <c r="C23" i="15"/>
  <c r="E23" i="15" l="1"/>
  <c r="G24" i="15" s="1"/>
  <c r="C14" i="6"/>
  <c r="D14" i="6"/>
  <c r="E14" i="6" l="1"/>
  <c r="G15" i="6" s="1"/>
  <c r="C15" i="6" s="1"/>
  <c r="C24" i="15"/>
  <c r="D24" i="15"/>
  <c r="D15" i="6" l="1"/>
  <c r="E15" i="6" s="1"/>
  <c r="G16" i="6" s="1"/>
  <c r="D16" i="6" s="1"/>
  <c r="E24" i="15"/>
  <c r="G25" i="15" s="1"/>
  <c r="C16" i="6" l="1"/>
  <c r="E16" i="6" s="1"/>
  <c r="G17" i="6" s="1"/>
  <c r="D17" i="6" s="1"/>
  <c r="D25" i="15"/>
  <c r="C25" i="15"/>
  <c r="E25" i="15" l="1"/>
  <c r="G26" i="15" s="1"/>
  <c r="C17" i="6"/>
  <c r="E17" i="6" s="1"/>
  <c r="G18" i="6" s="1"/>
  <c r="C18" i="6" s="1"/>
  <c r="D18" i="6" l="1"/>
  <c r="E18" i="6" s="1"/>
  <c r="G19" i="6" s="1"/>
  <c r="C19" i="6" s="1"/>
  <c r="D26" i="15"/>
  <c r="C26" i="15"/>
  <c r="E26" i="15" s="1"/>
  <c r="G27" i="15" s="1"/>
  <c r="D19" i="6" l="1"/>
  <c r="E19" i="6" s="1"/>
  <c r="G20" i="6" s="1"/>
  <c r="D20" i="6" s="1"/>
  <c r="E5" i="18" s="1"/>
  <c r="E23" i="21" s="1" a="1"/>
  <c r="E23" i="21" s="1"/>
  <c r="D27" i="15"/>
  <c r="C27" i="15"/>
  <c r="C20" i="6" l="1"/>
  <c r="E20" i="6" s="1"/>
  <c r="C5" i="18" s="1"/>
  <c r="E27" i="15"/>
  <c r="G28" i="15" s="1"/>
  <c r="D28" i="15" s="1"/>
  <c r="F5" i="18" l="1"/>
  <c r="F23" i="21" s="1" a="1"/>
  <c r="F23" i="21" s="1"/>
  <c r="D23" i="21" a="1"/>
  <c r="D23" i="21" s="1"/>
  <c r="C28" i="15"/>
  <c r="E28" i="15" s="1"/>
  <c r="G29" i="15" s="1"/>
  <c r="D29" i="15" s="1"/>
  <c r="G5" i="18"/>
  <c r="G23" i="21" s="1" a="1"/>
  <c r="G23" i="21" s="1"/>
  <c r="C32" i="9"/>
  <c r="C25" i="9" s="1"/>
  <c r="G21" i="6"/>
  <c r="D21" i="6" s="1"/>
  <c r="C29" i="15" l="1"/>
  <c r="E29" i="15" s="1"/>
  <c r="G30" i="15" s="1"/>
  <c r="C30" i="15" s="1"/>
  <c r="C34" i="9"/>
  <c r="C43" i="9" s="1"/>
  <c r="C21" i="6"/>
  <c r="E21" i="6" s="1"/>
  <c r="C26" i="9"/>
  <c r="C27" i="9" s="1"/>
  <c r="C28" i="9"/>
  <c r="D30" i="15" l="1"/>
  <c r="E30" i="15" s="1"/>
  <c r="G31" i="15" s="1"/>
  <c r="C31" i="15" s="1"/>
  <c r="C48" i="7"/>
  <c r="G22" i="6"/>
  <c r="D22" i="6" s="1"/>
  <c r="C51" i="7" l="1"/>
  <c r="C32" i="21" s="1"/>
  <c r="C29" i="21"/>
  <c r="D31" i="15"/>
  <c r="E31" i="15" s="1"/>
  <c r="G32" i="15" s="1"/>
  <c r="C22" i="6"/>
  <c r="E22" i="6" s="1"/>
  <c r="D32" i="15" l="1"/>
  <c r="E5" i="19" s="1"/>
  <c r="C32" i="15"/>
  <c r="G23" i="6"/>
  <c r="E32" i="15" l="1"/>
  <c r="G33" i="15" s="1"/>
  <c r="D33" i="15" s="1"/>
  <c r="C5" i="19"/>
  <c r="F5" i="19" s="1"/>
  <c r="D23" i="6"/>
  <c r="C23" i="6"/>
  <c r="C33" i="15" l="1"/>
  <c r="E33" i="15" s="1"/>
  <c r="E23" i="6"/>
  <c r="G24" i="6" s="1"/>
  <c r="C24" i="6" l="1"/>
  <c r="D24" i="6"/>
  <c r="G34" i="15"/>
  <c r="E24" i="6" l="1"/>
  <c r="G25" i="6" s="1"/>
  <c r="D34" i="15"/>
  <c r="C34" i="15"/>
  <c r="E34" i="15" l="1"/>
  <c r="G35" i="15" s="1"/>
  <c r="D25" i="6"/>
  <c r="C25" i="6"/>
  <c r="E25" i="6" s="1"/>
  <c r="C35" i="15" l="1"/>
  <c r="D35" i="15"/>
  <c r="G26" i="6"/>
  <c r="C26" i="6" l="1"/>
  <c r="D26" i="6"/>
  <c r="E35" i="15"/>
  <c r="G36" i="15" l="1"/>
  <c r="E26" i="6"/>
  <c r="G27" i="6" s="1"/>
  <c r="C27" i="6" l="1"/>
  <c r="D27" i="6"/>
  <c r="D36" i="15"/>
  <c r="C36" i="15"/>
  <c r="E36" i="15" s="1"/>
  <c r="E27" i="6" l="1"/>
  <c r="G28" i="6" s="1"/>
  <c r="C28" i="6" s="1"/>
  <c r="G37" i="15"/>
  <c r="D28" i="6" l="1"/>
  <c r="E28" i="6" s="1"/>
  <c r="G29" i="6" s="1"/>
  <c r="C37" i="15"/>
  <c r="D37" i="15"/>
  <c r="E37" i="15" l="1"/>
  <c r="G38" i="15" s="1"/>
  <c r="C29" i="6"/>
  <c r="D29" i="6"/>
  <c r="E29" i="6" l="1"/>
  <c r="G30" i="6" s="1"/>
  <c r="C38" i="15"/>
  <c r="D38" i="15"/>
  <c r="E38" i="15" l="1"/>
  <c r="G39" i="15" s="1"/>
  <c r="D39" i="15" s="1"/>
  <c r="C30" i="6"/>
  <c r="D30" i="6"/>
  <c r="C39" i="15" l="1"/>
  <c r="E39" i="15" s="1"/>
  <c r="G40" i="15" s="1"/>
  <c r="E30" i="6"/>
  <c r="G31" i="6" s="1"/>
  <c r="D31" i="6" s="1"/>
  <c r="C31" i="6" l="1"/>
  <c r="E31" i="6" s="1"/>
  <c r="G32" i="6" s="1"/>
  <c r="C40" i="15"/>
  <c r="D40" i="15"/>
  <c r="D32" i="6" l="1"/>
  <c r="E6" i="18" s="1"/>
  <c r="C32" i="6"/>
  <c r="E40" i="15"/>
  <c r="G41" i="15" s="1"/>
  <c r="D41" i="15" s="1"/>
  <c r="E32" i="6" l="1"/>
  <c r="G33" i="6" s="1"/>
  <c r="C41" i="15"/>
  <c r="E41" i="15" s="1"/>
  <c r="G42" i="15" s="1"/>
  <c r="C6" i="18"/>
  <c r="D42" i="15" l="1"/>
  <c r="C42" i="15"/>
  <c r="E42" i="15" s="1"/>
  <c r="G43" i="15" s="1"/>
  <c r="D43" i="15" s="1"/>
  <c r="G6" i="18"/>
  <c r="F6" i="18"/>
  <c r="C33" i="6"/>
  <c r="D33" i="6"/>
  <c r="C43" i="15" l="1"/>
  <c r="E43" i="15" s="1"/>
  <c r="G44" i="15" s="1"/>
  <c r="D44" i="15" s="1"/>
  <c r="E6" i="19" s="1"/>
  <c r="E33" i="6"/>
  <c r="C44" i="15" l="1"/>
  <c r="E44" i="15" s="1"/>
  <c r="G45" i="15" s="1"/>
  <c r="G34" i="6"/>
  <c r="C6" i="19" l="1"/>
  <c r="F6" i="19" s="1"/>
  <c r="C34" i="6"/>
  <c r="D34" i="6"/>
  <c r="C45" i="15"/>
  <c r="D45" i="15"/>
  <c r="E45" i="15" l="1"/>
  <c r="E34" i="6"/>
  <c r="G35" i="6" l="1"/>
  <c r="G46" i="15"/>
  <c r="C46" i="15" l="1"/>
  <c r="D46" i="15"/>
  <c r="C35" i="6"/>
  <c r="D35" i="6"/>
  <c r="E35" i="6" l="1"/>
  <c r="E46" i="15"/>
  <c r="G47" i="15" l="1"/>
  <c r="G36" i="6"/>
  <c r="D36" i="6" l="1"/>
  <c r="C36" i="6"/>
  <c r="C47" i="15"/>
  <c r="D47" i="15"/>
  <c r="E47" i="15" l="1"/>
  <c r="G48" i="15" s="1"/>
  <c r="E36" i="6"/>
  <c r="G37" i="6" s="1"/>
  <c r="D37" i="6" l="1"/>
  <c r="C37" i="6"/>
  <c r="E37" i="6" s="1"/>
  <c r="C48" i="15"/>
  <c r="D48" i="15"/>
  <c r="E48" i="15" l="1"/>
  <c r="G38" i="6"/>
  <c r="D38" i="6" l="1"/>
  <c r="C38" i="6"/>
  <c r="E38" i="6" s="1"/>
  <c r="G39" i="6" s="1"/>
  <c r="G49" i="15"/>
  <c r="D49" i="15" l="1"/>
  <c r="C49" i="15"/>
  <c r="E49" i="15" s="1"/>
  <c r="D39" i="6"/>
  <c r="C39" i="6"/>
  <c r="E39" i="6" s="1"/>
  <c r="G40" i="6" s="1"/>
  <c r="G50" i="15" l="1"/>
  <c r="D40" i="6"/>
  <c r="C40" i="6"/>
  <c r="E40" i="6" s="1"/>
  <c r="G41" i="6" s="1"/>
  <c r="D41" i="6" l="1"/>
  <c r="C41" i="6"/>
  <c r="E41" i="6" s="1"/>
  <c r="G42" i="6" s="1"/>
  <c r="C50" i="15"/>
  <c r="D50" i="15"/>
  <c r="E50" i="15" s="1"/>
  <c r="G51" i="15" s="1"/>
  <c r="D51" i="15" l="1"/>
  <c r="C51" i="15"/>
  <c r="D42" i="6"/>
  <c r="C42" i="6"/>
  <c r="E42" i="6" s="1"/>
  <c r="G43" i="6" s="1"/>
  <c r="E51" i="15" l="1"/>
  <c r="G52" i="15" s="1"/>
  <c r="D52" i="15" s="1"/>
  <c r="D43" i="6"/>
  <c r="C43" i="6"/>
  <c r="E43" i="6" s="1"/>
  <c r="G44" i="6" s="1"/>
  <c r="C52" i="15" l="1"/>
  <c r="E52" i="15" s="1"/>
  <c r="G53" i="15" s="1"/>
  <c r="D44" i="6"/>
  <c r="E7" i="18" s="1"/>
  <c r="C44" i="6"/>
  <c r="E44" i="6" s="1"/>
  <c r="D53" i="15" l="1"/>
  <c r="C53" i="15"/>
  <c r="E53" i="15" s="1"/>
  <c r="G54" i="15" s="1"/>
  <c r="G45" i="6"/>
  <c r="C7" i="18"/>
  <c r="G7" i="18" s="1"/>
  <c r="D45" i="6" l="1"/>
  <c r="C45" i="6"/>
  <c r="D54" i="15"/>
  <c r="C54" i="15"/>
  <c r="F7" i="18"/>
  <c r="E45" i="6" l="1"/>
  <c r="E54" i="15"/>
  <c r="G55" i="15" s="1"/>
  <c r="G46" i="6"/>
  <c r="D46" i="6" l="1"/>
  <c r="C46" i="6"/>
  <c r="C55" i="15"/>
  <c r="D55" i="15"/>
  <c r="E55" i="15" l="1"/>
  <c r="G56" i="15" s="1"/>
  <c r="C56" i="15" s="1"/>
  <c r="E46" i="6"/>
  <c r="D56" i="15" l="1"/>
  <c r="E7" i="19" s="1"/>
  <c r="G47" i="6"/>
  <c r="E56" i="15" l="1"/>
  <c r="D47" i="6"/>
  <c r="C47" i="6"/>
  <c r="G57" i="15" l="1"/>
  <c r="C7" i="19"/>
  <c r="F7" i="19" s="1"/>
  <c r="E47" i="6"/>
  <c r="G48" i="6" s="1"/>
  <c r="C57" i="15" l="1"/>
  <c r="D57" i="15"/>
  <c r="C48" i="6"/>
  <c r="D48" i="6"/>
  <c r="E57" i="15" l="1"/>
  <c r="G58" i="15" s="1"/>
  <c r="E48" i="6"/>
  <c r="G49" i="6" s="1"/>
  <c r="D58" i="15" l="1"/>
  <c r="C58" i="15"/>
  <c r="E58" i="15" s="1"/>
  <c r="G59" i="15" s="1"/>
  <c r="D49" i="6"/>
  <c r="C49" i="6"/>
  <c r="E49" i="6" l="1"/>
  <c r="G50" i="6" s="1"/>
  <c r="C59" i="15"/>
  <c r="D59" i="15"/>
  <c r="E59" i="15" l="1"/>
  <c r="C50" i="6"/>
  <c r="D50" i="6"/>
  <c r="E50" i="6" l="1"/>
  <c r="G51" i="6" s="1"/>
  <c r="D51" i="6" s="1"/>
  <c r="G60" i="15"/>
  <c r="C51" i="6" l="1"/>
  <c r="E51" i="6" s="1"/>
  <c r="G52" i="6" s="1"/>
  <c r="D60" i="15"/>
  <c r="C60" i="15"/>
  <c r="E60" i="15" s="1"/>
  <c r="D52" i="6" l="1"/>
  <c r="C52" i="6"/>
  <c r="E52" i="6" s="1"/>
  <c r="G53" i="6" s="1"/>
  <c r="G61" i="15"/>
  <c r="C61" i="15" l="1"/>
  <c r="D61" i="15"/>
  <c r="D53" i="6"/>
  <c r="C53" i="6"/>
  <c r="E53" i="6" s="1"/>
  <c r="G54" i="6" s="1"/>
  <c r="E61" i="15" l="1"/>
  <c r="C54" i="6"/>
  <c r="D54" i="6"/>
  <c r="G62" i="15"/>
  <c r="E54" i="6" l="1"/>
  <c r="G55" i="6" s="1"/>
  <c r="C55" i="6" s="1"/>
  <c r="C62" i="15"/>
  <c r="D62" i="15"/>
  <c r="D55" i="6" l="1"/>
  <c r="E55" i="6" s="1"/>
  <c r="G56" i="6" s="1"/>
  <c r="E62" i="15"/>
  <c r="G63" i="15" s="1"/>
  <c r="C56" i="6" l="1"/>
  <c r="D56" i="6"/>
  <c r="E8" i="18" s="1"/>
  <c r="C63" i="15"/>
  <c r="D63" i="15"/>
  <c r="E63" i="15" l="1"/>
  <c r="G64" i="15" s="1"/>
  <c r="D64" i="15" s="1"/>
  <c r="E56" i="6"/>
  <c r="G57" i="6" s="1"/>
  <c r="C8" i="18"/>
  <c r="C64" i="15" l="1"/>
  <c r="E64" i="15" s="1"/>
  <c r="G65" i="15" s="1"/>
  <c r="C57" i="6"/>
  <c r="D57" i="6"/>
  <c r="G8" i="18"/>
  <c r="F8" i="18"/>
  <c r="E57" i="6" l="1"/>
  <c r="G58" i="6" s="1"/>
  <c r="D65" i="15"/>
  <c r="C65" i="15"/>
  <c r="E65" i="15" l="1"/>
  <c r="G66" i="15" s="1"/>
  <c r="C66" i="15" s="1"/>
  <c r="D58" i="6"/>
  <c r="C58" i="6"/>
  <c r="E58" i="6" l="1"/>
  <c r="D66" i="15"/>
  <c r="E66" i="15" s="1"/>
  <c r="G67" i="15" s="1"/>
  <c r="G59" i="6"/>
  <c r="D67" i="15" l="1"/>
  <c r="C67" i="15"/>
  <c r="E67" i="15" s="1"/>
  <c r="G68" i="15" s="1"/>
  <c r="D68" i="15" s="1"/>
  <c r="E8" i="19" s="1"/>
  <c r="D59" i="6"/>
  <c r="C59" i="6"/>
  <c r="C68" i="15" l="1"/>
  <c r="E68" i="15" s="1"/>
  <c r="C8" i="19" s="1"/>
  <c r="F8" i="19" s="1"/>
  <c r="E59" i="6"/>
  <c r="G60" i="6" s="1"/>
  <c r="G69" i="15" l="1"/>
  <c r="C69" i="15" s="1"/>
  <c r="D60" i="6"/>
  <c r="C60" i="6"/>
  <c r="D69" i="15" l="1"/>
  <c r="E69" i="15"/>
  <c r="G70" i="15" s="1"/>
  <c r="C70" i="15" s="1"/>
  <c r="E60" i="6"/>
  <c r="I4" i="12"/>
  <c r="E55" i="7" s="1"/>
  <c r="E58" i="7" s="1"/>
  <c r="D70" i="15" l="1"/>
  <c r="E70" i="15" s="1"/>
  <c r="G71" i="15" s="1"/>
  <c r="G61" i="6"/>
  <c r="D71" i="15" l="1"/>
  <c r="C71" i="15"/>
  <c r="E71" i="15" s="1"/>
  <c r="C61" i="6"/>
  <c r="D61" i="6"/>
  <c r="E61" i="6" l="1"/>
  <c r="G72" i="15"/>
  <c r="D72" i="15" l="1"/>
  <c r="C72" i="15"/>
  <c r="G62" i="6"/>
  <c r="E72" i="15" l="1"/>
  <c r="G73" i="15" s="1"/>
  <c r="D62" i="6"/>
  <c r="C62" i="6"/>
  <c r="C73" i="15" l="1"/>
  <c r="D73" i="15"/>
  <c r="E62" i="6"/>
  <c r="G63" i="6" s="1"/>
  <c r="E73" i="15" l="1"/>
  <c r="G74" i="15" s="1"/>
  <c r="D63" i="6"/>
  <c r="C63" i="6"/>
  <c r="E63" i="6" s="1"/>
  <c r="G64" i="6" s="1"/>
  <c r="C74" i="15" l="1"/>
  <c r="D74" i="15"/>
  <c r="C64" i="6"/>
  <c r="D64" i="6"/>
  <c r="E64" i="6" l="1"/>
  <c r="G65" i="6" s="1"/>
  <c r="D65" i="6" s="1"/>
  <c r="E74" i="15"/>
  <c r="G75" i="15" s="1"/>
  <c r="C65" i="6" l="1"/>
  <c r="E65" i="6" s="1"/>
  <c r="G66" i="6" s="1"/>
  <c r="C66" i="6" s="1"/>
  <c r="C75" i="15"/>
  <c r="D75" i="15"/>
  <c r="E75" i="15" l="1"/>
  <c r="G76" i="15" s="1"/>
  <c r="D76" i="15" s="1"/>
  <c r="D66" i="6"/>
  <c r="E66" i="6" s="1"/>
  <c r="G67" i="6" s="1"/>
  <c r="C67" i="6" s="1"/>
  <c r="C76" i="15"/>
  <c r="D67" i="6" l="1"/>
  <c r="E67" i="6" s="1"/>
  <c r="G68" i="6" s="1"/>
  <c r="D68" i="6" s="1"/>
  <c r="E9" i="18" s="1"/>
  <c r="E76" i="15"/>
  <c r="G77" i="15" s="1"/>
  <c r="C77" i="15" s="1"/>
  <c r="D77" i="15" l="1"/>
  <c r="E77" i="15" s="1"/>
  <c r="G78" i="15" s="1"/>
  <c r="D78" i="15" s="1"/>
  <c r="C68" i="6"/>
  <c r="E68" i="6" s="1"/>
  <c r="G69" i="6" s="1"/>
  <c r="C9" i="18" l="1"/>
  <c r="G9" i="18" s="1"/>
  <c r="C78" i="15"/>
  <c r="E78" i="15" s="1"/>
  <c r="G79" i="15" s="1"/>
  <c r="C79" i="15" s="1"/>
  <c r="C69" i="6"/>
  <c r="D69" i="6"/>
  <c r="F9" i="18" l="1"/>
  <c r="D79" i="15"/>
  <c r="E79" i="15" s="1"/>
  <c r="G80" i="15" s="1"/>
  <c r="C80" i="15" s="1"/>
  <c r="E69" i="6"/>
  <c r="D80" i="15" l="1"/>
  <c r="E80" i="15" s="1"/>
  <c r="I4" i="8"/>
  <c r="G70" i="6"/>
  <c r="E9" i="19"/>
  <c r="G81" i="15" l="1"/>
  <c r="C9" i="19"/>
  <c r="F9" i="19" s="1"/>
  <c r="C70" i="6"/>
  <c r="D70" i="6"/>
  <c r="I5" i="8"/>
  <c r="F15" i="10"/>
  <c r="C55" i="7"/>
  <c r="E70" i="6" l="1"/>
  <c r="G55" i="7"/>
  <c r="G58" i="7" s="1"/>
  <c r="C58" i="7"/>
  <c r="D55" i="7"/>
  <c r="D58" i="7" s="1"/>
  <c r="D59" i="7" s="1"/>
  <c r="I6" i="8"/>
  <c r="D81" i="15"/>
  <c r="C81" i="15"/>
  <c r="E81" i="15" l="1"/>
  <c r="G82" i="15" s="1"/>
  <c r="G71" i="6"/>
  <c r="D82" i="15" l="1"/>
  <c r="C82" i="15"/>
  <c r="E82" i="15" s="1"/>
  <c r="D71" i="6"/>
  <c r="C71" i="6"/>
  <c r="E71" i="6" s="1"/>
  <c r="G72" i="6" l="1"/>
  <c r="G83" i="15"/>
  <c r="C72" i="6" l="1"/>
  <c r="D72" i="6"/>
  <c r="C83" i="15"/>
  <c r="D83" i="15"/>
  <c r="E83" i="15" l="1"/>
  <c r="G84" i="15" s="1"/>
  <c r="E72" i="6"/>
  <c r="G73" i="6" l="1"/>
  <c r="D84" i="15"/>
  <c r="C84" i="15"/>
  <c r="E84" i="15" s="1"/>
  <c r="G85" i="15" l="1"/>
  <c r="C73" i="6"/>
  <c r="D73" i="6"/>
  <c r="E73" i="6" l="1"/>
  <c r="D85" i="15"/>
  <c r="C85" i="15"/>
  <c r="E85" i="15" s="1"/>
  <c r="G86" i="15" l="1"/>
  <c r="G74" i="6"/>
  <c r="C74" i="6" l="1"/>
  <c r="D74" i="6"/>
  <c r="C86" i="15"/>
  <c r="D86" i="15"/>
  <c r="E86" i="15" l="1"/>
  <c r="G87" i="15" s="1"/>
  <c r="E74" i="6"/>
  <c r="G75" i="6" s="1"/>
  <c r="C75" i="6" l="1"/>
  <c r="D75" i="6"/>
  <c r="D87" i="15"/>
  <c r="C87" i="15"/>
  <c r="E87" i="15" s="1"/>
  <c r="G88" i="15" s="1"/>
  <c r="E75" i="6" l="1"/>
  <c r="G76" i="6" s="1"/>
  <c r="C76" i="6" s="1"/>
  <c r="D88" i="15"/>
  <c r="C88" i="15"/>
  <c r="D76" i="6" l="1"/>
  <c r="E76" i="6" s="1"/>
  <c r="G77" i="6" s="1"/>
  <c r="D77" i="6" s="1"/>
  <c r="E88" i="15"/>
  <c r="G89" i="15" s="1"/>
  <c r="C77" i="6" l="1"/>
  <c r="E77" i="6" s="1"/>
  <c r="G78" i="6" s="1"/>
  <c r="D78" i="6" s="1"/>
  <c r="C89" i="15"/>
  <c r="D89" i="15"/>
  <c r="E89" i="15" l="1"/>
  <c r="G90" i="15" s="1"/>
  <c r="C78" i="6"/>
  <c r="E78" i="6" s="1"/>
  <c r="G79" i="6" s="1"/>
  <c r="D79" i="6" s="1"/>
  <c r="D90" i="15"/>
  <c r="C90" i="15"/>
  <c r="E90" i="15" s="1"/>
  <c r="G91" i="15" s="1"/>
  <c r="C79" i="6" l="1"/>
  <c r="E79" i="6" s="1"/>
  <c r="G80" i="6" s="1"/>
  <c r="C91" i="15"/>
  <c r="D91" i="15"/>
  <c r="E91" i="15" l="1"/>
  <c r="G92" i="15" s="1"/>
  <c r="C80" i="6"/>
  <c r="D80" i="6"/>
  <c r="E10" i="18" s="1"/>
  <c r="E80" i="6" l="1"/>
  <c r="G81" i="6" s="1"/>
  <c r="D92" i="15"/>
  <c r="E10" i="19" s="1"/>
  <c r="C92" i="15"/>
  <c r="C10" i="18" l="1"/>
  <c r="G10" i="18" s="1"/>
  <c r="E92" i="15"/>
  <c r="G93" i="15" s="1"/>
  <c r="C10" i="19"/>
  <c r="F10" i="19" s="1"/>
  <c r="F10" i="18"/>
  <c r="D81" i="6"/>
  <c r="C81" i="6"/>
  <c r="E81" i="6" l="1"/>
  <c r="G82" i="6" s="1"/>
  <c r="C93" i="15"/>
  <c r="D93" i="15"/>
  <c r="E93" i="15" l="1"/>
  <c r="C82" i="6"/>
  <c r="D82" i="6"/>
  <c r="E82" i="6" l="1"/>
  <c r="G94" i="15"/>
  <c r="C94" i="15" l="1"/>
  <c r="D94" i="15"/>
  <c r="G83" i="6"/>
  <c r="D83" i="6" l="1"/>
  <c r="C83" i="6"/>
  <c r="E94" i="15"/>
  <c r="E83" i="6" l="1"/>
  <c r="G84" i="6" s="1"/>
  <c r="G95" i="15"/>
  <c r="D84" i="6" l="1"/>
  <c r="C84" i="6"/>
  <c r="D95" i="15"/>
  <c r="C95" i="15"/>
  <c r="E95" i="15" l="1"/>
  <c r="G96" i="15" s="1"/>
  <c r="E84" i="6"/>
  <c r="G85" i="6" s="1"/>
  <c r="D85" i="6" l="1"/>
  <c r="C85" i="6"/>
  <c r="D96" i="15"/>
  <c r="C96" i="15"/>
  <c r="E96" i="15" s="1"/>
  <c r="E85" i="6" l="1"/>
  <c r="G86" i="6" s="1"/>
  <c r="G97" i="15"/>
  <c r="C97" i="15" l="1"/>
  <c r="D97" i="15"/>
  <c r="C86" i="6"/>
  <c r="D86" i="6"/>
  <c r="E86" i="6" l="1"/>
  <c r="G87" i="6" s="1"/>
  <c r="E97" i="15"/>
  <c r="G98" i="15" l="1"/>
  <c r="C87" i="6"/>
  <c r="D87" i="6"/>
  <c r="E87" i="6" l="1"/>
  <c r="G88" i="6" s="1"/>
  <c r="D98" i="15"/>
  <c r="C98" i="15"/>
  <c r="E98" i="15" s="1"/>
  <c r="G99" i="15" s="1"/>
  <c r="D99" i="15" l="1"/>
  <c r="C99" i="15"/>
  <c r="E99" i="15" s="1"/>
  <c r="G100" i="15" s="1"/>
  <c r="C88" i="6"/>
  <c r="D88" i="6"/>
  <c r="E88" i="6" l="1"/>
  <c r="G89" i="6" s="1"/>
  <c r="D89" i="6" s="1"/>
  <c r="C100" i="15"/>
  <c r="D100" i="15"/>
  <c r="C89" i="6" l="1"/>
  <c r="E89" i="6" s="1"/>
  <c r="G90" i="6" s="1"/>
  <c r="E100" i="15"/>
  <c r="G101" i="15" s="1"/>
  <c r="C90" i="6" l="1"/>
  <c r="D90" i="6"/>
  <c r="D101" i="15"/>
  <c r="C101" i="15"/>
  <c r="E101" i="15" s="1"/>
  <c r="G102" i="15" s="1"/>
  <c r="E90" i="6" l="1"/>
  <c r="G91" i="6" s="1"/>
  <c r="D102" i="15"/>
  <c r="C102" i="15"/>
  <c r="E102" i="15" s="1"/>
  <c r="G103" i="15" s="1"/>
  <c r="C91" i="6"/>
  <c r="D91" i="6"/>
  <c r="C103" i="15" l="1"/>
  <c r="D103" i="15"/>
  <c r="E91" i="6"/>
  <c r="G92" i="6" s="1"/>
  <c r="E103" i="15" l="1"/>
  <c r="G104" i="15" s="1"/>
  <c r="C104" i="15" s="1"/>
  <c r="C92" i="6"/>
  <c r="D92" i="6"/>
  <c r="E11" i="18" s="1"/>
  <c r="D104" i="15" l="1"/>
  <c r="E92" i="6"/>
  <c r="G93" i="6" s="1"/>
  <c r="C11" i="18"/>
  <c r="G11" i="18" s="1"/>
  <c r="E104" i="15"/>
  <c r="E11" i="19"/>
  <c r="G105" i="15" l="1"/>
  <c r="C11" i="19"/>
  <c r="F11" i="19" s="1"/>
  <c r="F11" i="18"/>
  <c r="D93" i="6"/>
  <c r="C93" i="6"/>
  <c r="E93" i="6" l="1"/>
  <c r="D105" i="15"/>
  <c r="C105" i="15"/>
  <c r="E105" i="15" s="1"/>
  <c r="G106" i="15" l="1"/>
  <c r="G94" i="6"/>
  <c r="D94" i="6" l="1"/>
  <c r="C94" i="6"/>
  <c r="D106" i="15"/>
  <c r="C106" i="15"/>
  <c r="E106" i="15" l="1"/>
  <c r="G107" i="15" s="1"/>
  <c r="E94" i="6"/>
  <c r="G95" i="6" s="1"/>
  <c r="D95" i="6" l="1"/>
  <c r="C95" i="6"/>
  <c r="D107" i="15"/>
  <c r="C107" i="15"/>
  <c r="E107" i="15" l="1"/>
  <c r="E95" i="6"/>
  <c r="G96" i="6" s="1"/>
  <c r="G108" i="15"/>
  <c r="D96" i="6" l="1"/>
  <c r="C96" i="6"/>
  <c r="C108" i="15"/>
  <c r="D108" i="15"/>
  <c r="E96" i="6" l="1"/>
  <c r="E108" i="15"/>
  <c r="G109" i="15" s="1"/>
  <c r="G97" i="6"/>
  <c r="C97" i="6" l="1"/>
  <c r="D97" i="6"/>
  <c r="C109" i="15"/>
  <c r="D109" i="15"/>
  <c r="E109" i="15" l="1"/>
  <c r="E97" i="6"/>
  <c r="G98" i="6" l="1"/>
  <c r="G110" i="15"/>
  <c r="D110" i="15" l="1"/>
  <c r="C110" i="15"/>
  <c r="E110" i="15" s="1"/>
  <c r="G111" i="15" s="1"/>
  <c r="D98" i="6"/>
  <c r="C98" i="6"/>
  <c r="E98" i="6" s="1"/>
  <c r="G99" i="6" s="1"/>
  <c r="D99" i="6" l="1"/>
  <c r="C99" i="6"/>
  <c r="D111" i="15"/>
  <c r="C111" i="15"/>
  <c r="E111" i="15" l="1"/>
  <c r="G112" i="15" s="1"/>
  <c r="E99" i="6"/>
  <c r="G100" i="6" s="1"/>
  <c r="C100" i="6" s="1"/>
  <c r="C112" i="15"/>
  <c r="D112" i="15"/>
  <c r="D100" i="6" l="1"/>
  <c r="E100" i="6" s="1"/>
  <c r="G101" i="6" s="1"/>
  <c r="E112" i="15"/>
  <c r="G113" i="15" s="1"/>
  <c r="C113" i="15" s="1"/>
  <c r="D113" i="15" l="1"/>
  <c r="C101" i="6"/>
  <c r="D101" i="6"/>
  <c r="E113" i="15"/>
  <c r="G114" i="15" s="1"/>
  <c r="D114" i="15" s="1"/>
  <c r="E101" i="6" l="1"/>
  <c r="G102" i="6" s="1"/>
  <c r="C102" i="6" s="1"/>
  <c r="C114" i="15"/>
  <c r="E114" i="15" s="1"/>
  <c r="G115" i="15" s="1"/>
  <c r="D115" i="15" s="1"/>
  <c r="D102" i="6" l="1"/>
  <c r="C115" i="15"/>
  <c r="E115" i="15" s="1"/>
  <c r="G116" i="15" s="1"/>
  <c r="E102" i="6"/>
  <c r="G103" i="6" s="1"/>
  <c r="D116" i="15" l="1"/>
  <c r="E12" i="19" s="1"/>
  <c r="C116" i="15"/>
  <c r="E116" i="15" s="1"/>
  <c r="G117" i="15" s="1"/>
  <c r="C103" i="6"/>
  <c r="D103" i="6"/>
  <c r="C12" i="19" l="1"/>
  <c r="F12" i="19" s="1"/>
  <c r="C117" i="15"/>
  <c r="D117" i="15"/>
  <c r="E103" i="6"/>
  <c r="G104" i="6" s="1"/>
  <c r="D104" i="6" l="1"/>
  <c r="E12" i="18" s="1"/>
  <c r="C104" i="6"/>
  <c r="E117" i="15"/>
  <c r="E104" i="6" l="1"/>
  <c r="G105" i="6" s="1"/>
  <c r="C12" i="18"/>
  <c r="G118" i="15"/>
  <c r="G12" i="18" l="1"/>
  <c r="F12" i="18"/>
  <c r="C118" i="15"/>
  <c r="D118" i="15"/>
  <c r="D105" i="6"/>
  <c r="C105" i="6"/>
  <c r="E105" i="6" s="1"/>
  <c r="E118" i="15" l="1"/>
  <c r="G119" i="15"/>
  <c r="G106" i="6"/>
  <c r="D106" i="6" l="1"/>
  <c r="C106" i="6"/>
  <c r="D119" i="15"/>
  <c r="C119" i="15"/>
  <c r="E119" i="15" l="1"/>
  <c r="E106" i="6"/>
  <c r="G107" i="6" s="1"/>
  <c r="G120" i="15"/>
  <c r="D107" i="6" l="1"/>
  <c r="C107" i="6"/>
  <c r="E107" i="6" s="1"/>
  <c r="D120" i="15"/>
  <c r="C120" i="15"/>
  <c r="E120" i="15" s="1"/>
  <c r="G108" i="6" l="1"/>
  <c r="G121" i="15"/>
  <c r="C121" i="15" l="1"/>
  <c r="D121" i="15"/>
  <c r="D108" i="6"/>
  <c r="C108" i="6"/>
  <c r="E108" i="6" l="1"/>
  <c r="E121" i="15"/>
  <c r="G122" i="15" s="1"/>
  <c r="G109" i="6"/>
  <c r="C109" i="6" l="1"/>
  <c r="D109" i="6"/>
  <c r="C122" i="15"/>
  <c r="D122" i="15"/>
  <c r="E109" i="6" l="1"/>
  <c r="G110" i="6" s="1"/>
  <c r="E122" i="15"/>
  <c r="G123" i="15" s="1"/>
  <c r="D123" i="15" s="1"/>
  <c r="C123" i="15" l="1"/>
  <c r="E123" i="15" s="1"/>
  <c r="G124" i="15" s="1"/>
  <c r="D124" i="15" s="1"/>
  <c r="C110" i="6"/>
  <c r="D110" i="6"/>
  <c r="C124" i="15" l="1"/>
  <c r="E124" i="15" s="1"/>
  <c r="G125" i="15" s="1"/>
  <c r="D125" i="15" s="1"/>
  <c r="E110" i="6"/>
  <c r="G111" i="6" s="1"/>
  <c r="C125" i="15" l="1"/>
  <c r="E125" i="15" s="1"/>
  <c r="G126" i="15" s="1"/>
  <c r="D126" i="15" s="1"/>
  <c r="D111" i="6"/>
  <c r="C111" i="6"/>
  <c r="C126" i="15" l="1"/>
  <c r="E126" i="15" s="1"/>
  <c r="G127" i="15" s="1"/>
  <c r="E111" i="6"/>
  <c r="G112" i="6" s="1"/>
  <c r="D112" i="6" s="1"/>
  <c r="C127" i="15" l="1"/>
  <c r="D127" i="15"/>
  <c r="C112" i="6"/>
  <c r="E112" i="6" s="1"/>
  <c r="G113" i="6" s="1"/>
  <c r="E127" i="15" l="1"/>
  <c r="G128" i="15" s="1"/>
  <c r="C113" i="6"/>
  <c r="D113" i="6"/>
  <c r="C128" i="15" l="1"/>
  <c r="D128" i="15"/>
  <c r="E13" i="19" s="1"/>
  <c r="E113" i="6"/>
  <c r="G114" i="6" s="1"/>
  <c r="D114" i="6" s="1"/>
  <c r="C114" i="6" l="1"/>
  <c r="E114" i="6" s="1"/>
  <c r="G115" i="6" s="1"/>
  <c r="C115" i="6" s="1"/>
  <c r="E128" i="15"/>
  <c r="D115" i="6" l="1"/>
  <c r="E115" i="6" s="1"/>
  <c r="G116" i="6" s="1"/>
  <c r="D116" i="6" s="1"/>
  <c r="E13" i="18" s="1"/>
  <c r="G129" i="15"/>
  <c r="C129" i="15" s="1"/>
  <c r="C13" i="19"/>
  <c r="F13" i="19" s="1"/>
  <c r="D129" i="15"/>
  <c r="E129" i="15" l="1"/>
  <c r="G130" i="15" s="1"/>
  <c r="C116" i="6"/>
  <c r="E116" i="6" s="1"/>
  <c r="G117" i="6" s="1"/>
  <c r="D117" i="6" s="1"/>
  <c r="I8" i="12"/>
  <c r="E62" i="7" s="1"/>
  <c r="E64" i="7" s="1"/>
  <c r="C117" i="6" l="1"/>
  <c r="C13" i="18"/>
  <c r="F13" i="18" s="1"/>
  <c r="C130" i="15"/>
  <c r="D130" i="15"/>
  <c r="E117" i="6"/>
  <c r="G118" i="6" s="1"/>
  <c r="G13" i="18" l="1"/>
  <c r="E130" i="15"/>
  <c r="G131" i="15" s="1"/>
  <c r="D131" i="15" s="1"/>
  <c r="D118" i="6"/>
  <c r="C118" i="6"/>
  <c r="C131" i="15" l="1"/>
  <c r="E131" i="15" s="1"/>
  <c r="G132" i="15" s="1"/>
  <c r="E118" i="6"/>
  <c r="G119" i="6" s="1"/>
  <c r="C132" i="15" l="1"/>
  <c r="D132" i="15"/>
  <c r="C119" i="6"/>
  <c r="D119" i="6"/>
  <c r="E132" i="15" l="1"/>
  <c r="G133" i="15" s="1"/>
  <c r="E119" i="6"/>
  <c r="G120" i="6" l="1"/>
  <c r="D133" i="15"/>
  <c r="C133" i="15"/>
  <c r="E133" i="15" s="1"/>
  <c r="G134" i="15" l="1"/>
  <c r="D120" i="6"/>
  <c r="C120" i="6"/>
  <c r="E120" i="6" s="1"/>
  <c r="G121" i="6" l="1"/>
  <c r="D134" i="15"/>
  <c r="C134" i="15"/>
  <c r="E134" i="15" s="1"/>
  <c r="G135" i="15" s="1"/>
  <c r="C135" i="15" l="1"/>
  <c r="D135" i="15"/>
  <c r="C121" i="6"/>
  <c r="D121" i="6"/>
  <c r="E121" i="6" l="1"/>
  <c r="G122" i="6" s="1"/>
  <c r="E135" i="15"/>
  <c r="G136" i="15" s="1"/>
  <c r="D136" i="15" l="1"/>
  <c r="C136" i="15"/>
  <c r="E136" i="15" s="1"/>
  <c r="G137" i="15" s="1"/>
  <c r="C122" i="6"/>
  <c r="D122" i="6"/>
  <c r="E122" i="6" l="1"/>
  <c r="G123" i="6" s="1"/>
  <c r="D123" i="6" s="1"/>
  <c r="D137" i="15"/>
  <c r="C137" i="15"/>
  <c r="C123" i="6" l="1"/>
  <c r="E123" i="6" s="1"/>
  <c r="G124" i="6" s="1"/>
  <c r="E137" i="15"/>
  <c r="G138" i="15" s="1"/>
  <c r="D138" i="15" s="1"/>
  <c r="C138" i="15" l="1"/>
  <c r="E138" i="15" s="1"/>
  <c r="G139" i="15" s="1"/>
  <c r="C124" i="6"/>
  <c r="D124" i="6"/>
  <c r="D139" i="15" l="1"/>
  <c r="C139" i="15"/>
  <c r="E124" i="6"/>
  <c r="G125" i="6" s="1"/>
  <c r="C125" i="6" s="1"/>
  <c r="E139" i="15" l="1"/>
  <c r="G140" i="15" s="1"/>
  <c r="D140" i="15" s="1"/>
  <c r="E14" i="19" s="1"/>
  <c r="D125" i="6"/>
  <c r="E125" i="6" s="1"/>
  <c r="G126" i="6" s="1"/>
  <c r="D126" i="6" s="1"/>
  <c r="C140" i="15"/>
  <c r="C126" i="6" l="1"/>
  <c r="E126" i="6" s="1"/>
  <c r="G127" i="6" s="1"/>
  <c r="E140" i="15"/>
  <c r="G141" i="15" l="1"/>
  <c r="C141" i="15" s="1"/>
  <c r="C14" i="19"/>
  <c r="F14" i="19" s="1"/>
  <c r="D141" i="15"/>
  <c r="E141" i="15" s="1"/>
  <c r="D127" i="6"/>
  <c r="C127" i="6"/>
  <c r="E127" i="6" l="1"/>
  <c r="G128" i="6" s="1"/>
  <c r="C128" i="6" s="1"/>
  <c r="G142" i="15"/>
  <c r="D128" i="6" l="1"/>
  <c r="E14" i="18" s="1"/>
  <c r="D142" i="15"/>
  <c r="C142" i="15"/>
  <c r="E128" i="6" l="1"/>
  <c r="E142" i="15"/>
  <c r="G143" i="15" s="1"/>
  <c r="C14" i="18" l="1"/>
  <c r="G129" i="6"/>
  <c r="C143" i="15"/>
  <c r="D143" i="15"/>
  <c r="C129" i="6" l="1"/>
  <c r="D129" i="6"/>
  <c r="F14" i="18"/>
  <c r="G14" i="18"/>
  <c r="E143" i="15"/>
  <c r="E129" i="6" l="1"/>
  <c r="G144" i="15"/>
  <c r="G130" i="6" l="1"/>
  <c r="I8" i="8"/>
  <c r="D144" i="15"/>
  <c r="C144" i="15"/>
  <c r="C62" i="7" l="1"/>
  <c r="F20" i="10"/>
  <c r="I9" i="8"/>
  <c r="D130" i="6"/>
  <c r="C130" i="6"/>
  <c r="E144" i="15"/>
  <c r="G145" i="15" s="1"/>
  <c r="D62" i="7" l="1"/>
  <c r="D64" i="7" s="1"/>
  <c r="I10" i="8"/>
  <c r="F29" i="10"/>
  <c r="F26" i="10"/>
  <c r="E130" i="6"/>
  <c r="G131" i="6" s="1"/>
  <c r="C131" i="6" s="1"/>
  <c r="G62" i="7"/>
  <c r="G64" i="7" s="1"/>
  <c r="C64" i="7"/>
  <c r="D65" i="7" s="1"/>
  <c r="D131" i="6"/>
  <c r="D145" i="15"/>
  <c r="C145" i="15"/>
  <c r="E145" i="15" l="1"/>
  <c r="F30" i="10"/>
  <c r="F31" i="10" s="1"/>
  <c r="F28" i="10"/>
  <c r="G146" i="15"/>
  <c r="E131" i="6"/>
  <c r="D146" i="15" l="1"/>
  <c r="C146" i="15"/>
  <c r="E146" i="15" s="1"/>
  <c r="G147" i="15" s="1"/>
  <c r="G132" i="6"/>
  <c r="C132" i="6" l="1"/>
  <c r="D132" i="6"/>
  <c r="C147" i="15"/>
  <c r="D147" i="15"/>
  <c r="E147" i="15" l="1"/>
  <c r="G148" i="15" s="1"/>
  <c r="D148" i="15" s="1"/>
  <c r="E132" i="6"/>
  <c r="C148" i="15" l="1"/>
  <c r="E148" i="15" s="1"/>
  <c r="G149" i="15" s="1"/>
  <c r="D149" i="15" s="1"/>
  <c r="G133" i="6"/>
  <c r="C149" i="15" l="1"/>
  <c r="E149" i="15" s="1"/>
  <c r="G150" i="15" s="1"/>
  <c r="C150" i="15" s="1"/>
  <c r="C133" i="6"/>
  <c r="D133" i="6"/>
  <c r="D150" i="15" l="1"/>
  <c r="E150" i="15" s="1"/>
  <c r="G151" i="15" s="1"/>
  <c r="D151" i="15" s="1"/>
  <c r="E133" i="6"/>
  <c r="G134" i="6" s="1"/>
  <c r="C151" i="15" l="1"/>
  <c r="E151" i="15" s="1"/>
  <c r="G152" i="15" s="1"/>
  <c r="C152" i="15" s="1"/>
  <c r="C134" i="6"/>
  <c r="D134" i="6"/>
  <c r="D152" i="15" l="1"/>
  <c r="E15" i="19" s="1"/>
  <c r="E134" i="6"/>
  <c r="G135" i="6" s="1"/>
  <c r="C135" i="6" s="1"/>
  <c r="D135" i="6" l="1"/>
  <c r="E135" i="6" s="1"/>
  <c r="G136" i="6" s="1"/>
  <c r="E152" i="15"/>
  <c r="G153" i="15" s="1"/>
  <c r="C15" i="19"/>
  <c r="F15" i="19" s="1"/>
  <c r="C136" i="6" l="1"/>
  <c r="D136" i="6"/>
  <c r="D153" i="15"/>
  <c r="C153" i="15"/>
  <c r="E153" i="15" s="1"/>
  <c r="G154" i="15" l="1"/>
  <c r="E136" i="6"/>
  <c r="G137" i="6" s="1"/>
  <c r="D137" i="6" l="1"/>
  <c r="C137" i="6"/>
  <c r="C154" i="15"/>
  <c r="D154" i="15"/>
  <c r="E137" i="6" l="1"/>
  <c r="G138" i="6" s="1"/>
  <c r="C138" i="6" s="1"/>
  <c r="E154" i="15"/>
  <c r="D138" i="6" l="1"/>
  <c r="E138" i="6" s="1"/>
  <c r="G139" i="6" s="1"/>
  <c r="D139" i="6" s="1"/>
  <c r="G155" i="15"/>
  <c r="C139" i="6" l="1"/>
  <c r="E139" i="6" s="1"/>
  <c r="G140" i="6" s="1"/>
  <c r="D140" i="6" s="1"/>
  <c r="E15" i="18" s="1"/>
  <c r="D155" i="15"/>
  <c r="C155" i="15"/>
  <c r="C140" i="6" l="1"/>
  <c r="E140" i="6" s="1"/>
  <c r="G141" i="6" s="1"/>
  <c r="E155" i="15"/>
  <c r="G156" i="15" s="1"/>
  <c r="C15" i="18" l="1"/>
  <c r="G15" i="18" s="1"/>
  <c r="C141" i="6"/>
  <c r="D141" i="6"/>
  <c r="C156" i="15"/>
  <c r="D156" i="15"/>
  <c r="F15" i="18" l="1"/>
  <c r="E156" i="15"/>
  <c r="G157" i="15" s="1"/>
  <c r="E141" i="6"/>
  <c r="G142" i="6" l="1"/>
  <c r="D157" i="15"/>
  <c r="C157" i="15"/>
  <c r="E157" i="15" s="1"/>
  <c r="G158" i="15" l="1"/>
  <c r="C142" i="6"/>
  <c r="D142" i="6"/>
  <c r="E142" i="6" l="1"/>
  <c r="G143" i="6" s="1"/>
  <c r="C158" i="15"/>
  <c r="D158" i="15"/>
  <c r="E158" i="15" l="1"/>
  <c r="G159" i="15" s="1"/>
  <c r="C143" i="6"/>
  <c r="D143" i="6"/>
  <c r="E143" i="6" l="1"/>
  <c r="C159" i="15"/>
  <c r="D159" i="15"/>
  <c r="E159" i="15" l="1"/>
  <c r="G144" i="6"/>
  <c r="C144" i="6" l="1"/>
  <c r="D144" i="6"/>
  <c r="G160" i="15"/>
  <c r="E144" i="6" l="1"/>
  <c r="G145" i="6" s="1"/>
  <c r="C160" i="15"/>
  <c r="D160" i="15"/>
  <c r="E160" i="15" l="1"/>
  <c r="G161" i="15" s="1"/>
  <c r="D145" i="6"/>
  <c r="C145" i="6"/>
  <c r="E145" i="6" s="1"/>
  <c r="G146" i="6" l="1"/>
  <c r="D161" i="15"/>
  <c r="C161" i="15"/>
  <c r="E161" i="15" s="1"/>
  <c r="G162" i="15" s="1"/>
  <c r="C162" i="15" l="1"/>
  <c r="D162" i="15"/>
  <c r="C146" i="6"/>
  <c r="D146" i="6"/>
  <c r="E162" i="15" l="1"/>
  <c r="G163" i="15" s="1"/>
  <c r="C163" i="15" s="1"/>
  <c r="E146" i="6"/>
  <c r="G147" i="6" s="1"/>
  <c r="D147" i="6" s="1"/>
  <c r="D163" i="15" l="1"/>
  <c r="C147" i="6"/>
  <c r="E147" i="6" s="1"/>
  <c r="G148" i="6" s="1"/>
  <c r="C148" i="6" s="1"/>
  <c r="E163" i="15"/>
  <c r="G164" i="15" s="1"/>
  <c r="D148" i="6" l="1"/>
  <c r="E148" i="6" s="1"/>
  <c r="C164" i="15"/>
  <c r="D164" i="15"/>
  <c r="E164" i="15" l="1"/>
  <c r="E16" i="19"/>
  <c r="G149" i="6"/>
  <c r="C149" i="6" l="1"/>
  <c r="D149" i="6"/>
  <c r="G165" i="15"/>
  <c r="C16" i="19"/>
  <c r="F16" i="19" s="1"/>
  <c r="C165" i="15" l="1"/>
  <c r="D165" i="15"/>
  <c r="E149" i="6"/>
  <c r="G150" i="6" l="1"/>
  <c r="E165" i="15"/>
  <c r="G166" i="15" l="1"/>
  <c r="C150" i="6"/>
  <c r="D150" i="6"/>
  <c r="E150" i="6" l="1"/>
  <c r="C166" i="15"/>
  <c r="D166" i="15"/>
  <c r="E166" i="15" l="1"/>
  <c r="G151" i="6"/>
  <c r="C151" i="6" l="1"/>
  <c r="D151" i="6"/>
  <c r="G167" i="15"/>
  <c r="C167" i="15" l="1"/>
  <c r="D167" i="15"/>
  <c r="E151" i="6"/>
  <c r="G152" i="6" l="1"/>
  <c r="E167" i="15"/>
  <c r="G168" i="15" l="1"/>
  <c r="D152" i="6"/>
  <c r="E16" i="18" s="1"/>
  <c r="C152" i="6"/>
  <c r="E152" i="6" s="1"/>
  <c r="G153" i="6" l="1"/>
  <c r="C16" i="18"/>
  <c r="C168" i="15"/>
  <c r="D168" i="15"/>
  <c r="E168" i="15" l="1"/>
  <c r="G169" i="15" s="1"/>
  <c r="G16" i="18"/>
  <c r="F16" i="18"/>
  <c r="C153" i="6"/>
  <c r="D153" i="6"/>
  <c r="E153" i="6" l="1"/>
  <c r="C169" i="15"/>
  <c r="D169" i="15"/>
  <c r="E169" i="15" l="1"/>
  <c r="G170" i="15"/>
  <c r="G154" i="6"/>
  <c r="C154" i="6" l="1"/>
  <c r="D154" i="6"/>
  <c r="D170" i="15"/>
  <c r="C170" i="15"/>
  <c r="E170" i="15" l="1"/>
  <c r="G171" i="15" s="1"/>
  <c r="C171" i="15" s="1"/>
  <c r="D171" i="15"/>
  <c r="E154" i="6"/>
  <c r="E171" i="15" l="1"/>
  <c r="G172" i="15" s="1"/>
  <c r="C172" i="15" s="1"/>
  <c r="G155" i="6"/>
  <c r="D172" i="15" l="1"/>
  <c r="E172" i="15" s="1"/>
  <c r="G173" i="15" s="1"/>
  <c r="C155" i="6"/>
  <c r="D155" i="6"/>
  <c r="E155" i="6" l="1"/>
  <c r="D173" i="15"/>
  <c r="C173" i="15"/>
  <c r="E173" i="15" l="1"/>
  <c r="G174" i="15" s="1"/>
  <c r="C174" i="15" s="1"/>
  <c r="G156" i="6"/>
  <c r="D174" i="15" l="1"/>
  <c r="E174" i="15" s="1"/>
  <c r="G175" i="15" s="1"/>
  <c r="C156" i="6"/>
  <c r="D156" i="6"/>
  <c r="D175" i="15" l="1"/>
  <c r="C175" i="15"/>
  <c r="E175" i="15" s="1"/>
  <c r="G176" i="15" s="1"/>
  <c r="E156" i="6"/>
  <c r="D176" i="15" l="1"/>
  <c r="E17" i="19" s="1"/>
  <c r="C176" i="15"/>
  <c r="G157" i="6"/>
  <c r="E176" i="15" l="1"/>
  <c r="G177" i="15" s="1"/>
  <c r="C157" i="6"/>
  <c r="D157" i="6"/>
  <c r="C17" i="19"/>
  <c r="F17" i="19" s="1"/>
  <c r="D177" i="15" l="1"/>
  <c r="C177" i="15"/>
  <c r="E157" i="6"/>
  <c r="E177" i="15" l="1"/>
  <c r="G178" i="15" s="1"/>
  <c r="G158" i="6"/>
  <c r="D178" i="15" l="1"/>
  <c r="C178" i="15"/>
  <c r="D158" i="6"/>
  <c r="C158" i="6"/>
  <c r="E158" i="6" s="1"/>
  <c r="G159" i="6" s="1"/>
  <c r="E178" i="15" l="1"/>
  <c r="G179" i="15" s="1"/>
  <c r="D159" i="6"/>
  <c r="C159" i="6"/>
  <c r="E159" i="6" l="1"/>
  <c r="G160" i="6" s="1"/>
  <c r="C160" i="6" s="1"/>
  <c r="D179" i="15"/>
  <c r="C179" i="15"/>
  <c r="D160" i="6" l="1"/>
  <c r="E160" i="6" s="1"/>
  <c r="G161" i="6" s="1"/>
  <c r="E179" i="15"/>
  <c r="G180" i="15" s="1"/>
  <c r="C180" i="15" l="1"/>
  <c r="D180" i="15"/>
  <c r="D161" i="6"/>
  <c r="C161" i="6"/>
  <c r="E161" i="6" s="1"/>
  <c r="G162" i="6" s="1"/>
  <c r="E180" i="15" l="1"/>
  <c r="C162" i="6"/>
  <c r="D162" i="6"/>
  <c r="G181" i="15"/>
  <c r="E162" i="6" l="1"/>
  <c r="G163" i="6" s="1"/>
  <c r="C163" i="6" s="1"/>
  <c r="C181" i="15"/>
  <c r="D181" i="15"/>
  <c r="D163" i="6" l="1"/>
  <c r="E163" i="6" s="1"/>
  <c r="G164" i="6" s="1"/>
  <c r="E181" i="15"/>
  <c r="C164" i="6" l="1"/>
  <c r="D164" i="6"/>
  <c r="E17" i="18" s="1"/>
  <c r="G182" i="15"/>
  <c r="E164" i="6" l="1"/>
  <c r="G165" i="6" s="1"/>
  <c r="C182" i="15"/>
  <c r="D182" i="15"/>
  <c r="C17" i="18"/>
  <c r="E182" i="15" l="1"/>
  <c r="G183" i="15" s="1"/>
  <c r="C183" i="15" s="1"/>
  <c r="G17" i="18"/>
  <c r="F17" i="18"/>
  <c r="D165" i="6"/>
  <c r="C165" i="6"/>
  <c r="D183" i="15" l="1"/>
  <c r="E183" i="15" s="1"/>
  <c r="G184" i="15" s="1"/>
  <c r="E165" i="6"/>
  <c r="G166" i="6" s="1"/>
  <c r="D184" i="15" l="1"/>
  <c r="C184" i="15"/>
  <c r="C166" i="6"/>
  <c r="D166" i="6"/>
  <c r="E184" i="15" l="1"/>
  <c r="G185" i="15" s="1"/>
  <c r="D185" i="15" s="1"/>
  <c r="E166" i="6"/>
  <c r="C185" i="15" l="1"/>
  <c r="E185" i="15" s="1"/>
  <c r="G186" i="15" s="1"/>
  <c r="D186" i="15" s="1"/>
  <c r="G167" i="6"/>
  <c r="C186" i="15" l="1"/>
  <c r="E186" i="15" s="1"/>
  <c r="G187" i="15" s="1"/>
  <c r="C187" i="15" s="1"/>
  <c r="D167" i="6"/>
  <c r="C167" i="6"/>
  <c r="D187" i="15" l="1"/>
  <c r="E187" i="15" s="1"/>
  <c r="G188" i="15" s="1"/>
  <c r="C188" i="15" s="1"/>
  <c r="E167" i="6"/>
  <c r="G168" i="6" s="1"/>
  <c r="D188" i="15" l="1"/>
  <c r="E188" i="15" s="1"/>
  <c r="E18" i="19"/>
  <c r="C168" i="6"/>
  <c r="D168" i="6"/>
  <c r="E168" i="6" l="1"/>
  <c r="G169" i="6" s="1"/>
  <c r="C18" i="19"/>
  <c r="F18" i="19" s="1"/>
  <c r="G189" i="15"/>
  <c r="D189" i="15" l="1"/>
  <c r="C189" i="15"/>
  <c r="E189" i="15" s="1"/>
  <c r="C169" i="6"/>
  <c r="D169" i="6"/>
  <c r="I12" i="12" l="1"/>
  <c r="E68" i="7" s="1"/>
  <c r="G190" i="15"/>
  <c r="E169" i="6"/>
  <c r="C190" i="15" l="1"/>
  <c r="D190" i="15"/>
  <c r="E70" i="7"/>
  <c r="G170" i="6"/>
  <c r="D170" i="6" l="1"/>
  <c r="C170" i="6"/>
  <c r="E190" i="15"/>
  <c r="E170" i="6" l="1"/>
  <c r="G171" i="6" s="1"/>
  <c r="D171" i="6" s="1"/>
  <c r="G191" i="15"/>
  <c r="C171" i="6" l="1"/>
  <c r="E171" i="6" s="1"/>
  <c r="G172" i="6" s="1"/>
  <c r="D172" i="6" s="1"/>
  <c r="C191" i="15"/>
  <c r="D191" i="15"/>
  <c r="C172" i="6" l="1"/>
  <c r="E172" i="6" s="1"/>
  <c r="G173" i="6" s="1"/>
  <c r="E191" i="15"/>
  <c r="D173" i="6" l="1"/>
  <c r="C173" i="6"/>
  <c r="G192" i="15"/>
  <c r="E173" i="6" l="1"/>
  <c r="G174" i="6" s="1"/>
  <c r="C174" i="6" s="1"/>
  <c r="D192" i="15"/>
  <c r="C192" i="15"/>
  <c r="E192" i="15" s="1"/>
  <c r="D174" i="6" l="1"/>
  <c r="E174" i="6" s="1"/>
  <c r="G175" i="6" s="1"/>
  <c r="C175" i="6" s="1"/>
  <c r="G193" i="15"/>
  <c r="D175" i="6" l="1"/>
  <c r="E175" i="6" s="1"/>
  <c r="G176" i="6" s="1"/>
  <c r="D176" i="6" s="1"/>
  <c r="E18" i="18" s="1"/>
  <c r="C193" i="15"/>
  <c r="D193" i="15"/>
  <c r="C176" i="6" l="1"/>
  <c r="E176" i="6" s="1"/>
  <c r="G177" i="6" s="1"/>
  <c r="E193" i="15"/>
  <c r="G194" i="15" s="1"/>
  <c r="C18" i="18" l="1"/>
  <c r="G18" i="18" s="1"/>
  <c r="D177" i="6"/>
  <c r="C177" i="6"/>
  <c r="C194" i="15"/>
  <c r="D194" i="15"/>
  <c r="F18" i="18" l="1"/>
  <c r="E177" i="6"/>
  <c r="G178" i="6" s="1"/>
  <c r="E194" i="15"/>
  <c r="G195" i="15" s="1"/>
  <c r="D178" i="6" l="1"/>
  <c r="C178" i="6"/>
  <c r="D195" i="15"/>
  <c r="C195" i="15"/>
  <c r="E195" i="15" s="1"/>
  <c r="G196" i="15" s="1"/>
  <c r="E178" i="6" l="1"/>
  <c r="G179" i="6" s="1"/>
  <c r="C196" i="15"/>
  <c r="D196" i="15"/>
  <c r="E196" i="15" l="1"/>
  <c r="G197" i="15" s="1"/>
  <c r="D197" i="15" s="1"/>
  <c r="D179" i="6"/>
  <c r="C179" i="6"/>
  <c r="C197" i="15" l="1"/>
  <c r="E197" i="15" s="1"/>
  <c r="G198" i="15" s="1"/>
  <c r="E179" i="6"/>
  <c r="G180" i="6" s="1"/>
  <c r="C198" i="15" l="1"/>
  <c r="D198" i="15"/>
  <c r="C180" i="6"/>
  <c r="D180" i="6"/>
  <c r="E198" i="15" l="1"/>
  <c r="G199" i="15" s="1"/>
  <c r="D199" i="15" s="1"/>
  <c r="C199" i="15"/>
  <c r="E199" i="15" s="1"/>
  <c r="G200" i="15" s="1"/>
  <c r="E180" i="6"/>
  <c r="D200" i="15" l="1"/>
  <c r="E19" i="19" s="1"/>
  <c r="C200" i="15"/>
  <c r="E200" i="15" s="1"/>
  <c r="G181" i="6"/>
  <c r="D181" i="6" l="1"/>
  <c r="C181" i="6"/>
  <c r="G201" i="15"/>
  <c r="C19" i="19"/>
  <c r="F19" i="19" s="1"/>
  <c r="E181" i="6" l="1"/>
  <c r="G182" i="6" s="1"/>
  <c r="D201" i="15"/>
  <c r="C201" i="15"/>
  <c r="E201" i="15" s="1"/>
  <c r="G202" i="15" l="1"/>
  <c r="C182" i="6"/>
  <c r="D182" i="6"/>
  <c r="E182" i="6" l="1"/>
  <c r="G183" i="6" s="1"/>
  <c r="C202" i="15"/>
  <c r="D202" i="15"/>
  <c r="E202" i="15" l="1"/>
  <c r="D183" i="6"/>
  <c r="C183" i="6"/>
  <c r="E183" i="6" l="1"/>
  <c r="G184" i="6" s="1"/>
  <c r="D184" i="6" s="1"/>
  <c r="G203" i="15"/>
  <c r="C184" i="6" l="1"/>
  <c r="E184" i="6" s="1"/>
  <c r="G185" i="6" s="1"/>
  <c r="D203" i="15"/>
  <c r="C203" i="15"/>
  <c r="D185" i="6" l="1"/>
  <c r="C185" i="6"/>
  <c r="E203" i="15"/>
  <c r="E185" i="6" l="1"/>
  <c r="G186" i="6" s="1"/>
  <c r="D186" i="6" s="1"/>
  <c r="G204" i="15"/>
  <c r="C186" i="6" l="1"/>
  <c r="E186" i="6" s="1"/>
  <c r="G187" i="6" s="1"/>
  <c r="C187" i="6" s="1"/>
  <c r="D204" i="15"/>
  <c r="C204" i="15"/>
  <c r="E204" i="15" s="1"/>
  <c r="D187" i="6" l="1"/>
  <c r="E187" i="6" s="1"/>
  <c r="G188" i="6" s="1"/>
  <c r="G205" i="15"/>
  <c r="C188" i="6" l="1"/>
  <c r="D188" i="6"/>
  <c r="E19" i="18" s="1"/>
  <c r="C205" i="15"/>
  <c r="D205" i="15"/>
  <c r="E188" i="6" l="1"/>
  <c r="E205" i="15"/>
  <c r="G189" i="6" l="1"/>
  <c r="C19" i="18"/>
  <c r="G206" i="15"/>
  <c r="G19" i="18" l="1"/>
  <c r="F19" i="18"/>
  <c r="C189" i="6"/>
  <c r="D189" i="6"/>
  <c r="C206" i="15"/>
  <c r="D206" i="15"/>
  <c r="E189" i="6" l="1"/>
  <c r="E206" i="15"/>
  <c r="G207" i="15" s="1"/>
  <c r="G190" i="6" l="1"/>
  <c r="I12" i="8"/>
  <c r="C207" i="15"/>
  <c r="D207" i="15"/>
  <c r="C68" i="7" l="1"/>
  <c r="I13" i="8"/>
  <c r="C190" i="6"/>
  <c r="D190" i="6"/>
  <c r="E207" i="15"/>
  <c r="G208" i="15" s="1"/>
  <c r="D208" i="15" s="1"/>
  <c r="C208" i="15" l="1"/>
  <c r="E190" i="6"/>
  <c r="G191" i="6" s="1"/>
  <c r="E208" i="15"/>
  <c r="G209" i="15" s="1"/>
  <c r="I14" i="8"/>
  <c r="D68" i="7"/>
  <c r="D70" i="7" s="1"/>
  <c r="C191" i="6"/>
  <c r="D191" i="6"/>
  <c r="C70" i="7"/>
  <c r="D71" i="7" s="1"/>
  <c r="G68" i="7"/>
  <c r="G70" i="7" s="1"/>
  <c r="D209" i="15"/>
  <c r="C209" i="15"/>
  <c r="E209" i="15" l="1"/>
  <c r="G210" i="15" s="1"/>
  <c r="E191" i="6"/>
  <c r="G192" i="6" s="1"/>
  <c r="D192" i="6" s="1"/>
  <c r="D210" i="15"/>
  <c r="C210" i="15"/>
  <c r="E210" i="15" l="1"/>
  <c r="G211" i="15" s="1"/>
  <c r="C192" i="6"/>
  <c r="E192" i="6" s="1"/>
  <c r="G193" i="6" s="1"/>
  <c r="C211" i="15"/>
  <c r="D211" i="15"/>
  <c r="E211" i="15" l="1"/>
  <c r="G212" i="15" s="1"/>
  <c r="C212" i="15" s="1"/>
  <c r="C193" i="6"/>
  <c r="D193" i="6"/>
  <c r="D212" i="15" l="1"/>
  <c r="E20" i="19" s="1"/>
  <c r="E193" i="6"/>
  <c r="E212" i="15"/>
  <c r="G213" i="15" l="1"/>
  <c r="C20" i="19"/>
  <c r="F20" i="19" s="1"/>
  <c r="G194" i="6"/>
  <c r="D194" i="6" l="1"/>
  <c r="C194" i="6"/>
  <c r="C213" i="15"/>
  <c r="D213" i="15"/>
  <c r="E194" i="6" l="1"/>
  <c r="G195" i="6" s="1"/>
  <c r="D195" i="6" s="1"/>
  <c r="E213" i="15"/>
  <c r="C195" i="6" l="1"/>
  <c r="E195" i="6" s="1"/>
  <c r="G196" i="6" s="1"/>
  <c r="C196" i="6" s="1"/>
  <c r="G214" i="15"/>
  <c r="D196" i="6" l="1"/>
  <c r="E196" i="6" s="1"/>
  <c r="G197" i="6" s="1"/>
  <c r="D197" i="6" s="1"/>
  <c r="D214" i="15"/>
  <c r="C214" i="15"/>
  <c r="E214" i="15" s="1"/>
  <c r="C197" i="6" l="1"/>
  <c r="E197" i="6" s="1"/>
  <c r="G198" i="6" s="1"/>
  <c r="D198" i="6" s="1"/>
  <c r="G215" i="15"/>
  <c r="C198" i="6" l="1"/>
  <c r="E198" i="6" s="1"/>
  <c r="G199" i="6" s="1"/>
  <c r="C199" i="6" s="1"/>
  <c r="D215" i="15"/>
  <c r="C215" i="15"/>
  <c r="E215" i="15" s="1"/>
  <c r="D199" i="6" l="1"/>
  <c r="E199" i="6" s="1"/>
  <c r="G200" i="6" s="1"/>
  <c r="G216" i="15"/>
  <c r="C216" i="15" l="1"/>
  <c r="D216" i="15"/>
  <c r="D200" i="6"/>
  <c r="E20" i="18" s="1"/>
  <c r="C200" i="6"/>
  <c r="E200" i="6" s="1"/>
  <c r="E216" i="15" l="1"/>
  <c r="G201" i="6"/>
  <c r="C20" i="18"/>
  <c r="G217" i="15"/>
  <c r="G20" i="18" l="1"/>
  <c r="F20" i="18"/>
  <c r="D217" i="15"/>
  <c r="C217" i="15"/>
  <c r="E217" i="15" s="1"/>
  <c r="C201" i="6"/>
  <c r="D201" i="6"/>
  <c r="E201" i="6" l="1"/>
  <c r="G218" i="15"/>
  <c r="D218" i="15" l="1"/>
  <c r="C218" i="15"/>
  <c r="G202" i="6"/>
  <c r="E218" i="15" l="1"/>
  <c r="G219" i="15" s="1"/>
  <c r="D219" i="15" s="1"/>
  <c r="D202" i="6"/>
  <c r="C202" i="6"/>
  <c r="E202" i="6" s="1"/>
  <c r="C219" i="15" l="1"/>
  <c r="E219" i="15" s="1"/>
  <c r="G220" i="15" s="1"/>
  <c r="G203" i="6"/>
  <c r="C220" i="15" l="1"/>
  <c r="D220" i="15"/>
  <c r="E220" i="15" s="1"/>
  <c r="G221" i="15" s="1"/>
  <c r="C221" i="15" s="1"/>
  <c r="D203" i="6"/>
  <c r="C203" i="6"/>
  <c r="E203" i="6" s="1"/>
  <c r="D221" i="15" l="1"/>
  <c r="E221" i="15"/>
  <c r="G222" i="15" s="1"/>
  <c r="D222" i="15" s="1"/>
  <c r="G204" i="6"/>
  <c r="C222" i="15" l="1"/>
  <c r="E222" i="15" s="1"/>
  <c r="G223" i="15" s="1"/>
  <c r="C223" i="15" s="1"/>
  <c r="C204" i="6"/>
  <c r="D204" i="6"/>
  <c r="D223" i="15" l="1"/>
  <c r="E223" i="15" s="1"/>
  <c r="G224" i="15" s="1"/>
  <c r="E204" i="6"/>
  <c r="G205" i="6" l="1"/>
  <c r="C224" i="15"/>
  <c r="D224" i="15"/>
  <c r="E224" i="15" l="1"/>
  <c r="E21" i="19"/>
  <c r="D205" i="6"/>
  <c r="C205" i="6"/>
  <c r="E205" i="6" s="1"/>
  <c r="G206" i="6" l="1"/>
  <c r="G225" i="15"/>
  <c r="C21" i="19"/>
  <c r="F21" i="19" s="1"/>
  <c r="D225" i="15" l="1"/>
  <c r="C225" i="15"/>
  <c r="E225" i="15" s="1"/>
  <c r="D206" i="6"/>
  <c r="C206" i="6"/>
  <c r="E206" i="6" l="1"/>
  <c r="G207" i="6" s="1"/>
  <c r="G226" i="15"/>
  <c r="D207" i="6"/>
  <c r="C207" i="6"/>
  <c r="E207" i="6" s="1"/>
  <c r="G208" i="6" s="1"/>
  <c r="D208" i="6" l="1"/>
  <c r="C208" i="6"/>
  <c r="E208" i="6" s="1"/>
  <c r="G209" i="6" s="1"/>
  <c r="C226" i="15"/>
  <c r="D226" i="15"/>
  <c r="E226" i="15" l="1"/>
  <c r="C209" i="6"/>
  <c r="D209" i="6"/>
  <c r="E209" i="6" l="1"/>
  <c r="G210" i="6" s="1"/>
  <c r="C210" i="6" s="1"/>
  <c r="G227" i="15"/>
  <c r="D210" i="6" l="1"/>
  <c r="E210" i="6" s="1"/>
  <c r="G211" i="6" s="1"/>
  <c r="D211" i="6" s="1"/>
  <c r="C227" i="15"/>
  <c r="D227" i="15"/>
  <c r="C211" i="6" l="1"/>
  <c r="E211" i="6" s="1"/>
  <c r="G212" i="6" s="1"/>
  <c r="D212" i="6" s="1"/>
  <c r="E21" i="18" s="1"/>
  <c r="E227" i="15"/>
  <c r="G228" i="15" s="1"/>
  <c r="C212" i="6" l="1"/>
  <c r="E212" i="6" s="1"/>
  <c r="C228" i="15"/>
  <c r="D228" i="15"/>
  <c r="G213" i="6" l="1"/>
  <c r="C21" i="18"/>
  <c r="E228" i="15"/>
  <c r="G21" i="18" l="1"/>
  <c r="F21" i="18"/>
  <c r="G229" i="15"/>
  <c r="C213" i="6"/>
  <c r="D213" i="6"/>
  <c r="E213" i="6" l="1"/>
  <c r="G214" i="6" s="1"/>
  <c r="C229" i="15"/>
  <c r="D229" i="15"/>
  <c r="E229" i="15" l="1"/>
  <c r="G230" i="15" s="1"/>
  <c r="D214" i="6"/>
  <c r="C214" i="6"/>
  <c r="E214" i="6" l="1"/>
  <c r="G215" i="6" s="1"/>
  <c r="D230" i="15"/>
  <c r="C230" i="15"/>
  <c r="E230" i="15" s="1"/>
  <c r="G231" i="15" s="1"/>
  <c r="D231" i="15" l="1"/>
  <c r="C231" i="15"/>
  <c r="D215" i="6"/>
  <c r="C215" i="6"/>
  <c r="E215" i="6" s="1"/>
  <c r="E231" i="15" l="1"/>
  <c r="G232" i="15" s="1"/>
  <c r="C232" i="15" s="1"/>
  <c r="G216" i="6"/>
  <c r="D232" i="15" l="1"/>
  <c r="E232" i="15"/>
  <c r="G233" i="15" s="1"/>
  <c r="D233" i="15" s="1"/>
  <c r="C216" i="6"/>
  <c r="D216" i="6"/>
  <c r="C233" i="15" l="1"/>
  <c r="E233" i="15" s="1"/>
  <c r="G234" i="15" s="1"/>
  <c r="D234" i="15" s="1"/>
  <c r="E216" i="6"/>
  <c r="C234" i="15" l="1"/>
  <c r="E234" i="15" s="1"/>
  <c r="G235" i="15" s="1"/>
  <c r="C235" i="15" s="1"/>
  <c r="G217" i="6"/>
  <c r="D235" i="15" l="1"/>
  <c r="E235" i="15" s="1"/>
  <c r="G236" i="15" s="1"/>
  <c r="D217" i="6"/>
  <c r="C217" i="6"/>
  <c r="E217" i="6" l="1"/>
  <c r="G218" i="6" s="1"/>
  <c r="D236" i="15"/>
  <c r="E22" i="19" s="1"/>
  <c r="C236" i="15"/>
  <c r="E236" i="15" s="1"/>
  <c r="G237" i="15" l="1"/>
  <c r="C22" i="19"/>
  <c r="F22" i="19" s="1"/>
  <c r="D218" i="6"/>
  <c r="C218" i="6"/>
  <c r="E218" i="6" l="1"/>
  <c r="G219" i="6" s="1"/>
  <c r="C219" i="6" s="1"/>
  <c r="C237" i="15"/>
  <c r="D237" i="15"/>
  <c r="D219" i="6" l="1"/>
  <c r="E219" i="6" s="1"/>
  <c r="G220" i="6" s="1"/>
  <c r="E237" i="15"/>
  <c r="C220" i="6" l="1"/>
  <c r="D220" i="6"/>
  <c r="G238" i="15"/>
  <c r="E220" i="6" l="1"/>
  <c r="G221" i="6" s="1"/>
  <c r="C221" i="6" s="1"/>
  <c r="D238" i="15"/>
  <c r="C238" i="15"/>
  <c r="E238" i="15" s="1"/>
  <c r="D221" i="6" l="1"/>
  <c r="E221" i="6" s="1"/>
  <c r="G222" i="6" s="1"/>
  <c r="G239" i="15"/>
  <c r="C239" i="15" l="1"/>
  <c r="D239" i="15"/>
  <c r="C222" i="6"/>
  <c r="D222" i="6"/>
  <c r="E222" i="6" l="1"/>
  <c r="G223" i="6" s="1"/>
  <c r="C223" i="6" s="1"/>
  <c r="E239" i="15"/>
  <c r="D223" i="6" l="1"/>
  <c r="E223" i="6" s="1"/>
  <c r="G224" i="6" s="1"/>
  <c r="D224" i="6" s="1"/>
  <c r="E22" i="18" s="1"/>
  <c r="G240" i="15"/>
  <c r="C224" i="6" l="1"/>
  <c r="E224" i="6" s="1"/>
  <c r="G225" i="6" s="1"/>
  <c r="C240" i="15"/>
  <c r="D240" i="15"/>
  <c r="C22" i="18" l="1"/>
  <c r="G22" i="18" s="1"/>
  <c r="E240" i="15"/>
  <c r="D225" i="6"/>
  <c r="C225" i="6"/>
  <c r="F22" i="18" l="1"/>
  <c r="E225" i="6"/>
  <c r="G226" i="6" s="1"/>
  <c r="G241" i="15"/>
  <c r="D241" i="15" l="1"/>
  <c r="C241" i="15"/>
  <c r="E241" i="15" s="1"/>
  <c r="C226" i="6"/>
  <c r="D226" i="6"/>
  <c r="G242" i="15" l="1"/>
  <c r="E226" i="6"/>
  <c r="G227" i="6" l="1"/>
  <c r="D242" i="15"/>
  <c r="C242" i="15"/>
  <c r="E242" i="15" s="1"/>
  <c r="G243" i="15" s="1"/>
  <c r="C243" i="15" l="1"/>
  <c r="D243" i="15"/>
  <c r="C227" i="6"/>
  <c r="D227" i="6"/>
  <c r="E243" i="15" l="1"/>
  <c r="G244" i="15" s="1"/>
  <c r="E227" i="6"/>
  <c r="G228" i="6" s="1"/>
  <c r="D244" i="15"/>
  <c r="C244" i="15"/>
  <c r="E244" i="15" l="1"/>
  <c r="G245" i="15" s="1"/>
  <c r="C228" i="6"/>
  <c r="D228" i="6"/>
  <c r="E228" i="6" l="1"/>
  <c r="G229" i="6" s="1"/>
  <c r="D245" i="15"/>
  <c r="C245" i="15"/>
  <c r="E245" i="15" l="1"/>
  <c r="G246" i="15" s="1"/>
  <c r="C246" i="15" s="1"/>
  <c r="D246" i="15"/>
  <c r="D229" i="6"/>
  <c r="C229" i="6"/>
  <c r="E229" i="6" l="1"/>
  <c r="E246" i="15"/>
  <c r="G247" i="15" s="1"/>
  <c r="C247" i="15" s="1"/>
  <c r="G230" i="6"/>
  <c r="D247" i="15"/>
  <c r="E247" i="15" l="1"/>
  <c r="G248" i="15" s="1"/>
  <c r="C248" i="15" s="1"/>
  <c r="D248" i="15"/>
  <c r="E23" i="19" s="1"/>
  <c r="C230" i="6"/>
  <c r="D230" i="6"/>
  <c r="E248" i="15" l="1"/>
  <c r="G249" i="15" s="1"/>
  <c r="E230" i="6"/>
  <c r="G231" i="6" s="1"/>
  <c r="C23" i="19"/>
  <c r="F23" i="19" s="1"/>
  <c r="C249" i="15" l="1"/>
  <c r="D249" i="15"/>
  <c r="C231" i="6"/>
  <c r="D231" i="6"/>
  <c r="E249" i="15" l="1"/>
  <c r="G250" i="15" s="1"/>
  <c r="E231" i="6"/>
  <c r="G232" i="6" s="1"/>
  <c r="C232" i="6" l="1"/>
  <c r="D232" i="6"/>
  <c r="C250" i="15"/>
  <c r="D250" i="15"/>
  <c r="E232" i="6" l="1"/>
  <c r="G233" i="6" s="1"/>
  <c r="D233" i="6" s="1"/>
  <c r="E250" i="15"/>
  <c r="G251" i="15" s="1"/>
  <c r="C233" i="6" l="1"/>
  <c r="E233" i="6" s="1"/>
  <c r="G234" i="6" s="1"/>
  <c r="C251" i="15"/>
  <c r="D251" i="15"/>
  <c r="D234" i="6" l="1"/>
  <c r="C234" i="6"/>
  <c r="E251" i="15"/>
  <c r="E234" i="6" l="1"/>
  <c r="G235" i="6" s="1"/>
  <c r="C235" i="6" s="1"/>
  <c r="G252" i="15"/>
  <c r="D235" i="6" l="1"/>
  <c r="E235" i="6" s="1"/>
  <c r="G236" i="6" s="1"/>
  <c r="D236" i="6" s="1"/>
  <c r="E23" i="18" s="1"/>
  <c r="D252" i="15"/>
  <c r="C252" i="15"/>
  <c r="E252" i="15" l="1"/>
  <c r="C236" i="6"/>
  <c r="E236" i="6" s="1"/>
  <c r="G237" i="6" s="1"/>
  <c r="G253" i="15"/>
  <c r="C23" i="18" l="1"/>
  <c r="G23" i="18" s="1"/>
  <c r="D237" i="6"/>
  <c r="C237" i="6"/>
  <c r="E237" i="6" s="1"/>
  <c r="D253" i="15"/>
  <c r="C253" i="15"/>
  <c r="F23" i="18" l="1"/>
  <c r="G238" i="6"/>
  <c r="E253" i="15"/>
  <c r="G254" i="15" l="1"/>
  <c r="C238" i="6"/>
  <c r="D238" i="6"/>
  <c r="E238" i="6" l="1"/>
  <c r="D254" i="15"/>
  <c r="C254" i="15"/>
  <c r="E254" i="15" s="1"/>
  <c r="G255" i="15" s="1"/>
  <c r="C255" i="15" l="1"/>
  <c r="D255" i="15"/>
  <c r="G239" i="6"/>
  <c r="E255" i="15" l="1"/>
  <c r="G256" i="15" s="1"/>
  <c r="D256" i="15" s="1"/>
  <c r="D239" i="6"/>
  <c r="C239" i="6"/>
  <c r="E239" i="6" s="1"/>
  <c r="C256" i="15" l="1"/>
  <c r="E256" i="15" s="1"/>
  <c r="G257" i="15" s="1"/>
  <c r="C257" i="15" s="1"/>
  <c r="G240" i="6"/>
  <c r="D257" i="15" l="1"/>
  <c r="E257" i="15" s="1"/>
  <c r="G258" i="15" s="1"/>
  <c r="C258" i="15" s="1"/>
  <c r="C240" i="6"/>
  <c r="D240" i="6"/>
  <c r="D258" i="15" l="1"/>
  <c r="E258" i="15" s="1"/>
  <c r="G259" i="15" s="1"/>
  <c r="E240" i="6"/>
  <c r="C259" i="15" l="1"/>
  <c r="D259" i="15"/>
  <c r="E259" i="15" s="1"/>
  <c r="G260" i="15" s="1"/>
  <c r="D260" i="15" s="1"/>
  <c r="G241" i="6"/>
  <c r="C260" i="15" l="1"/>
  <c r="E260" i="15" s="1"/>
  <c r="E24" i="19"/>
  <c r="C241" i="6"/>
  <c r="D241" i="6"/>
  <c r="E241" i="6" l="1"/>
  <c r="G261" i="15"/>
  <c r="C24" i="19"/>
  <c r="F24" i="19" s="1"/>
  <c r="D261" i="15" l="1"/>
  <c r="C261" i="15"/>
  <c r="G242" i="6"/>
  <c r="E261" i="15" l="1"/>
  <c r="D242" i="6"/>
  <c r="C242" i="6"/>
  <c r="G262" i="15"/>
  <c r="E242" i="6" l="1"/>
  <c r="G243" i="6" s="1"/>
  <c r="C243" i="6" s="1"/>
  <c r="D262" i="15"/>
  <c r="C262" i="15"/>
  <c r="D243" i="6" l="1"/>
  <c r="E243" i="6" s="1"/>
  <c r="G244" i="6" s="1"/>
  <c r="E262" i="15"/>
  <c r="G263" i="15" s="1"/>
  <c r="C244" i="6" l="1"/>
  <c r="D244" i="6"/>
  <c r="C263" i="15"/>
  <c r="D263" i="15"/>
  <c r="E244" i="6" l="1"/>
  <c r="G245" i="6" s="1"/>
  <c r="D245" i="6" s="1"/>
  <c r="E263" i="15"/>
  <c r="C245" i="6" l="1"/>
  <c r="E245" i="6" s="1"/>
  <c r="G246" i="6" s="1"/>
  <c r="C246" i="6" s="1"/>
  <c r="G264" i="15"/>
  <c r="D246" i="6" l="1"/>
  <c r="E246" i="6" s="1"/>
  <c r="G247" i="6" s="1"/>
  <c r="D264" i="15"/>
  <c r="C264" i="15"/>
  <c r="E264" i="15" s="1"/>
  <c r="G265" i="15" l="1"/>
  <c r="C247" i="6"/>
  <c r="D247" i="6"/>
  <c r="E247" i="6" l="1"/>
  <c r="G248" i="6" s="1"/>
  <c r="D265" i="15"/>
  <c r="C265" i="15"/>
  <c r="E265" i="15" l="1"/>
  <c r="G266" i="15"/>
  <c r="D248" i="6"/>
  <c r="E24" i="18" s="1"/>
  <c r="C248" i="6"/>
  <c r="E248" i="6" s="1"/>
  <c r="G249" i="6" l="1"/>
  <c r="C24" i="18"/>
  <c r="C266" i="15"/>
  <c r="D266" i="15"/>
  <c r="G24" i="18" l="1"/>
  <c r="F24" i="18"/>
  <c r="E266" i="15"/>
  <c r="G267" i="15" s="1"/>
  <c r="C249" i="6"/>
  <c r="D249" i="6"/>
  <c r="D267" i="15" l="1"/>
  <c r="C267" i="15"/>
  <c r="E267" i="15" s="1"/>
  <c r="G268" i="15" s="1"/>
  <c r="E249" i="6"/>
  <c r="G250" i="6" l="1"/>
  <c r="D268" i="15"/>
  <c r="C268" i="15"/>
  <c r="E268" i="15" s="1"/>
  <c r="G269" i="15" s="1"/>
  <c r="D269" i="15" l="1"/>
  <c r="C269" i="15"/>
  <c r="D250" i="6"/>
  <c r="C250" i="6"/>
  <c r="E250" i="6" l="1"/>
  <c r="G251" i="6" s="1"/>
  <c r="E269" i="15"/>
  <c r="G270" i="15" s="1"/>
  <c r="D270" i="15" s="1"/>
  <c r="C270" i="15" l="1"/>
  <c r="E270" i="15" s="1"/>
  <c r="G271" i="15" s="1"/>
  <c r="C251" i="6"/>
  <c r="D251" i="6"/>
  <c r="E251" i="6" l="1"/>
  <c r="D271" i="15"/>
  <c r="C271" i="15"/>
  <c r="E271" i="15" s="1"/>
  <c r="G272" i="15" s="1"/>
  <c r="C272" i="15" l="1"/>
  <c r="D272" i="15"/>
  <c r="G252" i="6"/>
  <c r="D252" i="6" l="1"/>
  <c r="C252" i="6"/>
  <c r="E252" i="6" s="1"/>
  <c r="E272" i="15"/>
  <c r="E25" i="19"/>
  <c r="G253" i="6" l="1"/>
  <c r="G273" i="15"/>
  <c r="C25" i="19"/>
  <c r="F25" i="19" s="1"/>
  <c r="C273" i="15" l="1"/>
  <c r="D273" i="15"/>
  <c r="D253" i="6"/>
  <c r="C253" i="6"/>
  <c r="E253" i="6" l="1"/>
  <c r="E273" i="15"/>
  <c r="G274" i="15" s="1"/>
  <c r="G254" i="6"/>
  <c r="D274" i="15" l="1"/>
  <c r="C274" i="15"/>
  <c r="D254" i="6"/>
  <c r="C254" i="6"/>
  <c r="E254" i="6" s="1"/>
  <c r="G255" i="6" s="1"/>
  <c r="E274" i="15" l="1"/>
  <c r="G275" i="15" s="1"/>
  <c r="D255" i="6"/>
  <c r="C255" i="6"/>
  <c r="C275" i="15" l="1"/>
  <c r="D275" i="15"/>
  <c r="E255" i="6"/>
  <c r="G256" i="6" s="1"/>
  <c r="E275" i="15" l="1"/>
  <c r="G276" i="15" s="1"/>
  <c r="C256" i="6"/>
  <c r="D256" i="6"/>
  <c r="E256" i="6" l="1"/>
  <c r="G257" i="6" s="1"/>
  <c r="D276" i="15"/>
  <c r="C276" i="15"/>
  <c r="E276" i="15" s="1"/>
  <c r="D257" i="6"/>
  <c r="C257" i="6"/>
  <c r="E257" i="6" l="1"/>
  <c r="G258" i="6" s="1"/>
  <c r="D258" i="6" s="1"/>
  <c r="G277" i="15"/>
  <c r="C258" i="6" l="1"/>
  <c r="E258" i="6" s="1"/>
  <c r="G259" i="6" s="1"/>
  <c r="C259" i="6" s="1"/>
  <c r="D277" i="15"/>
  <c r="C277" i="15"/>
  <c r="E277" i="15" s="1"/>
  <c r="D259" i="6" l="1"/>
  <c r="E259" i="6" s="1"/>
  <c r="G260" i="6" s="1"/>
  <c r="C260" i="6" s="1"/>
  <c r="G278" i="15"/>
  <c r="D260" i="6" l="1"/>
  <c r="E260" i="6" s="1"/>
  <c r="E25" i="18"/>
  <c r="C278" i="15"/>
  <c r="D278" i="15"/>
  <c r="E278" i="15" l="1"/>
  <c r="G279" i="15" s="1"/>
  <c r="C279" i="15" s="1"/>
  <c r="G261" i="6"/>
  <c r="C25" i="18"/>
  <c r="D279" i="15" l="1"/>
  <c r="E279" i="15" s="1"/>
  <c r="G280" i="15" s="1"/>
  <c r="D280" i="15" s="1"/>
  <c r="G25" i="18"/>
  <c r="F25" i="18"/>
  <c r="D261" i="6"/>
  <c r="C261" i="6"/>
  <c r="C280" i="15" l="1"/>
  <c r="E280" i="15" s="1"/>
  <c r="G281" i="15" s="1"/>
  <c r="D281" i="15" s="1"/>
  <c r="E261" i="6"/>
  <c r="G262" i="6" s="1"/>
  <c r="C281" i="15" l="1"/>
  <c r="E281" i="15" s="1"/>
  <c r="G282" i="15" s="1"/>
  <c r="D282" i="15" s="1"/>
  <c r="D262" i="6"/>
  <c r="C262" i="6"/>
  <c r="C282" i="15" l="1"/>
  <c r="E282" i="15" s="1"/>
  <c r="G283" i="15" s="1"/>
  <c r="E262" i="6"/>
  <c r="D283" i="15" l="1"/>
  <c r="C283" i="15"/>
  <c r="E283" i="15" s="1"/>
  <c r="G284" i="15" s="1"/>
  <c r="C284" i="15" s="1"/>
  <c r="G263" i="6"/>
  <c r="D284" i="15" l="1"/>
  <c r="C263" i="6"/>
  <c r="D263" i="6"/>
  <c r="E284" i="15"/>
  <c r="E26" i="19"/>
  <c r="E263" i="6" l="1"/>
  <c r="G285" i="15"/>
  <c r="C26" i="19"/>
  <c r="F26" i="19" s="1"/>
  <c r="G264" i="6"/>
  <c r="D264" i="6" l="1"/>
  <c r="C264" i="6"/>
  <c r="D285" i="15"/>
  <c r="C285" i="15"/>
  <c r="E285" i="15" l="1"/>
  <c r="E264" i="6"/>
  <c r="G286" i="15"/>
  <c r="C286" i="15" l="1"/>
  <c r="D286" i="15"/>
  <c r="G265" i="6"/>
  <c r="E286" i="15" l="1"/>
  <c r="G287" i="15" s="1"/>
  <c r="D265" i="6"/>
  <c r="C265" i="6"/>
  <c r="E265" i="6" l="1"/>
  <c r="G266" i="6" s="1"/>
  <c r="D287" i="15"/>
  <c r="C287" i="15"/>
  <c r="E287" i="15" s="1"/>
  <c r="G288" i="15" l="1"/>
  <c r="D266" i="6"/>
  <c r="C266" i="6"/>
  <c r="C288" i="15" l="1"/>
  <c r="D288" i="15"/>
  <c r="E266" i="6"/>
  <c r="G267" i="6" s="1"/>
  <c r="C267" i="6" l="1"/>
  <c r="D267" i="6"/>
  <c r="E288" i="15"/>
  <c r="G289" i="15" l="1"/>
  <c r="E267" i="6"/>
  <c r="G268" i="6" s="1"/>
  <c r="C268" i="6" l="1"/>
  <c r="D268" i="6"/>
  <c r="D289" i="15"/>
  <c r="C289" i="15"/>
  <c r="E289" i="15" s="1"/>
  <c r="G290" i="15" l="1"/>
  <c r="E268" i="6"/>
  <c r="G269" i="6" s="1"/>
  <c r="D269" i="6" l="1"/>
  <c r="C269" i="6"/>
  <c r="D290" i="15"/>
  <c r="C290" i="15"/>
  <c r="E290" i="15" s="1"/>
  <c r="G291" i="15" s="1"/>
  <c r="E269" i="6" l="1"/>
  <c r="G270" i="6" s="1"/>
  <c r="D270" i="6" s="1"/>
  <c r="D291" i="15"/>
  <c r="C291" i="15"/>
  <c r="C270" i="6" l="1"/>
  <c r="E270" i="6" s="1"/>
  <c r="G271" i="6" s="1"/>
  <c r="C271" i="6" s="1"/>
  <c r="E291" i="15"/>
  <c r="G292" i="15" s="1"/>
  <c r="D271" i="6" l="1"/>
  <c r="E271" i="6" s="1"/>
  <c r="G272" i="6" s="1"/>
  <c r="D272" i="6" s="1"/>
  <c r="E26" i="18" s="1"/>
  <c r="C292" i="15"/>
  <c r="D292" i="15"/>
  <c r="E292" i="15" l="1"/>
  <c r="G293" i="15" s="1"/>
  <c r="C272" i="6"/>
  <c r="E272" i="6" s="1"/>
  <c r="G273" i="6" s="1"/>
  <c r="C26" i="18"/>
  <c r="D293" i="15"/>
  <c r="C293" i="15"/>
  <c r="E293" i="15" l="1"/>
  <c r="G294" i="15" s="1"/>
  <c r="D294" i="15" s="1"/>
  <c r="G26" i="18"/>
  <c r="F26" i="18"/>
  <c r="D273" i="6"/>
  <c r="C273" i="6"/>
  <c r="E273" i="6" l="1"/>
  <c r="C294" i="15"/>
  <c r="E294" i="15" s="1"/>
  <c r="G295" i="15" s="1"/>
  <c r="G274" i="6"/>
  <c r="D295" i="15" l="1"/>
  <c r="C295" i="15"/>
  <c r="C274" i="6"/>
  <c r="D274" i="6"/>
  <c r="E295" i="15" l="1"/>
  <c r="G296" i="15" s="1"/>
  <c r="D296" i="15" s="1"/>
  <c r="E27" i="19" s="1"/>
  <c r="E274" i="6"/>
  <c r="G275" i="6" s="1"/>
  <c r="C296" i="15" l="1"/>
  <c r="E296" i="15" s="1"/>
  <c r="D275" i="6"/>
  <c r="C275" i="6"/>
  <c r="E275" i="6" s="1"/>
  <c r="G297" i="15" l="1"/>
  <c r="C297" i="15" s="1"/>
  <c r="C27" i="19"/>
  <c r="F27" i="19" s="1"/>
  <c r="D297" i="15"/>
  <c r="E297" i="15" s="1"/>
  <c r="G276" i="6"/>
  <c r="D276" i="6" l="1"/>
  <c r="C276" i="6"/>
  <c r="G298" i="15"/>
  <c r="C298" i="15" l="1"/>
  <c r="D298" i="15"/>
  <c r="E276" i="6"/>
  <c r="E298" i="15" l="1"/>
  <c r="G299" i="15" s="1"/>
  <c r="G277" i="6"/>
  <c r="C299" i="15" l="1"/>
  <c r="D299" i="15"/>
  <c r="C277" i="6"/>
  <c r="D277" i="6"/>
  <c r="E277" i="6" l="1"/>
  <c r="G278" i="6" s="1"/>
  <c r="E299" i="15"/>
  <c r="C278" i="6" l="1"/>
  <c r="D278" i="6"/>
  <c r="G300" i="15"/>
  <c r="E15" i="14"/>
  <c r="D20" i="7" s="1"/>
  <c r="E19" i="14" l="1"/>
  <c r="D300" i="15"/>
  <c r="C300" i="15"/>
  <c r="E300" i="15" s="1"/>
  <c r="E278" i="6"/>
  <c r="G279" i="6" s="1"/>
  <c r="D21" i="7"/>
  <c r="D6" i="7" s="1"/>
  <c r="C42" i="7"/>
  <c r="C43" i="7" s="1"/>
  <c r="C44" i="7" s="1"/>
  <c r="C279" i="6" l="1"/>
  <c r="D279" i="6"/>
  <c r="G301" i="15"/>
  <c r="F71" i="7"/>
  <c r="H71" i="7" s="1"/>
  <c r="D13" i="7"/>
  <c r="E13" i="7" s="1"/>
  <c r="C11" i="12"/>
  <c r="F65" i="7"/>
  <c r="H65" i="7" s="1"/>
  <c r="F59" i="7"/>
  <c r="H59" i="7" s="1"/>
  <c r="D301" i="15" l="1"/>
  <c r="C301" i="15"/>
  <c r="E279" i="6"/>
  <c r="G280" i="6" s="1"/>
  <c r="H39" i="20"/>
  <c r="H40" i="20" s="1"/>
  <c r="D7" i="12"/>
  <c r="D8" i="12"/>
  <c r="C48" i="12"/>
  <c r="D6" i="12"/>
  <c r="J20" i="12"/>
  <c r="F63" i="7" s="1"/>
  <c r="H63" i="7" s="1"/>
  <c r="C27" i="12"/>
  <c r="D9" i="12"/>
  <c r="I3" i="12"/>
  <c r="I11" i="12"/>
  <c r="I13" i="12" s="1"/>
  <c r="I7" i="12"/>
  <c r="I9" i="12" s="1"/>
  <c r="D5" i="12"/>
  <c r="J21" i="12"/>
  <c r="F69" i="7" s="1"/>
  <c r="H69" i="7" s="1"/>
  <c r="J19" i="12"/>
  <c r="F56" i="7" s="1"/>
  <c r="C12" i="12"/>
  <c r="F54" i="7" s="1"/>
  <c r="E301" i="15" l="1"/>
  <c r="C13" i="12"/>
  <c r="C280" i="6"/>
  <c r="D280" i="6"/>
  <c r="G302" i="15"/>
  <c r="D33" i="12"/>
  <c r="D41" i="12"/>
  <c r="D44" i="12"/>
  <c r="D35" i="12"/>
  <c r="D32" i="12"/>
  <c r="D46" i="12"/>
  <c r="C49" i="12"/>
  <c r="F67" i="7" s="1"/>
  <c r="D42" i="12"/>
  <c r="D36" i="12"/>
  <c r="D39" i="12"/>
  <c r="D43" i="12"/>
  <c r="D37" i="12"/>
  <c r="D40" i="12"/>
  <c r="D34" i="12"/>
  <c r="D45" i="12"/>
  <c r="D38" i="12"/>
  <c r="H54" i="7"/>
  <c r="D18" i="12"/>
  <c r="D23" i="12"/>
  <c r="D21" i="12"/>
  <c r="D25" i="12"/>
  <c r="D20" i="12"/>
  <c r="C28" i="12"/>
  <c r="F61" i="7" s="1"/>
  <c r="D19" i="12"/>
  <c r="D16" i="12"/>
  <c r="C29" i="12" s="1"/>
  <c r="D24" i="12"/>
  <c r="D17" i="12"/>
  <c r="D22" i="12"/>
  <c r="F68" i="7"/>
  <c r="H68" i="7" s="1"/>
  <c r="I14" i="12"/>
  <c r="I10" i="12"/>
  <c r="F62" i="7"/>
  <c r="H62" i="7" s="1"/>
  <c r="G27" i="19"/>
  <c r="G9" i="19"/>
  <c r="G8" i="19"/>
  <c r="G26" i="19"/>
  <c r="G20" i="19"/>
  <c r="G17" i="19"/>
  <c r="G7" i="19"/>
  <c r="G12" i="19"/>
  <c r="G15" i="19"/>
  <c r="G22" i="19"/>
  <c r="G4" i="19"/>
  <c r="G6" i="19"/>
  <c r="G11" i="19"/>
  <c r="I5" i="12"/>
  <c r="G16" i="19"/>
  <c r="G14" i="19"/>
  <c r="G25" i="19"/>
  <c r="G10" i="19"/>
  <c r="G21" i="19"/>
  <c r="G24" i="19"/>
  <c r="G13" i="19"/>
  <c r="G5" i="19"/>
  <c r="G23" i="19"/>
  <c r="G19" i="19"/>
  <c r="G18" i="19"/>
  <c r="I14" i="20"/>
  <c r="I24" i="20"/>
  <c r="I26" i="20"/>
  <c r="I12" i="20"/>
  <c r="I17" i="20"/>
  <c r="I23" i="20"/>
  <c r="I29" i="20"/>
  <c r="I35" i="20"/>
  <c r="I5" i="20"/>
  <c r="I9" i="20"/>
  <c r="I6" i="20"/>
  <c r="I18" i="20"/>
  <c r="I25" i="20"/>
  <c r="I37" i="20"/>
  <c r="I8" i="20"/>
  <c r="I10" i="20"/>
  <c r="I15" i="20"/>
  <c r="I36" i="20"/>
  <c r="I7" i="20"/>
  <c r="I13" i="20"/>
  <c r="I19" i="20"/>
  <c r="I3" i="20"/>
  <c r="I11" i="20"/>
  <c r="I33" i="20"/>
  <c r="I16" i="20"/>
  <c r="I28" i="20"/>
  <c r="I21" i="20"/>
  <c r="I27" i="20"/>
  <c r="I30" i="20"/>
  <c r="I20" i="20"/>
  <c r="I22" i="20"/>
  <c r="I32" i="20"/>
  <c r="I34" i="20"/>
  <c r="I31" i="20"/>
  <c r="I4" i="20"/>
  <c r="C302" i="15" l="1"/>
  <c r="D302" i="15"/>
  <c r="E280" i="6"/>
  <c r="G281" i="6" s="1"/>
  <c r="I6" i="12"/>
  <c r="F55" i="7"/>
  <c r="H67" i="7"/>
  <c r="H70" i="7" s="1"/>
  <c r="F70" i="7"/>
  <c r="H61" i="7"/>
  <c r="H64" i="7" s="1"/>
  <c r="F64" i="7"/>
  <c r="C50" i="12"/>
  <c r="C281" i="6" l="1"/>
  <c r="D281" i="6"/>
  <c r="E302" i="15"/>
  <c r="G303" i="15" s="1"/>
  <c r="H55" i="7"/>
  <c r="H58" i="7" s="1"/>
  <c r="F58" i="7"/>
  <c r="E281" i="6" l="1"/>
  <c r="G282" i="6" s="1"/>
  <c r="D282" i="6" s="1"/>
  <c r="C303" i="15"/>
  <c r="D303" i="15"/>
  <c r="C282" i="6" l="1"/>
  <c r="E282" i="6" s="1"/>
  <c r="G283" i="6" s="1"/>
  <c r="E303" i="15"/>
  <c r="G304" i="15" s="1"/>
  <c r="D304" i="15" s="1"/>
  <c r="C304" i="15" l="1"/>
  <c r="E304" i="15" s="1"/>
  <c r="G305" i="15" s="1"/>
  <c r="D283" i="6"/>
  <c r="C283" i="6"/>
  <c r="E283" i="6" s="1"/>
  <c r="G284" i="6" s="1"/>
  <c r="C284" i="6" s="1"/>
  <c r="C305" i="15" l="1"/>
  <c r="D305" i="15"/>
  <c r="D284" i="6"/>
  <c r="E284" i="6" s="1"/>
  <c r="E305" i="15" l="1"/>
  <c r="G306" i="15" s="1"/>
  <c r="C306" i="15" s="1"/>
  <c r="E27" i="18"/>
  <c r="G285" i="6"/>
  <c r="C27" i="18"/>
  <c r="G27" i="18" s="1"/>
  <c r="D306" i="15" l="1"/>
  <c r="E306" i="15"/>
  <c r="G307" i="15" s="1"/>
  <c r="D307" i="15" s="1"/>
  <c r="C285" i="6"/>
  <c r="D285" i="6"/>
  <c r="F27" i="18"/>
  <c r="C307" i="15" l="1"/>
  <c r="E307" i="15"/>
  <c r="G308" i="15" s="1"/>
  <c r="D308" i="15" s="1"/>
  <c r="E28" i="19"/>
  <c r="E285" i="6"/>
  <c r="C308" i="15" l="1"/>
  <c r="E308" i="15" s="1"/>
  <c r="G286" i="6"/>
  <c r="G309" i="15"/>
  <c r="C28" i="19"/>
  <c r="D309" i="15" l="1"/>
  <c r="C309" i="15"/>
  <c r="E309" i="15" s="1"/>
  <c r="F28" i="19"/>
  <c r="G28" i="19"/>
  <c r="C286" i="6"/>
  <c r="D286" i="6"/>
  <c r="E286" i="6" l="1"/>
  <c r="G287" i="6" s="1"/>
  <c r="G310" i="15"/>
  <c r="D287" i="6" l="1"/>
  <c r="C287" i="6"/>
  <c r="E287" i="6" s="1"/>
  <c r="C310" i="15"/>
  <c r="D310" i="15"/>
  <c r="E310" i="15" l="1"/>
  <c r="G288" i="6"/>
  <c r="C288" i="6" l="1"/>
  <c r="D288" i="6"/>
  <c r="G311" i="15"/>
  <c r="E288" i="6" l="1"/>
  <c r="G289" i="6" s="1"/>
  <c r="C311" i="15"/>
  <c r="D311" i="15"/>
  <c r="E311" i="15" l="1"/>
  <c r="G312" i="15" s="1"/>
  <c r="D289" i="6"/>
  <c r="C289" i="6"/>
  <c r="E289" i="6" s="1"/>
  <c r="G290" i="6" l="1"/>
  <c r="C312" i="15"/>
  <c r="D312" i="15"/>
  <c r="E312" i="15" l="1"/>
  <c r="C290" i="6"/>
  <c r="D290" i="6"/>
  <c r="E290" i="6" l="1"/>
  <c r="G291" i="6" s="1"/>
  <c r="D291" i="6" s="1"/>
  <c r="G313" i="15"/>
  <c r="C291" i="6" l="1"/>
  <c r="E291" i="6" s="1"/>
  <c r="G292" i="6" s="1"/>
  <c r="D313" i="15"/>
  <c r="C313" i="15"/>
  <c r="D292" i="6" l="1"/>
  <c r="C292" i="6"/>
  <c r="E313" i="15"/>
  <c r="G314" i="15" s="1"/>
  <c r="E292" i="6" l="1"/>
  <c r="G293" i="6" s="1"/>
  <c r="C314" i="15"/>
  <c r="D314" i="15"/>
  <c r="D293" i="6" l="1"/>
  <c r="C293" i="6"/>
  <c r="E293" i="6" s="1"/>
  <c r="G294" i="6" s="1"/>
  <c r="E314" i="15"/>
  <c r="G315" i="15" s="1"/>
  <c r="C315" i="15" s="1"/>
  <c r="D315" i="15" l="1"/>
  <c r="E315" i="15" s="1"/>
  <c r="G316" i="15" s="1"/>
  <c r="C294" i="6"/>
  <c r="D294" i="6"/>
  <c r="C316" i="15" l="1"/>
  <c r="D316" i="15"/>
  <c r="E294" i="6"/>
  <c r="G295" i="6" s="1"/>
  <c r="E316" i="15" l="1"/>
  <c r="G317" i="15" s="1"/>
  <c r="C317" i="15" s="1"/>
  <c r="C295" i="6"/>
  <c r="D295" i="6"/>
  <c r="D317" i="15" l="1"/>
  <c r="E317" i="15" s="1"/>
  <c r="G318" i="15" s="1"/>
  <c r="E295" i="6"/>
  <c r="D318" i="15" l="1"/>
  <c r="C318" i="15"/>
  <c r="E318" i="15" s="1"/>
  <c r="G319" i="15" s="1"/>
  <c r="C319" i="15" s="1"/>
  <c r="G296" i="6"/>
  <c r="D319" i="15" l="1"/>
  <c r="C296" i="6"/>
  <c r="D296" i="6"/>
  <c r="E28" i="18" s="1"/>
  <c r="E319" i="15"/>
  <c r="G320" i="15" s="1"/>
  <c r="E296" i="6" l="1"/>
  <c r="C320" i="15"/>
  <c r="D320" i="15"/>
  <c r="E29" i="19" s="1"/>
  <c r="G297" i="6" l="1"/>
  <c r="C28" i="18"/>
  <c r="E320" i="15"/>
  <c r="G321" i="15" s="1"/>
  <c r="C29" i="19"/>
  <c r="G28" i="18" l="1"/>
  <c r="F28" i="18"/>
  <c r="C297" i="6"/>
  <c r="D297" i="6"/>
  <c r="F29" i="19"/>
  <c r="G29" i="19"/>
  <c r="C321" i="15"/>
  <c r="D321" i="15"/>
  <c r="E297" i="6" l="1"/>
  <c r="G298" i="6" s="1"/>
  <c r="E321" i="15"/>
  <c r="C298" i="6" l="1"/>
  <c r="D298" i="6"/>
  <c r="G322" i="15"/>
  <c r="E298" i="6" l="1"/>
  <c r="G299" i="6" s="1"/>
  <c r="D322" i="15"/>
  <c r="C322" i="15"/>
  <c r="E322" i="15" s="1"/>
  <c r="D299" i="6" l="1"/>
  <c r="C299" i="6"/>
  <c r="E299" i="6" s="1"/>
  <c r="G300" i="6" s="1"/>
  <c r="G323" i="15"/>
  <c r="C300" i="6" l="1"/>
  <c r="D300" i="6"/>
  <c r="C323" i="15"/>
  <c r="D323" i="15"/>
  <c r="E300" i="6" l="1"/>
  <c r="G301" i="6" s="1"/>
  <c r="D301" i="6" s="1"/>
  <c r="E323" i="15"/>
  <c r="C301" i="6" l="1"/>
  <c r="E301" i="6" s="1"/>
  <c r="G302" i="6" s="1"/>
  <c r="D302" i="6" s="1"/>
  <c r="G324" i="15"/>
  <c r="C302" i="6" l="1"/>
  <c r="E302" i="6" s="1"/>
  <c r="G303" i="6" s="1"/>
  <c r="C324" i="15"/>
  <c r="D324" i="15"/>
  <c r="C303" i="6" l="1"/>
  <c r="D303" i="6"/>
  <c r="E324" i="15"/>
  <c r="E303" i="6" l="1"/>
  <c r="G304" i="6" s="1"/>
  <c r="D304" i="6" s="1"/>
  <c r="G325" i="15"/>
  <c r="C304" i="6" l="1"/>
  <c r="E304" i="6" s="1"/>
  <c r="G305" i="6" s="1"/>
  <c r="D305" i="6" s="1"/>
  <c r="C325" i="15"/>
  <c r="D325" i="15"/>
  <c r="C305" i="6" l="1"/>
  <c r="E305" i="6" s="1"/>
  <c r="G306" i="6" s="1"/>
  <c r="D306" i="6" s="1"/>
  <c r="E325" i="15"/>
  <c r="G326" i="15" s="1"/>
  <c r="C306" i="6" l="1"/>
  <c r="E306" i="6" s="1"/>
  <c r="G307" i="6" s="1"/>
  <c r="C307" i="6" s="1"/>
  <c r="C326" i="15"/>
  <c r="D326" i="15"/>
  <c r="D307" i="6" l="1"/>
  <c r="E307" i="6"/>
  <c r="G308" i="6" s="1"/>
  <c r="C308" i="6" s="1"/>
  <c r="E326" i="15"/>
  <c r="G327" i="15" s="1"/>
  <c r="D327" i="15" s="1"/>
  <c r="D308" i="6"/>
  <c r="E29" i="18" s="1"/>
  <c r="C327" i="15" l="1"/>
  <c r="E327" i="15" s="1"/>
  <c r="G328" i="15" s="1"/>
  <c r="E308" i="6"/>
  <c r="D328" i="15" l="1"/>
  <c r="C328" i="15"/>
  <c r="G309" i="6"/>
  <c r="C29" i="18"/>
  <c r="E328" i="15" l="1"/>
  <c r="G329" i="15" s="1"/>
  <c r="C329" i="15" s="1"/>
  <c r="G29" i="18"/>
  <c r="F29" i="18"/>
  <c r="C309" i="6"/>
  <c r="D309" i="6"/>
  <c r="D329" i="15" l="1"/>
  <c r="E329" i="15" s="1"/>
  <c r="G330" i="15" s="1"/>
  <c r="E309" i="6"/>
  <c r="D330" i="15" l="1"/>
  <c r="C330" i="15"/>
  <c r="E330" i="15" s="1"/>
  <c r="G331" i="15" s="1"/>
  <c r="G310" i="6"/>
  <c r="C331" i="15" l="1"/>
  <c r="D331" i="15"/>
  <c r="C310" i="6"/>
  <c r="D310" i="6"/>
  <c r="E331" i="15" l="1"/>
  <c r="E310" i="6"/>
  <c r="G332" i="15" l="1"/>
  <c r="D332" i="15" s="1"/>
  <c r="E30" i="19" s="1"/>
  <c r="G311" i="6"/>
  <c r="C332" i="15" l="1"/>
  <c r="E332" i="15" s="1"/>
  <c r="G333" i="15" s="1"/>
  <c r="C333" i="15" s="1"/>
  <c r="D311" i="6"/>
  <c r="C311" i="6"/>
  <c r="E311" i="6" s="1"/>
  <c r="D333" i="15" l="1"/>
  <c r="C30" i="19"/>
  <c r="G30" i="19" s="1"/>
  <c r="E333" i="15"/>
  <c r="G334" i="15" s="1"/>
  <c r="D334" i="15" s="1"/>
  <c r="G312" i="6"/>
  <c r="F30" i="19" l="1"/>
  <c r="C334" i="15"/>
  <c r="E334" i="15" s="1"/>
  <c r="G335" i="15" s="1"/>
  <c r="D312" i="6"/>
  <c r="C312" i="6"/>
  <c r="C335" i="15" l="1"/>
  <c r="D335" i="15"/>
  <c r="E312" i="6"/>
  <c r="G313" i="6" l="1"/>
  <c r="E335" i="15"/>
  <c r="G336" i="15" l="1"/>
  <c r="C313" i="6"/>
  <c r="D313" i="6"/>
  <c r="E313" i="6" l="1"/>
  <c r="D336" i="15"/>
  <c r="C336" i="15"/>
  <c r="E336" i="15" s="1"/>
  <c r="G337" i="15" l="1"/>
  <c r="G314" i="6"/>
  <c r="C314" i="6" l="1"/>
  <c r="D314" i="6"/>
  <c r="C337" i="15"/>
  <c r="D337" i="15"/>
  <c r="E337" i="15" l="1"/>
  <c r="G338" i="15" s="1"/>
  <c r="E314" i="6"/>
  <c r="G315" i="6" s="1"/>
  <c r="C315" i="6" s="1"/>
  <c r="D315" i="6" l="1"/>
  <c r="E315" i="6" s="1"/>
  <c r="G316" i="6" s="1"/>
  <c r="C316" i="6" s="1"/>
  <c r="C338" i="15"/>
  <c r="D338" i="15"/>
  <c r="D316" i="6" l="1"/>
  <c r="E316" i="6" s="1"/>
  <c r="G317" i="6" s="1"/>
  <c r="E338" i="15"/>
  <c r="G339" i="15" s="1"/>
  <c r="D317" i="6" l="1"/>
  <c r="C317" i="6"/>
  <c r="E317" i="6" s="1"/>
  <c r="G318" i="6" s="1"/>
  <c r="C339" i="15"/>
  <c r="D339" i="15"/>
  <c r="D318" i="6" l="1"/>
  <c r="C318" i="6"/>
  <c r="E339" i="15"/>
  <c r="G340" i="15" s="1"/>
  <c r="E318" i="6" l="1"/>
  <c r="G319" i="6" s="1"/>
  <c r="D319" i="6" s="1"/>
  <c r="C340" i="15"/>
  <c r="D340" i="15"/>
  <c r="C319" i="6" l="1"/>
  <c r="E319" i="6" s="1"/>
  <c r="G320" i="6" s="1"/>
  <c r="C320" i="6" s="1"/>
  <c r="E340" i="15"/>
  <c r="G341" i="15" s="1"/>
  <c r="D320" i="6" l="1"/>
  <c r="E320" i="6" s="1"/>
  <c r="D341" i="15"/>
  <c r="C341" i="15"/>
  <c r="E30" i="18"/>
  <c r="E341" i="15" l="1"/>
  <c r="G342" i="15" s="1"/>
  <c r="C342" i="15" s="1"/>
  <c r="G321" i="6"/>
  <c r="C30" i="18"/>
  <c r="D342" i="15" l="1"/>
  <c r="E342" i="15" s="1"/>
  <c r="G343" i="15" s="1"/>
  <c r="C343" i="15" s="1"/>
  <c r="G30" i="18"/>
  <c r="F30" i="18"/>
  <c r="D321" i="6"/>
  <c r="C321" i="6"/>
  <c r="D343" i="15" l="1"/>
  <c r="E343" i="15" s="1"/>
  <c r="G344" i="15" s="1"/>
  <c r="E321" i="6"/>
  <c r="G322" i="6" s="1"/>
  <c r="C344" i="15" l="1"/>
  <c r="D344" i="15"/>
  <c r="E31" i="19" s="1"/>
  <c r="D322" i="6"/>
  <c r="C322" i="6"/>
  <c r="E322" i="6" l="1"/>
  <c r="G323" i="6"/>
  <c r="E344" i="15"/>
  <c r="G345" i="15" l="1"/>
  <c r="C31" i="19"/>
  <c r="D323" i="6"/>
  <c r="C323" i="6"/>
  <c r="E323" i="6" s="1"/>
  <c r="C345" i="15" l="1"/>
  <c r="D345" i="15"/>
  <c r="G324" i="6"/>
  <c r="F31" i="19"/>
  <c r="G31" i="19"/>
  <c r="C324" i="6" l="1"/>
  <c r="D324" i="6"/>
  <c r="E345" i="15"/>
  <c r="E324" i="6" l="1"/>
  <c r="G325" i="6" s="1"/>
  <c r="G346" i="15"/>
  <c r="C346" i="15" l="1"/>
  <c r="D346" i="15"/>
  <c r="C325" i="6"/>
  <c r="D325" i="6"/>
  <c r="E325" i="6" l="1"/>
  <c r="G326" i="6" s="1"/>
  <c r="E346" i="15"/>
  <c r="C326" i="6" l="1"/>
  <c r="D326" i="6"/>
  <c r="G347" i="15"/>
  <c r="E326" i="6" l="1"/>
  <c r="G327" i="6" s="1"/>
  <c r="C327" i="6" s="1"/>
  <c r="D347" i="15"/>
  <c r="C347" i="15"/>
  <c r="E347" i="15" s="1"/>
  <c r="D327" i="6" l="1"/>
  <c r="E327" i="6" s="1"/>
  <c r="G328" i="6" s="1"/>
  <c r="D328" i="6" s="1"/>
  <c r="G348" i="15"/>
  <c r="C328" i="6" l="1"/>
  <c r="E328" i="6" s="1"/>
  <c r="G329" i="6" s="1"/>
  <c r="D329" i="6" s="1"/>
  <c r="C348" i="15"/>
  <c r="D348" i="15"/>
  <c r="C329" i="6" l="1"/>
  <c r="E329" i="6" s="1"/>
  <c r="G330" i="6" s="1"/>
  <c r="C330" i="6" s="1"/>
  <c r="E348" i="15"/>
  <c r="D330" i="6" l="1"/>
  <c r="E330" i="6" s="1"/>
  <c r="G331" i="6" s="1"/>
  <c r="G349" i="15"/>
  <c r="D331" i="6" l="1"/>
  <c r="C331" i="6"/>
  <c r="E331" i="6" s="1"/>
  <c r="G332" i="6" s="1"/>
  <c r="C349" i="15"/>
  <c r="D349" i="15"/>
  <c r="E349" i="15" l="1"/>
  <c r="G350" i="15" s="1"/>
  <c r="C332" i="6"/>
  <c r="D332" i="6"/>
  <c r="C350" i="15" l="1"/>
  <c r="D350" i="15"/>
  <c r="E332" i="6"/>
  <c r="E31" i="18"/>
  <c r="G333" i="6" l="1"/>
  <c r="C31" i="18"/>
  <c r="G31" i="18" s="1"/>
  <c r="E350" i="15"/>
  <c r="G351" i="15" s="1"/>
  <c r="C333" i="6" l="1"/>
  <c r="D333" i="6"/>
  <c r="D351" i="15"/>
  <c r="C351" i="15"/>
  <c r="E351" i="15" s="1"/>
  <c r="G352" i="15" s="1"/>
  <c r="F31" i="18"/>
  <c r="E333" i="6" l="1"/>
  <c r="C352" i="15"/>
  <c r="D352" i="15"/>
  <c r="E352" i="15" l="1"/>
  <c r="G353" i="15" s="1"/>
  <c r="D353" i="15" s="1"/>
  <c r="G334" i="6"/>
  <c r="C353" i="15" l="1"/>
  <c r="E353" i="15" s="1"/>
  <c r="G354" i="15" s="1"/>
  <c r="C334" i="6"/>
  <c r="D334" i="6"/>
  <c r="D354" i="15" l="1"/>
  <c r="C354" i="15"/>
  <c r="E334" i="6"/>
  <c r="E354" i="15" l="1"/>
  <c r="G355" i="15" s="1"/>
  <c r="C355" i="15" s="1"/>
  <c r="G335" i="6"/>
  <c r="D355" i="15" l="1"/>
  <c r="E355" i="15" s="1"/>
  <c r="G356" i="15" s="1"/>
  <c r="D356" i="15" s="1"/>
  <c r="E32" i="19" s="1"/>
  <c r="C335" i="6"/>
  <c r="D335" i="6"/>
  <c r="C356" i="15" l="1"/>
  <c r="E356" i="15" s="1"/>
  <c r="G357" i="15" s="1"/>
  <c r="E335" i="6"/>
  <c r="C32" i="19" l="1"/>
  <c r="F32" i="19" s="1"/>
  <c r="C357" i="15"/>
  <c r="D357" i="15"/>
  <c r="G336" i="6"/>
  <c r="G32" i="19" l="1"/>
  <c r="E357" i="15"/>
  <c r="D336" i="6"/>
  <c r="C336" i="6"/>
  <c r="E336" i="6" l="1"/>
  <c r="G337" i="6" s="1"/>
  <c r="G358" i="15"/>
  <c r="C358" i="15" l="1"/>
  <c r="D358" i="15"/>
  <c r="D337" i="6"/>
  <c r="C337" i="6"/>
  <c r="E337" i="6" s="1"/>
  <c r="G338" i="6" l="1"/>
  <c r="E358" i="15"/>
  <c r="G359" i="15" l="1"/>
  <c r="C338" i="6"/>
  <c r="D338" i="6"/>
  <c r="E338" i="6" l="1"/>
  <c r="G339" i="6" s="1"/>
  <c r="C339" i="6" s="1"/>
  <c r="D359" i="15"/>
  <c r="C359" i="15"/>
  <c r="D339" i="6" l="1"/>
  <c r="E339" i="6" s="1"/>
  <c r="G340" i="6" s="1"/>
  <c r="E359" i="15"/>
  <c r="G360" i="15" s="1"/>
  <c r="C340" i="6" l="1"/>
  <c r="D340" i="6"/>
  <c r="D360" i="15"/>
  <c r="C360" i="15"/>
  <c r="E340" i="6" l="1"/>
  <c r="G341" i="6" s="1"/>
  <c r="D341" i="6" s="1"/>
  <c r="E360" i="15"/>
  <c r="G361" i="15" s="1"/>
  <c r="C341" i="6" l="1"/>
  <c r="E341" i="6" s="1"/>
  <c r="G342" i="6" s="1"/>
  <c r="D342" i="6" s="1"/>
  <c r="C361" i="15"/>
  <c r="D361" i="15"/>
  <c r="C342" i="6" l="1"/>
  <c r="E342" i="6" s="1"/>
  <c r="G343" i="6" s="1"/>
  <c r="D343" i="6" s="1"/>
  <c r="E361" i="15"/>
  <c r="G362" i="15" s="1"/>
  <c r="C343" i="6" l="1"/>
  <c r="E343" i="6"/>
  <c r="G344" i="6" s="1"/>
  <c r="D344" i="6" s="1"/>
  <c r="E32" i="18" s="1"/>
  <c r="D362" i="15"/>
  <c r="C362" i="15"/>
  <c r="C344" i="6" l="1"/>
  <c r="E344" i="6" s="1"/>
  <c r="E362" i="15"/>
  <c r="G363" i="15" s="1"/>
  <c r="C363" i="15" s="1"/>
  <c r="D363" i="15" l="1"/>
  <c r="E363" i="15" s="1"/>
  <c r="G364" i="15" s="1"/>
  <c r="C364" i="15" s="1"/>
  <c r="G345" i="6"/>
  <c r="C32" i="18"/>
  <c r="D364" i="15" l="1"/>
  <c r="E364" i="15" s="1"/>
  <c r="G365" i="15" s="1"/>
  <c r="D365" i="15" s="1"/>
  <c r="F32" i="18"/>
  <c r="G32" i="18"/>
  <c r="C345" i="6"/>
  <c r="D345" i="6"/>
  <c r="E345" i="6" l="1"/>
  <c r="G346" i="6" s="1"/>
  <c r="C346" i="6" s="1"/>
  <c r="C365" i="15"/>
  <c r="E365" i="15" s="1"/>
  <c r="G366" i="15" s="1"/>
  <c r="D366" i="15" s="1"/>
  <c r="D346" i="6" l="1"/>
  <c r="E346" i="6" s="1"/>
  <c r="C366" i="15"/>
  <c r="E366" i="15" s="1"/>
  <c r="G367" i="15" s="1"/>
  <c r="C367" i="15" l="1"/>
  <c r="D367" i="15"/>
  <c r="G347" i="6"/>
  <c r="E367" i="15" l="1"/>
  <c r="G368" i="15" s="1"/>
  <c r="C368" i="15" s="1"/>
  <c r="D347" i="6"/>
  <c r="C347" i="6"/>
  <c r="D368" i="15" l="1"/>
  <c r="E33" i="19" s="1"/>
  <c r="E368" i="15"/>
  <c r="E347" i="6"/>
  <c r="G348" i="6" s="1"/>
  <c r="G369" i="15" l="1"/>
  <c r="C33" i="19"/>
  <c r="C348" i="6"/>
  <c r="D348" i="6"/>
  <c r="F33" i="19" l="1"/>
  <c r="G33" i="19"/>
  <c r="D369" i="15"/>
  <c r="C369" i="15"/>
  <c r="E369" i="15" s="1"/>
  <c r="G370" i="15" s="1"/>
  <c r="D370" i="15" s="1"/>
  <c r="E348" i="6"/>
  <c r="G349" i="6" s="1"/>
  <c r="C370" i="15" l="1"/>
  <c r="E370" i="15" s="1"/>
  <c r="G371" i="15" s="1"/>
  <c r="D371" i="15" s="1"/>
  <c r="C349" i="6"/>
  <c r="D349" i="6"/>
  <c r="C371" i="15" l="1"/>
  <c r="E371" i="15" s="1"/>
  <c r="E349" i="6"/>
  <c r="G350" i="6" s="1"/>
  <c r="D350" i="6" l="1"/>
  <c r="C350" i="6"/>
  <c r="E350" i="6" l="1"/>
  <c r="G351" i="6" s="1"/>
  <c r="D351" i="6" s="1"/>
  <c r="C351" i="6"/>
  <c r="E351" i="6" l="1"/>
  <c r="G352" i="6" s="1"/>
  <c r="D352" i="6" s="1"/>
  <c r="C352" i="6" l="1"/>
  <c r="E352" i="6" s="1"/>
  <c r="G353" i="6" s="1"/>
  <c r="D353" i="6" s="1"/>
  <c r="C353" i="6" l="1"/>
  <c r="E353" i="6" s="1"/>
  <c r="G354" i="6" s="1"/>
  <c r="C354" i="6" s="1"/>
  <c r="D354" i="6" l="1"/>
  <c r="E354" i="6" s="1"/>
  <c r="G355" i="6" s="1"/>
  <c r="C355" i="6" l="1"/>
  <c r="D355" i="6"/>
  <c r="E355" i="6" l="1"/>
  <c r="G356" i="6" s="1"/>
  <c r="D356" i="6" s="1"/>
  <c r="E33" i="18" s="1"/>
  <c r="C356" i="6" l="1"/>
  <c r="E356" i="6" s="1"/>
  <c r="G357" i="6" s="1"/>
  <c r="C33" i="18"/>
  <c r="G33" i="18" l="1"/>
  <c r="F33" i="18"/>
  <c r="D357" i="6"/>
  <c r="C357" i="6"/>
  <c r="E357" i="6" l="1"/>
  <c r="G358" i="6"/>
  <c r="D358" i="6" l="1"/>
  <c r="C358" i="6"/>
  <c r="E358" i="6" l="1"/>
  <c r="G359" i="6" s="1"/>
  <c r="C359" i="6" l="1"/>
  <c r="D359" i="6"/>
  <c r="E359" i="6" l="1"/>
  <c r="G360" i="6" l="1"/>
  <c r="C360" i="6" l="1"/>
  <c r="D360" i="6"/>
  <c r="E360" i="6" l="1"/>
  <c r="G361" i="6" l="1"/>
  <c r="C361" i="6" l="1"/>
  <c r="D361" i="6"/>
  <c r="E361" i="6" l="1"/>
  <c r="G362" i="6" s="1"/>
  <c r="C362" i="6" l="1"/>
  <c r="D362" i="6"/>
  <c r="E362" i="6" l="1"/>
  <c r="G363" i="6" s="1"/>
  <c r="D363" i="6" s="1"/>
  <c r="C363" i="6" l="1"/>
  <c r="E363" i="6" s="1"/>
  <c r="G364" i="6" s="1"/>
  <c r="D364" i="6" l="1"/>
  <c r="C364" i="6"/>
  <c r="E364" i="6" s="1"/>
  <c r="G365" i="6" s="1"/>
  <c r="D365" i="6" s="1"/>
  <c r="C365" i="6" l="1"/>
  <c r="E365" i="6" s="1"/>
  <c r="G366" i="6" s="1"/>
  <c r="D366" i="6" s="1"/>
  <c r="C366" i="6" l="1"/>
  <c r="E366" i="6" s="1"/>
  <c r="G367" i="6" s="1"/>
  <c r="D367" i="6" s="1"/>
  <c r="C367" i="6" l="1"/>
  <c r="E367" i="6" s="1"/>
  <c r="G368" i="6" s="1"/>
  <c r="D368" i="6" s="1"/>
  <c r="E34" i="18" s="1"/>
  <c r="C368" i="6" l="1"/>
  <c r="E368" i="6" s="1"/>
  <c r="G369" i="6" s="1"/>
  <c r="C34" i="18" l="1"/>
  <c r="G34" i="18" s="1"/>
  <c r="F34" i="18"/>
  <c r="D369" i="6"/>
  <c r="C369" i="6"/>
  <c r="E369" i="6" s="1"/>
  <c r="G370" i="6" s="1"/>
  <c r="C370" i="6" l="1"/>
  <c r="D370" i="6"/>
  <c r="E370" i="6" l="1"/>
  <c r="G371" i="6" s="1"/>
  <c r="D371" i="6" s="1"/>
  <c r="C371" i="6" l="1"/>
  <c r="E37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<sst xmlns="http://schemas.openxmlformats.org/spreadsheetml/2006/main" count="1230" uniqueCount="520">
  <si>
    <r>
      <t>Please fill</t>
    </r>
    <r>
      <rPr>
        <b/>
        <u/>
        <sz val="11"/>
        <color theme="1"/>
        <rFont val="Baskerville Old Face"/>
        <family val="2"/>
        <scheme val="minor"/>
      </rPr>
      <t xml:space="preserve"> BOLD</t>
    </r>
    <r>
      <rPr>
        <u/>
        <sz val="11"/>
        <color theme="1"/>
        <rFont val="Baskerville Old Face"/>
        <family val="2"/>
        <scheme val="minor"/>
      </rPr>
      <t xml:space="preserve"> numbers.</t>
    </r>
  </si>
  <si>
    <t>Calculate offer price</t>
  </si>
  <si>
    <t>Property Type</t>
  </si>
  <si>
    <t>Appartment building</t>
  </si>
  <si>
    <t>Property type</t>
  </si>
  <si>
    <t>Listing Price</t>
  </si>
  <si>
    <t>Single dowel</t>
  </si>
  <si>
    <t>Property Value</t>
  </si>
  <si>
    <t>Single dowel with basement suite</t>
  </si>
  <si>
    <t>SQFT</t>
  </si>
  <si>
    <t>Duplex</t>
  </si>
  <si>
    <t>80% of Property Value</t>
  </si>
  <si>
    <t>Townhouse</t>
  </si>
  <si>
    <t>Closing cost (10% of Purchase Price)</t>
  </si>
  <si>
    <t>Condominium</t>
  </si>
  <si>
    <t>Renovation cost</t>
  </si>
  <si>
    <t>Fourplex</t>
  </si>
  <si>
    <t>Carring cost</t>
  </si>
  <si>
    <t>Length of renovation/Month</t>
  </si>
  <si>
    <t>Total Carrying cost</t>
  </si>
  <si>
    <t>Downpayment %</t>
  </si>
  <si>
    <t>Investment Capital</t>
  </si>
  <si>
    <t>Downpayment amount</t>
  </si>
  <si>
    <t>Closing cost is around 4% so I use 4.5% of your purchase price</t>
  </si>
  <si>
    <t>Total cash need for investment</t>
  </si>
  <si>
    <t xml:space="preserve">Works on bull market but not bear market. Although, you can guess the number in low price. Still number of the sale is important. High market volume. </t>
  </si>
  <si>
    <t>Carrying Cost</t>
  </si>
  <si>
    <t>Total Mortgage amount</t>
  </si>
  <si>
    <t xml:space="preserve">Offer price - Downpayment.   </t>
  </si>
  <si>
    <t>Mortgage payment/month</t>
  </si>
  <si>
    <t xml:space="preserve">Go to the mortgage calculator page </t>
  </si>
  <si>
    <t xml:space="preserve">Motgage Payment/Annual </t>
  </si>
  <si>
    <t>Property Tax/Annual</t>
  </si>
  <si>
    <t>Monthly Property Tax</t>
  </si>
  <si>
    <t>Debt Service/Month</t>
  </si>
  <si>
    <t xml:space="preserve">Renovation cost and etc. if you use HELOC for your downpayment and renovation. Go to debt payment calculator </t>
  </si>
  <si>
    <t>Utilities/annual</t>
  </si>
  <si>
    <t>Insurance/Annual</t>
  </si>
  <si>
    <t>Ballpark 0.38% of purchase price.</t>
  </si>
  <si>
    <t>Strata Fee</t>
  </si>
  <si>
    <t>Strata fee Annual</t>
  </si>
  <si>
    <t>Annual Carrying cost</t>
  </si>
  <si>
    <t>Monthly Carrying cost</t>
  </si>
  <si>
    <t xml:space="preserve">ARV compare properties </t>
  </si>
  <si>
    <t>Find comp. Properties after Renovation</t>
  </si>
  <si>
    <t>Property 1</t>
  </si>
  <si>
    <t>Property 2</t>
  </si>
  <si>
    <t>Property 3</t>
  </si>
  <si>
    <t>Type of property</t>
  </si>
  <si>
    <t>Bed room</t>
  </si>
  <si>
    <t>Bathroom</t>
  </si>
  <si>
    <t>Bedrooms</t>
  </si>
  <si>
    <t>Bathrooms</t>
  </si>
  <si>
    <t>Sold Price</t>
  </si>
  <si>
    <t>Cost/SQFT</t>
  </si>
  <si>
    <t>Average property cost/SQFT</t>
  </si>
  <si>
    <t>Main suite</t>
  </si>
  <si>
    <t>Suite 2</t>
  </si>
  <si>
    <t>Suite3</t>
  </si>
  <si>
    <t>Rent/bedroom</t>
  </si>
  <si>
    <t xml:space="preserve">This is the most important number. Please research the area you like to invest. </t>
  </si>
  <si>
    <t>Number of Bedrooms(If rent per room)</t>
  </si>
  <si>
    <t>Mainsuite rent</t>
  </si>
  <si>
    <t>Strata fee/monthly</t>
  </si>
  <si>
    <t xml:space="preserve">Parking </t>
  </si>
  <si>
    <t>Storage</t>
  </si>
  <si>
    <t>Laundry</t>
  </si>
  <si>
    <t>Pet</t>
  </si>
  <si>
    <t>Total rental income</t>
  </si>
  <si>
    <t>Total Rent for calculation</t>
  </si>
  <si>
    <t>Subtract strata fee for calculation</t>
  </si>
  <si>
    <t>Room rental: How much do you have to charge per room?</t>
  </si>
  <si>
    <t>Rental price from your offering price</t>
  </si>
  <si>
    <t>If you cn buy the property with your calculated offering price, how low can you set rental and you will still get cash flow</t>
  </si>
  <si>
    <t>Market price/ Calculated offering price ratio</t>
  </si>
  <si>
    <t>How much discount do you need from current market price?</t>
  </si>
  <si>
    <t>Rent from current market price. How much do you have to charge rent to get cash flow</t>
  </si>
  <si>
    <t>Calculating backwards from current market price how much you have to charge rent.</t>
  </si>
  <si>
    <t>Current market/Rent base value Ratio</t>
  </si>
  <si>
    <t xml:space="preserve">If the rent income based price is the value of the property, where is the market price </t>
  </si>
  <si>
    <t xml:space="preserve">Consider that you might not be able to rent it entire year. </t>
  </si>
  <si>
    <t>Future Value of the property</t>
  </si>
  <si>
    <t>Passive Appreciation rate</t>
  </si>
  <si>
    <t>Year from now</t>
  </si>
  <si>
    <t>When do you want to sell or refinance?</t>
  </si>
  <si>
    <t>Current market price</t>
  </si>
  <si>
    <t>Future price</t>
  </si>
  <si>
    <t>Capital Gain</t>
  </si>
  <si>
    <t>Offering Price</t>
  </si>
  <si>
    <t>Future Property Value</t>
  </si>
  <si>
    <t xml:space="preserve">Refinance at this price in 10 years. Keep or sell depends on the market condition in 10 years. </t>
  </si>
  <si>
    <t>Capital Gain offering price to ARV FV</t>
  </si>
  <si>
    <t xml:space="preserve">This number is very concervative number. </t>
  </si>
  <si>
    <t>ROI Calculation</t>
  </si>
  <si>
    <t>Closing cost</t>
  </si>
  <si>
    <t>Purchase Price</t>
  </si>
  <si>
    <t>Land transfer tax %</t>
  </si>
  <si>
    <t>Amortization period</t>
  </si>
  <si>
    <t>Land transfer tax</t>
  </si>
  <si>
    <t xml:space="preserve">Interest Rate </t>
  </si>
  <si>
    <t>Apprasal</t>
  </si>
  <si>
    <t xml:space="preserve">Passive Appriciation Rate </t>
  </si>
  <si>
    <t>Home inspection</t>
  </si>
  <si>
    <t>Legal Fee</t>
  </si>
  <si>
    <t>Annual Rent Increse</t>
  </si>
  <si>
    <t xml:space="preserve">Title Insurance </t>
  </si>
  <si>
    <t>Other cost (Adjustment)</t>
  </si>
  <si>
    <t>Closing Cost</t>
  </si>
  <si>
    <t>Down payment</t>
  </si>
  <si>
    <t>Mortgage amount</t>
  </si>
  <si>
    <t>Mortgage payment/mth</t>
  </si>
  <si>
    <t>Property Tax/Ammual</t>
  </si>
  <si>
    <t>Debt Service/annual</t>
  </si>
  <si>
    <t>Future Value</t>
  </si>
  <si>
    <t>1st year investment</t>
  </si>
  <si>
    <t>Total cash need to close</t>
  </si>
  <si>
    <t>CF with Original investment</t>
  </si>
  <si>
    <t>Revenue</t>
  </si>
  <si>
    <t>Monthly Rent</t>
  </si>
  <si>
    <t>Annual rent</t>
  </si>
  <si>
    <t>Vacancy Rate</t>
  </si>
  <si>
    <t>Vacancy &amp; Credit Losses</t>
  </si>
  <si>
    <t>Monthly Motgage payment</t>
  </si>
  <si>
    <t>Annual Motgage Payment</t>
  </si>
  <si>
    <t>Property Taxes</t>
  </si>
  <si>
    <t>Monthly Property Management Fee</t>
  </si>
  <si>
    <t>Annual Property Management Fee</t>
  </si>
  <si>
    <t>Monthly Strata Fee</t>
  </si>
  <si>
    <t>Strata Fee/Annual</t>
  </si>
  <si>
    <t>Utilities/Annual</t>
  </si>
  <si>
    <t>Lawn Maintenance/Annual</t>
  </si>
  <si>
    <t>Cleaning/Annual</t>
  </si>
  <si>
    <t>Repair and Maintenance/ Annual</t>
  </si>
  <si>
    <t>Gifts/Annual</t>
  </si>
  <si>
    <t>Other/Annual</t>
  </si>
  <si>
    <t>Annual Net Operating Income</t>
  </si>
  <si>
    <t>Annual Cash Flow</t>
  </si>
  <si>
    <t>Monthly Cash Flow</t>
  </si>
  <si>
    <t>Annual Mortgage Payment</t>
  </si>
  <si>
    <t>Realtor fee when you sell the property</t>
  </si>
  <si>
    <t>Year</t>
  </si>
  <si>
    <t>Cash Flow</t>
  </si>
  <si>
    <t>Principle Recapture</t>
  </si>
  <si>
    <t>Passive Appreciation</t>
  </si>
  <si>
    <t>Year 10</t>
  </si>
  <si>
    <t>Principle Payment</t>
  </si>
  <si>
    <t>Return on Investment</t>
  </si>
  <si>
    <t>Avarage rate of return</t>
  </si>
  <si>
    <t>Year 15</t>
  </si>
  <si>
    <t>Amount $</t>
  </si>
  <si>
    <t>%</t>
  </si>
  <si>
    <t>Monthly Cash flow</t>
  </si>
  <si>
    <t>Total CF</t>
  </si>
  <si>
    <t>Average Rate of Return</t>
  </si>
  <si>
    <t>Compounded Annual Rate of Return</t>
  </si>
  <si>
    <t>Mortgage Calculator</t>
  </si>
  <si>
    <t>Amortization Periods</t>
  </si>
  <si>
    <t>Payment per year</t>
  </si>
  <si>
    <t>Interest Rate</t>
  </si>
  <si>
    <t>Number of Payments</t>
  </si>
  <si>
    <t>Downpayment</t>
  </si>
  <si>
    <t>Monthly Payment</t>
  </si>
  <si>
    <t>Debt payment Calculator</t>
  </si>
  <si>
    <t>Amount you borrow</t>
  </si>
  <si>
    <t>interest rate</t>
  </si>
  <si>
    <t>Principal payment</t>
  </si>
  <si>
    <t>Total monthly payment</t>
  </si>
  <si>
    <t>Interest rate</t>
  </si>
  <si>
    <t>Amortization Period</t>
  </si>
  <si>
    <t>Number of payment/Year</t>
  </si>
  <si>
    <t xml:space="preserve">Payment Schedule </t>
  </si>
  <si>
    <t>Date</t>
  </si>
  <si>
    <t>Payment #</t>
  </si>
  <si>
    <t>Payment Amount</t>
  </si>
  <si>
    <t>Interest payment</t>
  </si>
  <si>
    <t>Principal Payment</t>
  </si>
  <si>
    <t>Extra payment</t>
  </si>
  <si>
    <t>Loan balance</t>
  </si>
  <si>
    <t>Investment Capital Allocation</t>
  </si>
  <si>
    <t>Removation/Maintenance</t>
  </si>
  <si>
    <t>Total investment capital</t>
  </si>
  <si>
    <t>Term</t>
  </si>
  <si>
    <t>Building intrinsic value</t>
  </si>
  <si>
    <t>Current listing price</t>
  </si>
  <si>
    <t>Target purchase price</t>
  </si>
  <si>
    <t>1st year Annual rent revenue</t>
  </si>
  <si>
    <t>Property tax</t>
  </si>
  <si>
    <t>Mortgage payment</t>
  </si>
  <si>
    <t>Total expenses</t>
  </si>
  <si>
    <t>Repair &amp; Maintenance</t>
  </si>
  <si>
    <t>Gift</t>
  </si>
  <si>
    <t>1st year Net Operating Income</t>
  </si>
  <si>
    <t>Return on Investment 10 years term</t>
  </si>
  <si>
    <t>Total Return</t>
  </si>
  <si>
    <t>Compunded Annual rate of return</t>
  </si>
  <si>
    <t>Return on Investment 15 years term</t>
  </si>
  <si>
    <t>Return on Investment 5 years term</t>
  </si>
  <si>
    <t>15 Year result</t>
  </si>
  <si>
    <t xml:space="preserve"> 10 year result</t>
  </si>
  <si>
    <t>5 year result</t>
  </si>
  <si>
    <t>Curret Intrinsic Value</t>
  </si>
  <si>
    <t>5 years</t>
  </si>
  <si>
    <t>10 years</t>
  </si>
  <si>
    <t>15 years</t>
  </si>
  <si>
    <t>CARR</t>
  </si>
  <si>
    <t>Year 5</t>
  </si>
  <si>
    <t>Active Appreciation</t>
  </si>
  <si>
    <t>Renovation</t>
  </si>
  <si>
    <t>Realtor fee</t>
  </si>
  <si>
    <t>Selling Price</t>
  </si>
  <si>
    <t>Profit</t>
  </si>
  <si>
    <t xml:space="preserve">If you cannot find it, (Assessment Value x Tax rate) google tax rate </t>
  </si>
  <si>
    <t>If the property is in BC, you can find sold property on BC assessment site</t>
  </si>
  <si>
    <t>If you can buy the property with your calculated offering price, lowest allowable rent for minumum cash flow</t>
  </si>
  <si>
    <t>Calculated offering Price/Margine of Safety</t>
  </si>
  <si>
    <t xml:space="preserve">Renovation period/Mth </t>
  </si>
  <si>
    <t>Carrying cost/Mth</t>
  </si>
  <si>
    <t>Cap Rate</t>
  </si>
  <si>
    <t>Net Operating Income</t>
  </si>
  <si>
    <t>Future Value of the property 10 years</t>
  </si>
  <si>
    <t>Future Value of the property 15 years</t>
  </si>
  <si>
    <t>Anticipated 10 year average appreciation rate</t>
  </si>
  <si>
    <t>Anticipated 15 years average appreciatuon rate</t>
  </si>
  <si>
    <t>Anticipated x years average appreciation rate</t>
  </si>
  <si>
    <t xml:space="preserve">Find out desired future value by changing the number by using </t>
  </si>
  <si>
    <t>Investment Term</t>
  </si>
  <si>
    <t>Less than 1 year</t>
  </si>
  <si>
    <t>1-4 Years</t>
  </si>
  <si>
    <t>6-9 Years</t>
  </si>
  <si>
    <t>5 Years</t>
  </si>
  <si>
    <t>10-15 Years</t>
  </si>
  <si>
    <t>More than 15 Years</t>
  </si>
  <si>
    <t>Raised Investment Capital</t>
  </si>
  <si>
    <t>Future Value Analyze Tool</t>
  </si>
  <si>
    <t>Estimated Closing Cost</t>
  </si>
  <si>
    <t>If you don't need to raise capital, type 1st year investment capital on ROI number insert page.</t>
  </si>
  <si>
    <t>Chose most applicble Value from property value.</t>
  </si>
  <si>
    <t>If the student rental or share house, (main suite will be room rental $) then put the number of the room</t>
  </si>
  <si>
    <t>Expenses Inflation Rate</t>
  </si>
  <si>
    <t xml:space="preserve">Expenses </t>
  </si>
  <si>
    <t>Gross Operating Income</t>
  </si>
  <si>
    <t>Gross Operating Expenses</t>
  </si>
  <si>
    <t>Comp Price Evaluation</t>
  </si>
  <si>
    <t>1st Year Cash Flow</t>
  </si>
  <si>
    <t>2nd Mortgage Calculator</t>
  </si>
  <si>
    <t>2nd mortgage amount</t>
  </si>
  <si>
    <t>2nd Mortgage</t>
  </si>
  <si>
    <t>2nd Mortgage Payment</t>
  </si>
  <si>
    <t>Deside purchase price</t>
  </si>
  <si>
    <t>based on your analsis</t>
  </si>
  <si>
    <t>Today's year</t>
  </si>
  <si>
    <t>Year you want to see</t>
  </si>
  <si>
    <t>Year you are looking at</t>
  </si>
  <si>
    <t>Income statement</t>
  </si>
  <si>
    <t>Rent revenue</t>
  </si>
  <si>
    <t>Other revenue</t>
  </si>
  <si>
    <t>Vacancy loss</t>
  </si>
  <si>
    <t>Repair and Maintenance</t>
  </si>
  <si>
    <t>Utility</t>
  </si>
  <si>
    <t>Insurance</t>
  </si>
  <si>
    <t>Lawn Maintenance</t>
  </si>
  <si>
    <t>Cleaning</t>
  </si>
  <si>
    <t>Property Management Fee</t>
  </si>
  <si>
    <t>Other</t>
  </si>
  <si>
    <t>Property Tax</t>
  </si>
  <si>
    <t>Mortgage Payment</t>
  </si>
  <si>
    <t>2nd Mortgage paymet</t>
  </si>
  <si>
    <t>Short term debt payment</t>
  </si>
  <si>
    <t>Days on Market</t>
  </si>
  <si>
    <t>Date:</t>
  </si>
  <si>
    <t>Date of listing</t>
  </si>
  <si>
    <t>MLS #</t>
  </si>
  <si>
    <t>Address</t>
  </si>
  <si>
    <t xml:space="preserve">BC assessment </t>
  </si>
  <si>
    <t>BC Assessment</t>
  </si>
  <si>
    <t>Discount rate</t>
  </si>
  <si>
    <t>Actural Purchase Price</t>
  </si>
  <si>
    <t>CF Multiplier Evaluation</t>
  </si>
  <si>
    <t>Conservative CF Multiplier Evaluation</t>
  </si>
  <si>
    <t>10 Cap Price</t>
  </si>
  <si>
    <t>Amount that Bank will lend you</t>
  </si>
  <si>
    <t>Investment</t>
  </si>
  <si>
    <t>Requred rate of return</t>
  </si>
  <si>
    <t>CF Year 0</t>
  </si>
  <si>
    <t>Year 1</t>
  </si>
  <si>
    <t>Year2</t>
  </si>
  <si>
    <t>Year3</t>
  </si>
  <si>
    <t>Year 4</t>
  </si>
  <si>
    <t>Year5</t>
  </si>
  <si>
    <t>NPV</t>
  </si>
  <si>
    <t>IRR</t>
  </si>
  <si>
    <t>PV of future CF</t>
  </si>
  <si>
    <t>PI</t>
  </si>
  <si>
    <t>NPV from Cash flow and Principle recapture</t>
  </si>
  <si>
    <t>NPV from CF, PR, and Passive Appreciation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</si>
  <si>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</si>
  <si>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</si>
  <si>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</si>
  <si>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</si>
  <si>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</si>
  <si>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</si>
  <si>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</si>
  <si>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</si>
  <si>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</si>
  <si>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</si>
  <si>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NPV from PP and AA</t>
  </si>
  <si>
    <t>Break even ratio</t>
  </si>
  <si>
    <t>Income down to this number, still pay expenses</t>
  </si>
  <si>
    <t>Periods CF pay back your IC</t>
  </si>
  <si>
    <t>Original price</t>
  </si>
  <si>
    <t>After refinance</t>
  </si>
  <si>
    <t>Changes</t>
  </si>
  <si>
    <t>Original</t>
  </si>
  <si>
    <t>Refinance Price</t>
  </si>
  <si>
    <t>Pay back period (Years)</t>
  </si>
  <si>
    <t>Carrying cost</t>
  </si>
  <si>
    <t>After Refinance Price</t>
  </si>
  <si>
    <t>Listing price to purchase price</t>
  </si>
  <si>
    <t>Original Price</t>
  </si>
  <si>
    <t>After Refinance</t>
  </si>
  <si>
    <t>Investment return from After Refinance (gain/loss)</t>
  </si>
  <si>
    <t>Financial Statement</t>
  </si>
  <si>
    <t>Principal Recapture</t>
  </si>
  <si>
    <t>3-plex</t>
  </si>
  <si>
    <t>Graph</t>
  </si>
  <si>
    <t>Active Value added</t>
  </si>
  <si>
    <t>Cost of Active Apreciation</t>
  </si>
  <si>
    <t>Capital gain/loss</t>
  </si>
  <si>
    <t>Downpayment requirement %</t>
  </si>
  <si>
    <t>When finance from bank.</t>
  </si>
  <si>
    <t>Downpayment requirement $</t>
  </si>
  <si>
    <t>Investment Capital 1st year</t>
  </si>
  <si>
    <t>Return on investment (CF)</t>
  </si>
  <si>
    <t>1st year Principle Recapture</t>
  </si>
  <si>
    <t>Principle paydown</t>
  </si>
  <si>
    <t>Equity End of 1st year (Downpayment +Principle pay down)</t>
  </si>
  <si>
    <t>Return on Equity (CF)</t>
  </si>
  <si>
    <t>Equity % end of 1st year</t>
  </si>
  <si>
    <t>Return on Investment (PR)</t>
  </si>
  <si>
    <t>Equity gain</t>
  </si>
  <si>
    <t>1st year Passive Appreciation</t>
  </si>
  <si>
    <t>Appreciation rate</t>
  </si>
  <si>
    <t>Passive appreciation 1st year</t>
  </si>
  <si>
    <t>Return on Investmnet (PA)</t>
  </si>
  <si>
    <t>Total Return on Investment</t>
  </si>
  <si>
    <t>Desired Cap rate</t>
  </si>
  <si>
    <t>Monthly income/0.6%</t>
  </si>
  <si>
    <t>ARV or(intrinsic value)X80%-renocost-carrying cost-closing cost</t>
  </si>
  <si>
    <t>JV Deal Structure</t>
  </si>
  <si>
    <t>Minimum investment</t>
  </si>
  <si>
    <t>Numbers of share</t>
  </si>
  <si>
    <t>Target Cash flow per share</t>
  </si>
  <si>
    <t>Working partner Cash flow per month (20%)</t>
  </si>
  <si>
    <t>Investor received cash flow per share (every $25,000)</t>
  </si>
  <si>
    <t>Cash Flow ROI</t>
  </si>
  <si>
    <t>Investor received cash flow per month (90%)</t>
  </si>
  <si>
    <t>15%/85% until investor get 100% of investment capital with cash flow.</t>
  </si>
  <si>
    <t>Payback period</t>
  </si>
  <si>
    <t>Investment capital required to close</t>
  </si>
  <si>
    <t>Raised invested Capital</t>
  </si>
  <si>
    <t xml:space="preserve">Capital after purchase </t>
  </si>
  <si>
    <t>5.58% ROI with CF with 85% of Equity until investors get money back. When investor get money back, 40(working partner)/60(Investor) equity share and 50/50 CF.</t>
  </si>
  <si>
    <t>Working partner has 50% of voting power and each shareholder has 50% of numbers of shere holding.</t>
  </si>
  <si>
    <t xml:space="preserve">This capital is emargency fund for vacancy loss and special levy. </t>
  </si>
  <si>
    <t xml:space="preserve">When sell property. </t>
  </si>
  <si>
    <t>Use of capital such as renovation, special levy, and use to invest in other investment securities.</t>
  </si>
  <si>
    <t xml:space="preserve">Working partner will disclose financial result annualy. </t>
  </si>
  <si>
    <t xml:space="preserve">5 yars minimum investment. After 5 years, restructure deal based on the market condition. Capital leftover wll be cash out in 5 years unless investor chose not to cash out. </t>
  </si>
  <si>
    <t>Capital cash out per share from original capital leftover.</t>
  </si>
  <si>
    <t xml:space="preserve">Investor can decide to not receive monthly CF, if investor do so,this will go toward priciple payment for future investment choice. When the investor make this choice they will be a part of working partner. </t>
  </si>
  <si>
    <t xml:space="preserve">Extra principle paydown will build up equity quicker. This will reduce risk from market fluctuation. </t>
  </si>
  <si>
    <t xml:space="preserve">More access to equity loan when we find next investment opportunity. </t>
  </si>
  <si>
    <t>When investor join working partner, investor will receive 15% of numbers of working partner and 50% voting right.</t>
  </si>
  <si>
    <t>Wholesale deal</t>
  </si>
  <si>
    <t>Example:</t>
  </si>
  <si>
    <t>Asking price</t>
  </si>
  <si>
    <t>Purchase price</t>
  </si>
  <si>
    <t>Discounted amount</t>
  </si>
  <si>
    <t>10% of discounted amount</t>
  </si>
  <si>
    <t>Investors purchase price equal to</t>
  </si>
  <si>
    <t>Discounted amount from asking price $</t>
  </si>
  <si>
    <t>Discounted amount from asking price %</t>
  </si>
  <si>
    <t xml:space="preserve">Investor will pay 10% of the discounted amount as founder's fee. </t>
  </si>
  <si>
    <t xml:space="preserve">Investor will take all the rights and obligations from founder. </t>
  </si>
  <si>
    <t>Principle payment year 1</t>
  </si>
  <si>
    <t>Mortgage monthly payment</t>
  </si>
  <si>
    <t>Principle payment year 2</t>
  </si>
  <si>
    <t>Principle payment year 3</t>
  </si>
  <si>
    <t>Principle payment year 4</t>
  </si>
  <si>
    <t>Principle payment year 5</t>
  </si>
  <si>
    <t>Principle payment year 6</t>
  </si>
  <si>
    <t>Principle payment year 7</t>
  </si>
  <si>
    <t>Principle payment year 8</t>
  </si>
  <si>
    <t>Principle payment year 9</t>
  </si>
  <si>
    <t>Principle payment year 10</t>
  </si>
  <si>
    <t>Principle payment year 11</t>
  </si>
  <si>
    <t>Principle payment year 12</t>
  </si>
  <si>
    <t>Principle payment year 13</t>
  </si>
  <si>
    <t>Principle payment year 14</t>
  </si>
  <si>
    <t>Principle payment year 15</t>
  </si>
  <si>
    <t>Principle payment year 16</t>
  </si>
  <si>
    <t>Principle payment year 17</t>
  </si>
  <si>
    <t>Principle payment year 18</t>
  </si>
  <si>
    <t>Principle payment year 19</t>
  </si>
  <si>
    <t>Principle payment year 20</t>
  </si>
  <si>
    <t>Principle payment year 21</t>
  </si>
  <si>
    <t>Principle payment year 22</t>
  </si>
  <si>
    <t>Principle payment year 23</t>
  </si>
  <si>
    <t>Principle payment year 24</t>
  </si>
  <si>
    <t>Principle payment year 25</t>
  </si>
  <si>
    <t>Principle payment year 26</t>
  </si>
  <si>
    <t>Principle payment year 27</t>
  </si>
  <si>
    <t>Principle payment year 28</t>
  </si>
  <si>
    <t>Principle payment year 29</t>
  </si>
  <si>
    <t>Principle payment year 30</t>
  </si>
  <si>
    <t>Interest payment year 1</t>
  </si>
  <si>
    <t>Interest payment year 2</t>
  </si>
  <si>
    <t>Interest payment year 3</t>
  </si>
  <si>
    <t>Interest payment year 4</t>
  </si>
  <si>
    <t>Interest payment year 5</t>
  </si>
  <si>
    <t>Interest payment year 6</t>
  </si>
  <si>
    <t>Interest payment year 7</t>
  </si>
  <si>
    <t>Interest payment year 8</t>
  </si>
  <si>
    <t>Interest payment year 9</t>
  </si>
  <si>
    <t>Interest payment year 10</t>
  </si>
  <si>
    <t>Interest payment year 11</t>
  </si>
  <si>
    <t>Interest payment year 12</t>
  </si>
  <si>
    <t>Interest payment year 13</t>
  </si>
  <si>
    <t>Interest payment year 14</t>
  </si>
  <si>
    <t>Interest payment year 15</t>
  </si>
  <si>
    <t>Interest payment year 16</t>
  </si>
  <si>
    <t>Interest payment year 17</t>
  </si>
  <si>
    <t>Interest payment year 18</t>
  </si>
  <si>
    <t>Interest payment year 19</t>
  </si>
  <si>
    <t>Interest payment year 20</t>
  </si>
  <si>
    <t>Interest payment year 21</t>
  </si>
  <si>
    <t>Interest payment year 22</t>
  </si>
  <si>
    <t>Interest payment year 23</t>
  </si>
  <si>
    <t>Interest payment year 24</t>
  </si>
  <si>
    <t>Interest payment year 25</t>
  </si>
  <si>
    <t>Interest payment year 26</t>
  </si>
  <si>
    <t>Interest payment year 27</t>
  </si>
  <si>
    <t>Interest payment year 28</t>
  </si>
  <si>
    <t>Interest payment year 29</t>
  </si>
  <si>
    <t>Interest payment year 30</t>
  </si>
  <si>
    <t>% of principle payment</t>
  </si>
  <si>
    <t>ROI</t>
  </si>
  <si>
    <t>Refinance fee</t>
  </si>
  <si>
    <t>1st Year return</t>
  </si>
  <si>
    <t>Total ROI</t>
  </si>
  <si>
    <t>Table Of Contents</t>
  </si>
  <si>
    <t>Page</t>
  </si>
  <si>
    <t>description</t>
  </si>
  <si>
    <t>You can obtain the result you want to see by pick the title from drop-down.</t>
  </si>
  <si>
    <t>Table of contents</t>
  </si>
  <si>
    <t>Total Result</t>
  </si>
  <si>
    <t>Deal Stracture</t>
  </si>
  <si>
    <t>Sample deal structure if you will make Joint Venture with other people.</t>
  </si>
  <si>
    <t>Number inputs</t>
  </si>
  <si>
    <t>Calculating offering prce</t>
  </si>
  <si>
    <t>Input numbers on grey cells.</t>
  </si>
  <si>
    <t>Details</t>
  </si>
  <si>
    <t>Outputs</t>
  </si>
  <si>
    <t>Cash flow predictions.</t>
  </si>
  <si>
    <t>First year financial statement</t>
  </si>
  <si>
    <t>Income statement based on your predicted numbers.</t>
  </si>
  <si>
    <t>4 ways to win</t>
  </si>
  <si>
    <t>5 years, 10 years and 15 years 4 ways to win predictions.</t>
  </si>
  <si>
    <t>Mortgage payment schedule</t>
  </si>
  <si>
    <t xml:space="preserve">Mortgage payment schedule based on your interest rate. </t>
  </si>
  <si>
    <t>Principle recapture ROI.</t>
  </si>
  <si>
    <t>Additional Inputs (Flip to yourself)</t>
  </si>
  <si>
    <t>Reno cost, rental revenue</t>
  </si>
  <si>
    <t xml:space="preserve">Input numbers on grey cells. Cost of renovation and change in rental revenue. </t>
  </si>
  <si>
    <t>New mortgage after refinance</t>
  </si>
  <si>
    <t xml:space="preserve">Input numbers on grey cells. Change in mortgage. </t>
  </si>
  <si>
    <t>Outputs on the results after refinance</t>
  </si>
  <si>
    <t>Tools</t>
  </si>
  <si>
    <t>Mortgage payment calculator</t>
  </si>
  <si>
    <t>Debt payment calculator</t>
  </si>
  <si>
    <t>Figure out 2nd mortgage by filling grey cell. Result will jump on the correct cells.</t>
  </si>
  <si>
    <t>Figure out debt payment by filling grey cell. Result will jump on the correct cells.</t>
  </si>
  <si>
    <t>Document</t>
  </si>
  <si>
    <t>Cash Flow Year</t>
  </si>
  <si>
    <t>Annual ROI</t>
  </si>
  <si>
    <t>Monthly CF</t>
  </si>
  <si>
    <t>Annual CF</t>
  </si>
  <si>
    <t>Cash Flow look up</t>
  </si>
  <si>
    <t>Annual Principle Payment</t>
  </si>
  <si>
    <t>Annual Interest Payment</t>
  </si>
  <si>
    <t>PR Year</t>
  </si>
  <si>
    <t>Principal Recapture look up</t>
  </si>
  <si>
    <t>4 Ways To Win</t>
  </si>
  <si>
    <t>Break even selling price</t>
  </si>
  <si>
    <t>Rate</t>
  </si>
  <si>
    <t>Passive appreciation look up</t>
  </si>
  <si>
    <t>Cash Flow Break even ratio</t>
  </si>
  <si>
    <t>Payback time</t>
  </si>
  <si>
    <t>Years</t>
  </si>
  <si>
    <t>Back</t>
  </si>
  <si>
    <t>Commercial</t>
  </si>
  <si>
    <t>0.85% instead of 0.6%</t>
  </si>
  <si>
    <t>If the student rental or share house, (main suite will be room rental $) then put the number of the room, otherwise put 1.</t>
  </si>
  <si>
    <t>Value based on Rental Revenue</t>
  </si>
  <si>
    <t>Value/Listing Price</t>
  </si>
  <si>
    <t>Rental Needed from Listing Price</t>
  </si>
  <si>
    <t>Realistic Chargeable Rent</t>
  </si>
  <si>
    <t>property tax rate</t>
  </si>
  <si>
    <t>Purchase city</t>
  </si>
  <si>
    <t>surrey</t>
  </si>
  <si>
    <t>3601 13308 Central Avenue, Surrey</t>
  </si>
  <si>
    <t>From the 0.85% rule</t>
  </si>
  <si>
    <t>60%-80% prefer, Over 100% means your cost exceeds your revenue</t>
  </si>
  <si>
    <t xml:space="preserve">This is the rental revenue sufficient to cover your costs, and you will get cashflow. </t>
  </si>
  <si>
    <t>Market rental in area or actual rental charging now.</t>
  </si>
  <si>
    <t>Purchase Price fromDesired Cap Rate</t>
  </si>
  <si>
    <t>Purchase Price from Desired Cap Rate</t>
  </si>
  <si>
    <t xml:space="preserve">Input Desired Cap Rate. Click here to jump to inset cell. </t>
  </si>
  <si>
    <t>ROI Details (4 ways to win)</t>
  </si>
  <si>
    <t>Capital Budgeting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</si>
</sst>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[$$-1009]#,##0.00"/>
    <numFmt numFmtId="166" formatCode="&quot;$&quot;#,##0.00;[Red]&quot;$&quot;#,##0.00"/>
    <numFmt numFmtId="167" formatCode="&quot;$&quot;#,##0.00"/>
    <numFmt numFmtId="168" formatCode="yyyy"/>
    <numFmt numFmtId="169" formatCode="[$-1009]mmmm\ d\,\ yyyy;@"/>
    <numFmt numFmtId="170" formatCode="0.000"/>
    <numFmt numFmtId="171" formatCode="0.0"/>
    <numFmt numFmtId="172" formatCode="0.000000%"/>
  </numFmts>
  <fonts count="136" x14ac:knownFonts="1">
    <font>
      <sz val="11"/>
      <color theme="1"/>
      <name val="Baskerville Old Face"/>
      <family val="2"/>
      <scheme val="minor"/>
    </font>
    <font>
      <sz val="11"/>
      <color theme="1"/>
      <name val="Baskerville Old Face"/>
      <family val="2"/>
      <scheme val="minor"/>
    </font>
    <font>
      <b/>
      <sz val="11"/>
      <color theme="1"/>
      <name val="Baskerville Old Face"/>
      <family val="2"/>
      <scheme val="minor"/>
    </font>
    <font>
      <u/>
      <sz val="11"/>
      <color theme="10"/>
      <name val="Baskerville Old Face"/>
      <family val="2"/>
      <scheme val="minor"/>
    </font>
    <font>
      <u/>
      <sz val="11"/>
      <color theme="1"/>
      <name val="Baskerville Old Face"/>
      <family val="2"/>
      <scheme val="minor"/>
    </font>
    <font>
      <b/>
      <u/>
      <sz val="11"/>
      <color theme="1"/>
      <name val="Baskerville Old Face"/>
      <family val="2"/>
      <scheme val="minor"/>
    </font>
    <font>
      <sz val="11"/>
      <color rgb="FF000000"/>
      <name val="Baskerville Old Face"/>
      <family val="2"/>
      <scheme val="minor"/>
    </font>
    <font>
      <b/>
      <u/>
      <sz val="18"/>
      <color theme="5" tint="-0.499984740745262"/>
      <name val="Baskerville Old Face"/>
      <family val="2"/>
      <scheme val="minor"/>
    </font>
    <font>
      <b/>
      <sz val="12"/>
      <color theme="1" tint="0.34998626667073579"/>
      <name val="Baskerville Old Face"/>
      <family val="2"/>
      <scheme val="minor"/>
    </font>
    <font>
      <b/>
      <sz val="12"/>
      <color theme="1"/>
      <name val="Baskerville Old Face"/>
      <family val="2"/>
      <scheme val="minor"/>
    </font>
    <font>
      <sz val="12"/>
      <color theme="1"/>
      <name val="Baskerville Old Face"/>
      <family val="2"/>
      <scheme val="minor"/>
    </font>
    <font>
      <u/>
      <sz val="11"/>
      <color rgb="FF000000"/>
      <name val="Baskerville Old Face"/>
      <family val="2"/>
      <scheme val="minor"/>
    </font>
    <font>
      <sz val="11"/>
      <color theme="1" tint="0.34998626667073579"/>
      <name val="Baskerville Old Face"/>
      <family val="2"/>
      <scheme val="minor"/>
    </font>
    <font>
      <b/>
      <sz val="11"/>
      <color rgb="FFFF0000"/>
      <name val="Baskerville Old Face"/>
      <family val="2"/>
      <scheme val="minor"/>
    </font>
    <font>
      <b/>
      <sz val="12"/>
      <color theme="7" tint="0.79998168889431442"/>
      <name val="Baskerville Old Face"/>
      <family val="2"/>
      <scheme val="minor"/>
    </font>
    <font>
      <sz val="11"/>
      <color theme="7" tint="0.79998168889431442"/>
      <name val="Baskerville Old Face"/>
      <family val="2"/>
      <scheme val="minor"/>
    </font>
    <font>
      <b/>
      <sz val="14"/>
      <color rgb="FF000000"/>
      <name val="Baskerville Old Face"/>
      <family val="2"/>
      <scheme val="minor"/>
    </font>
    <font>
      <b/>
      <sz val="12"/>
      <color theme="8" tint="-0.249977111117893"/>
      <name val="Baskerville Old Face"/>
      <family val="2"/>
      <scheme val="minor"/>
    </font>
    <font>
      <sz val="11"/>
      <color theme="8" tint="-0.249977111117893"/>
      <name val="Baskerville Old Face"/>
      <family val="2"/>
      <scheme val="minor"/>
    </font>
    <font>
      <b/>
      <u/>
      <sz val="12"/>
      <color theme="5" tint="0.79998168889431442"/>
      <name val="Baskerville Old Face"/>
      <family val="2"/>
      <scheme val="minor"/>
    </font>
    <font>
      <b/>
      <sz val="12"/>
      <color theme="5" tint="-0.499984740745262"/>
      <name val="Baskerville Old Face"/>
      <family val="2"/>
      <scheme val="minor"/>
    </font>
    <font>
      <sz val="11"/>
      <color theme="5" tint="-0.499984740745262"/>
      <name val="Baskerville Old Face"/>
      <family val="2"/>
      <scheme val="minor"/>
    </font>
    <font>
      <u/>
      <sz val="11"/>
      <color theme="5" tint="-0.499984740745262"/>
      <name val="Baskerville Old Face"/>
      <family val="2"/>
      <scheme val="minor"/>
    </font>
    <font>
      <b/>
      <u/>
      <sz val="14"/>
      <color rgb="FF000000"/>
      <name val="Baskerville Old Face"/>
      <family val="2"/>
      <scheme val="minor"/>
    </font>
    <font>
      <sz val="11"/>
      <color rgb="FF002060"/>
      <name val="Baskerville Old Face"/>
      <family val="2"/>
      <scheme val="minor"/>
    </font>
    <font>
      <b/>
      <sz val="12"/>
      <color rgb="FF002060"/>
      <name val="Baskerville Old Face"/>
      <family val="2"/>
      <scheme val="minor"/>
    </font>
    <font>
      <b/>
      <u/>
      <sz val="16"/>
      <color rgb="FF000000"/>
      <name val="Baskerville Old Face"/>
      <family val="2"/>
      <scheme val="minor"/>
    </font>
    <font>
      <u/>
      <sz val="11"/>
      <color theme="4" tint="-0.499984740745262"/>
      <name val="Baskerville Old Face"/>
      <family val="2"/>
      <scheme val="minor"/>
    </font>
    <font>
      <sz val="11"/>
      <color theme="4" tint="-0.499984740745262"/>
      <name val="Baskerville Old Face"/>
      <family val="2"/>
      <scheme val="minor"/>
    </font>
    <font>
      <b/>
      <u/>
      <sz val="11"/>
      <color rgb="FF000000"/>
      <name val="Baskerville Old Face"/>
      <family val="2"/>
      <scheme val="minor"/>
    </font>
    <font>
      <b/>
      <u/>
      <sz val="16"/>
      <color theme="8" tint="-0.249977111117893"/>
      <name val="Baskerville Old Face"/>
      <family val="2"/>
      <scheme val="minor"/>
    </font>
    <font>
      <u/>
      <sz val="11"/>
      <color theme="2" tint="-0.749992370372631"/>
      <name val="Baskerville Old Face"/>
      <family val="2"/>
      <scheme val="minor"/>
    </font>
    <font>
      <sz val="11"/>
      <color theme="2" tint="-0.749992370372631"/>
      <name val="Baskerville Old Face"/>
      <family val="2"/>
      <scheme val="minor"/>
    </font>
    <font>
      <b/>
      <u/>
      <sz val="11"/>
      <color theme="2" tint="-0.749992370372631"/>
      <name val="Baskerville Old Face"/>
      <family val="2"/>
      <scheme val="minor"/>
    </font>
    <font>
      <b/>
      <u/>
      <sz val="14"/>
      <color theme="7" tint="-0.499984740745262"/>
      <name val="Baskerville Old Face"/>
      <family val="2"/>
      <scheme val="minor"/>
    </font>
    <font>
      <b/>
      <sz val="12"/>
      <color theme="7" tint="-0.499984740745262"/>
      <name val="Baskerville Old Face"/>
      <family val="2"/>
      <scheme val="minor"/>
    </font>
    <font>
      <sz val="11"/>
      <color theme="7" tint="-0.499984740745262"/>
      <name val="Baskerville Old Face"/>
      <family val="2"/>
      <scheme val="minor"/>
    </font>
    <font>
      <b/>
      <u/>
      <sz val="14"/>
      <color theme="4" tint="-0.499984740745262"/>
      <name val="Baskerville Old Face"/>
      <family val="2"/>
      <scheme val="minor"/>
    </font>
    <font>
      <b/>
      <sz val="12"/>
      <color theme="4" tint="-0.499984740745262"/>
      <name val="Baskerville Old Face"/>
      <family val="2"/>
      <scheme val="minor"/>
    </font>
    <font>
      <b/>
      <u/>
      <sz val="20"/>
      <color theme="1"/>
      <name val="Baskerville Old Face"/>
      <family val="2"/>
      <scheme val="minor"/>
    </font>
    <font>
      <sz val="12"/>
      <color rgb="FF000000"/>
      <name val="Baskerville Old Face"/>
      <family val="2"/>
      <scheme val="minor"/>
    </font>
    <font>
      <b/>
      <sz val="12"/>
      <color rgb="FF000000"/>
      <name val="Baskerville Old Face"/>
      <family val="2"/>
      <scheme val="minor"/>
    </font>
    <font>
      <b/>
      <u/>
      <sz val="12"/>
      <color rgb="FF000000"/>
      <name val="Baskerville Old Face"/>
      <family val="2"/>
      <scheme val="minor"/>
    </font>
    <font>
      <b/>
      <sz val="12"/>
      <color rgb="FFFF0000"/>
      <name val="Baskerville Old Face"/>
      <family val="2"/>
      <scheme val="minor"/>
    </font>
    <font>
      <b/>
      <u/>
      <sz val="16"/>
      <color theme="1"/>
      <name val="Baskerville Old Face"/>
      <family val="2"/>
      <scheme val="minor"/>
    </font>
    <font>
      <sz val="12"/>
      <color rgb="FFFF0000"/>
      <name val="Baskerville Old Face"/>
      <family val="2"/>
      <scheme val="minor"/>
    </font>
    <font>
      <b/>
      <u/>
      <sz val="14"/>
      <color theme="1"/>
      <name val="Baskerville Old Face"/>
      <family val="2"/>
      <scheme val="minor"/>
    </font>
    <font>
      <sz val="12"/>
      <color theme="5" tint="-0.499984740745262"/>
      <name val="Baskerville Old Face"/>
      <family val="2"/>
      <scheme val="minor"/>
    </font>
    <font>
      <b/>
      <sz val="12"/>
      <color rgb="FF0070C0"/>
      <name val="Baskerville Old Face"/>
      <family val="2"/>
      <scheme val="minor"/>
    </font>
    <font>
      <sz val="12"/>
      <color rgb="FF0070C0"/>
      <name val="Baskerville Old Face"/>
      <family val="2"/>
      <scheme val="minor"/>
    </font>
    <font>
      <sz val="11"/>
      <color rgb="FF0070C0"/>
      <name val="Baskerville Old Face"/>
      <family val="2"/>
      <scheme val="minor"/>
    </font>
    <font>
      <b/>
      <sz val="12"/>
      <color theme="5" tint="0.79998168889431442"/>
      <name val="Baskerville Old Face"/>
      <family val="2"/>
      <scheme val="minor"/>
    </font>
    <font>
      <sz val="11"/>
      <color theme="5" tint="0.79998168889431442"/>
      <name val="Baskerville Old Face"/>
      <family val="2"/>
      <scheme val="minor"/>
    </font>
    <font>
      <sz val="12"/>
      <color theme="5" tint="0.79998168889431442"/>
      <name val="Baskerville Old Face"/>
      <family val="2"/>
      <scheme val="minor"/>
    </font>
    <font>
      <b/>
      <u/>
      <sz val="14"/>
      <color rgb="FF00B050"/>
      <name val="Baskerville Old Face"/>
      <family val="2"/>
      <scheme val="minor"/>
    </font>
    <font>
      <b/>
      <sz val="12"/>
      <color rgb="FF00B050"/>
      <name val="Baskerville Old Face"/>
      <family val="2"/>
      <scheme val="minor"/>
    </font>
    <font>
      <sz val="11"/>
      <color rgb="FF00B050"/>
      <name val="Baskerville Old Face"/>
      <family val="2"/>
      <scheme val="minor"/>
    </font>
    <font>
      <sz val="11"/>
      <color theme="9" tint="-0.499984740745262"/>
      <name val="Baskerville Old Face"/>
      <family val="2"/>
      <scheme val="minor"/>
    </font>
    <font>
      <sz val="11"/>
      <color rgb="FFC00000"/>
      <name val="Baskerville Old Face"/>
      <family val="2"/>
      <scheme val="minor"/>
    </font>
    <font>
      <sz val="11"/>
      <color theme="8" tint="0.79998168889431442"/>
      <name val="Baskerville Old Face"/>
      <family val="2"/>
      <scheme val="minor"/>
    </font>
    <font>
      <b/>
      <sz val="12"/>
      <color theme="9" tint="-0.499984740745262"/>
      <name val="Baskerville Old Face"/>
      <family val="2"/>
      <scheme val="minor"/>
    </font>
    <font>
      <sz val="12"/>
      <color theme="9" tint="-0.499984740745262"/>
      <name val="Baskerville Old Face"/>
      <family val="2"/>
      <scheme val="minor"/>
    </font>
    <font>
      <b/>
      <sz val="12"/>
      <color rgb="FFC00000"/>
      <name val="Baskerville Old Face"/>
      <family val="2"/>
      <scheme val="minor"/>
    </font>
    <font>
      <b/>
      <sz val="12"/>
      <color theme="8" tint="0.79998168889431442"/>
      <name val="Baskerville Old Face"/>
      <family val="2"/>
      <scheme val="minor"/>
    </font>
    <font>
      <b/>
      <sz val="12"/>
      <color theme="5" tint="-0.249977111117893"/>
      <name val="Baskerville Old Face"/>
      <family val="2"/>
      <scheme val="minor"/>
    </font>
    <font>
      <sz val="11"/>
      <color theme="5" tint="-0.249977111117893"/>
      <name val="Baskerville Old Face"/>
      <family val="2"/>
      <scheme val="minor"/>
    </font>
    <font>
      <b/>
      <sz val="12"/>
      <name val="Baskerville Old Face"/>
      <family val="2"/>
      <scheme val="minor"/>
    </font>
    <font>
      <sz val="12"/>
      <name val="Baskerville Old Face"/>
      <family val="2"/>
      <scheme val="minor"/>
    </font>
    <font>
      <b/>
      <sz val="11"/>
      <color theme="7" tint="0.79998168889431442"/>
      <name val="Baskerville Old Face"/>
      <family val="2"/>
      <scheme val="minor"/>
    </font>
    <font>
      <b/>
      <u/>
      <sz val="16"/>
      <color theme="2" tint="-0.749992370372631"/>
      <name val="Baskerville Old Face"/>
      <family val="2"/>
      <scheme val="minor"/>
    </font>
    <font>
      <b/>
      <u/>
      <sz val="18"/>
      <color rgb="FF000000"/>
      <name val="Baskerville Old Face"/>
      <family val="2"/>
      <scheme val="minor"/>
    </font>
    <font>
      <sz val="11"/>
      <color rgb="FFFF0000"/>
      <name val="Baskerville Old Face"/>
      <family val="2"/>
      <scheme val="minor"/>
    </font>
    <font>
      <sz val="12"/>
      <color theme="1" tint="0.34998626667073579"/>
      <name val="Baskerville Old Face"/>
      <family val="2"/>
      <scheme val="minor"/>
    </font>
    <font>
      <b/>
      <u/>
      <sz val="14"/>
      <name val="Baskerville Old Face"/>
      <family val="2"/>
      <scheme val="minor"/>
    </font>
    <font>
      <b/>
      <sz val="11"/>
      <color rgb="FFC00000"/>
      <name val="Baskerville Old Face"/>
      <family val="2"/>
      <scheme val="minor"/>
    </font>
    <font>
      <sz val="8"/>
      <name val="Baskerville Old Face"/>
      <family val="2"/>
      <scheme val="minor"/>
    </font>
    <font>
      <b/>
      <u/>
      <sz val="16"/>
      <name val="Baskerville Old Face"/>
      <family val="2"/>
      <scheme val="minor"/>
    </font>
    <font>
      <sz val="11"/>
      <color theme="1"/>
      <name val="Times New Roman"/>
      <family val="1"/>
    </font>
    <font>
      <b/>
      <sz val="11"/>
      <color theme="5" tint="-0.499984740745262"/>
      <name val="Times New Roman"/>
      <family val="1"/>
    </font>
    <font>
      <sz val="11"/>
      <color theme="5" tint="-0.499984740745262"/>
      <name val="Times New Roman"/>
      <family val="1"/>
    </font>
    <font>
      <sz val="11"/>
      <color rgb="FF7030A0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7" tint="0.59999389629810485"/>
      <name val="Times New Roman"/>
      <family val="1"/>
    </font>
    <font>
      <sz val="11"/>
      <color theme="7" tint="0.59999389629810485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2"/>
      <color theme="4" tint="-0.499984740745262"/>
      <name val="Times New Roman"/>
      <family val="1"/>
    </font>
    <font>
      <sz val="11"/>
      <color theme="4" tint="-0.499984740745262"/>
      <name val="Times New Roman"/>
      <family val="1"/>
    </font>
    <font>
      <b/>
      <sz val="12"/>
      <color theme="9" tint="-0.499984740745262"/>
      <name val="Times New Roman"/>
      <family val="1"/>
    </font>
    <font>
      <sz val="11"/>
      <color theme="9" tint="-0.499984740745262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0070C0"/>
      <name val="Times New Roman"/>
      <family val="1"/>
    </font>
    <font>
      <sz val="11"/>
      <color rgb="FF0070C0"/>
      <name val="Times New Roman"/>
      <family val="1"/>
    </font>
    <font>
      <b/>
      <u/>
      <sz val="12"/>
      <color rgb="FFFF0000"/>
      <name val="Times New Roman"/>
      <family val="1"/>
    </font>
    <font>
      <b/>
      <sz val="12"/>
      <color theme="7" tint="0.79998168889431442"/>
      <name val="Times New Roman"/>
      <family val="1"/>
    </font>
    <font>
      <sz val="11"/>
      <color theme="7" tint="0.79998168889431442"/>
      <name val="Times New Roman"/>
      <family val="1"/>
    </font>
    <font>
      <b/>
      <sz val="12"/>
      <color theme="5" tint="-0.499984740745262"/>
      <name val="Times New Roman"/>
      <family val="1"/>
    </font>
    <font>
      <b/>
      <sz val="12"/>
      <color theme="2" tint="-9.9978637043366805E-2"/>
      <name val="Times New Roman"/>
      <family val="1"/>
    </font>
    <font>
      <sz val="11"/>
      <color theme="2" tint="-9.9978637043366805E-2"/>
      <name val="Times New Roman"/>
      <family val="1"/>
    </font>
    <font>
      <b/>
      <sz val="12"/>
      <color rgb="FFC00000"/>
      <name val="Times New Roman"/>
      <family val="1"/>
    </font>
    <font>
      <sz val="11"/>
      <color rgb="FFC00000"/>
      <name val="Times New Roman"/>
      <family val="1"/>
    </font>
    <font>
      <b/>
      <sz val="12"/>
      <color theme="8" tint="0.79998168889431442"/>
      <name val="Times New Roman"/>
      <family val="1"/>
    </font>
    <font>
      <sz val="11"/>
      <color theme="8" tint="0.79998168889431442"/>
      <name val="Times New Roman"/>
      <family val="1"/>
    </font>
    <font>
      <u/>
      <sz val="11"/>
      <color theme="10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Baskerville Old Face"/>
      <family val="2"/>
      <scheme val="minor"/>
    </font>
    <font>
      <b/>
      <sz val="14"/>
      <name val="Baskerville Old Face"/>
      <family val="2"/>
      <scheme val="minor"/>
    </font>
    <font>
      <b/>
      <u/>
      <sz val="12"/>
      <name val="Baskerville Old Face"/>
      <family val="2"/>
      <scheme val="minor"/>
    </font>
    <font>
      <b/>
      <sz val="11"/>
      <name val="Baskerville Old Face"/>
      <family val="2"/>
      <scheme val="minor"/>
    </font>
    <font>
      <b/>
      <sz val="15"/>
      <color theme="3"/>
      <name val="Baskerville Old Face"/>
      <family val="2"/>
      <scheme val="minor"/>
    </font>
    <font>
      <b/>
      <sz val="13"/>
      <color theme="3"/>
      <name val="Baskerville Old Face"/>
      <family val="2"/>
      <scheme val="minor"/>
    </font>
    <font>
      <b/>
      <sz val="11"/>
      <color theme="3"/>
      <name val="Baskerville Old Face"/>
      <family val="2"/>
      <scheme val="minor"/>
    </font>
    <font>
      <b/>
      <sz val="11"/>
      <color theme="0"/>
      <name val="Baskerville Old Face"/>
      <family val="2"/>
      <scheme val="minor"/>
    </font>
    <font>
      <sz val="11"/>
      <color theme="3"/>
      <name val="Baskerville Old Face"/>
      <family val="1"/>
      <scheme val="minor"/>
    </font>
    <font>
      <b/>
      <u/>
      <sz val="16"/>
      <color theme="3" tint="0.89999084444715716"/>
      <name val="Baskerville Old Face"/>
      <family val="2"/>
      <scheme val="minor"/>
    </font>
    <font>
      <b/>
      <sz val="12"/>
      <color theme="3" tint="0.89999084444715716"/>
      <name val="Baskerville Old Face"/>
      <family val="2"/>
      <scheme val="minor"/>
    </font>
    <font>
      <sz val="11"/>
      <color theme="3" tint="0.89999084444715716"/>
      <name val="Baskerville Old Face"/>
      <family val="2"/>
      <scheme val="minor"/>
    </font>
    <font>
      <b/>
      <u/>
      <sz val="16"/>
      <color theme="9" tint="0.79998168889431442"/>
      <name val="Baskerville Old Face"/>
      <family val="2"/>
      <scheme val="minor"/>
    </font>
    <font>
      <b/>
      <sz val="12"/>
      <color theme="9" tint="0.79998168889431442"/>
      <name val="Baskerville Old Face"/>
      <family val="2"/>
      <scheme val="minor"/>
    </font>
    <font>
      <sz val="11"/>
      <color theme="9" tint="0.79998168889431442"/>
      <name val="Baskerville Old Face"/>
      <family val="2"/>
      <scheme val="minor"/>
    </font>
    <font>
      <b/>
      <u/>
      <sz val="18"/>
      <color theme="9" tint="0.79998168889431442"/>
      <name val="Baskerville Old Face"/>
      <family val="2"/>
      <scheme val="minor"/>
    </font>
    <font>
      <b/>
      <sz val="12"/>
      <color theme="4"/>
      <name val="Baskerville Old Face"/>
      <family val="1"/>
      <scheme val="minor"/>
    </font>
    <font>
      <b/>
      <sz val="11"/>
      <color theme="1"/>
      <name val="Baskerville Old Face"/>
      <family val="1"/>
      <scheme val="minor"/>
    </font>
    <font>
      <b/>
      <sz val="12"/>
      <color theme="1"/>
      <name val="Baskerville Old Face"/>
      <family val="1"/>
      <scheme val="minor"/>
    </font>
    <font>
      <b/>
      <sz val="12"/>
      <color theme="7"/>
      <name val="Baskerville Old Face"/>
      <family val="1"/>
      <scheme val="minor"/>
    </font>
    <font>
      <b/>
      <sz val="12"/>
      <color theme="4" tint="-0.499984740745262"/>
      <name val="Baskerville Old Face"/>
      <family val="1"/>
      <scheme val="minor"/>
    </font>
    <font>
      <b/>
      <u/>
      <sz val="12"/>
      <color theme="8" tint="-0.249977111117893"/>
      <name val="Baskerville Old Face"/>
      <family val="1"/>
      <scheme val="minor"/>
    </font>
    <font>
      <b/>
      <sz val="12"/>
      <color theme="6"/>
      <name val="Baskerville Old Face"/>
      <family val="1"/>
      <scheme val="minor"/>
    </font>
    <font>
      <b/>
      <sz val="12"/>
      <color theme="9"/>
      <name val="Baskerville Old Face"/>
      <family val="1"/>
      <scheme val="minor"/>
    </font>
    <font>
      <sz val="11"/>
      <color theme="0" tint="-0.14999847407452621"/>
      <name val="Baskerville Old Face"/>
      <family val="2"/>
      <scheme val="minor"/>
    </font>
    <font>
      <sz val="11"/>
      <name val="Baskerville Old Face"/>
      <family val="1"/>
      <scheme val="minor"/>
    </font>
    <font>
      <b/>
      <sz val="12"/>
      <name val="Baskerville Old Face"/>
      <family val="1"/>
      <scheme val="minor"/>
    </font>
    <font>
      <sz val="11"/>
      <color theme="6" tint="-0.249977111117893"/>
      <name val="Times New Roman"/>
      <family val="1"/>
    </font>
    <font>
      <b/>
      <u/>
      <sz val="11"/>
      <color theme="1"/>
      <name val="Baskerville Old Face"/>
      <family val="1"/>
      <scheme val="minor"/>
    </font>
    <font>
      <sz val="11"/>
      <color theme="9" tint="-0.499984740745262"/>
      <name val="Baskerville Old Face"/>
      <family val="1"/>
      <scheme val="minor"/>
    </font>
    <font>
      <sz val="11"/>
      <color theme="1" tint="0.34998626667073579"/>
      <name val="Baskerville Old Face"/>
      <family val="1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3">
    <border>
      <left/>
      <right/>
      <top/>
      <bottom/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thin">
        <color rgb="FF505050"/>
      </bottom>
      <diagonal/>
    </border>
    <border>
      <left/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/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505050"/>
      </right>
      <top/>
      <bottom/>
      <diagonal/>
    </border>
    <border>
      <left style="thin">
        <color rgb="FF50505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thin">
        <color rgb="FF505050"/>
      </bottom>
      <diagonal/>
    </border>
    <border>
      <left/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/>
      <diagonal/>
    </border>
    <border>
      <left style="thin">
        <color rgb="FF50505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medium">
        <color indexed="64"/>
      </right>
      <top style="medium">
        <color rgb="FF505050"/>
      </top>
      <bottom/>
      <diagonal/>
    </border>
    <border>
      <left style="medium">
        <color indexed="64"/>
      </left>
      <right style="thin">
        <color rgb="FF505050"/>
      </right>
      <top style="medium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indexed="64"/>
      </left>
      <right/>
      <top style="thin">
        <color rgb="FF505050"/>
      </top>
      <bottom/>
      <diagonal/>
    </border>
    <border>
      <left style="thin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medium">
        <color indexed="64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50505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thin">
        <color rgb="FF505050"/>
      </left>
      <right style="medium">
        <color indexed="64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505050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thin">
        <color rgb="FF505050"/>
      </left>
      <right style="medium">
        <color indexed="64"/>
      </right>
      <top style="thin">
        <color indexed="64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505050"/>
      </left>
      <right/>
      <top style="thin">
        <color rgb="FF505050"/>
      </top>
      <bottom style="thin">
        <color rgb="FF505050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09" fillId="0" borderId="106" applyNumberFormat="0" applyFill="0" applyAlignment="0" applyProtection="0"/>
    <xf numFmtId="0" fontId="110" fillId="0" borderId="107" applyNumberFormat="0" applyFill="0" applyAlignment="0" applyProtection="0"/>
    <xf numFmtId="0" fontId="111" fillId="0" borderId="108" applyNumberFormat="0" applyFill="0" applyAlignment="0" applyProtection="0"/>
    <xf numFmtId="0" fontId="112" fillId="43" borderId="109" applyNumberFormat="0" applyAlignment="0" applyProtection="0"/>
  </cellStyleXfs>
  <cellXfs count="1004">
    <xf numFmtId="0" fontId="0" fillId="0" borderId="0" xfId="0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6" fillId="3" borderId="0" xfId="0" applyFont="1" applyFill="1" applyAlignment="1">
      <alignment wrapText="1"/>
    </xf>
    <xf numFmtId="0" fontId="3" fillId="3" borderId="0" xfId="3" applyFill="1"/>
    <xf numFmtId="0" fontId="9" fillId="3" borderId="0" xfId="3" applyFont="1" applyFill="1"/>
    <xf numFmtId="0" fontId="10" fillId="3" borderId="0" xfId="3" applyFont="1" applyFill="1"/>
    <xf numFmtId="0" fontId="11" fillId="3" borderId="0" xfId="0" applyFont="1" applyFill="1"/>
    <xf numFmtId="164" fontId="12" fillId="6" borderId="4" xfId="0" applyNumberFormat="1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164" fontId="13" fillId="6" borderId="6" xfId="0" applyNumberFormat="1" applyFont="1" applyFill="1" applyBorder="1" applyAlignment="1">
      <alignment vertical="center" wrapText="1"/>
    </xf>
    <xf numFmtId="165" fontId="18" fillId="8" borderId="6" xfId="0" applyNumberFormat="1" applyFont="1" applyFill="1" applyBorder="1" applyAlignment="1">
      <alignment vertical="center"/>
    </xf>
    <xf numFmtId="164" fontId="21" fillId="10" borderId="17" xfId="0" applyNumberFormat="1" applyFont="1" applyFill="1" applyBorder="1" applyAlignment="1">
      <alignment wrapText="1"/>
    </xf>
    <xf numFmtId="164" fontId="21" fillId="10" borderId="18" xfId="0" applyNumberFormat="1" applyFont="1" applyFill="1" applyBorder="1" applyAlignment="1">
      <alignment wrapText="1"/>
    </xf>
    <xf numFmtId="164" fontId="0" fillId="3" borderId="0" xfId="0" applyNumberFormat="1" applyFill="1"/>
    <xf numFmtId="164" fontId="21" fillId="10" borderId="15" xfId="0" applyNumberFormat="1" applyFont="1" applyFill="1" applyBorder="1" applyAlignment="1">
      <alignment wrapText="1"/>
    </xf>
    <xf numFmtId="166" fontId="21" fillId="11" borderId="20" xfId="0" applyNumberFormat="1" applyFont="1" applyFill="1" applyBorder="1" applyAlignment="1">
      <alignment wrapText="1"/>
    </xf>
    <xf numFmtId="164" fontId="21" fillId="10" borderId="22" xfId="0" applyNumberFormat="1" applyFont="1" applyFill="1" applyBorder="1" applyAlignment="1">
      <alignment wrapText="1"/>
    </xf>
    <xf numFmtId="164" fontId="21" fillId="10" borderId="24" xfId="0" applyNumberFormat="1" applyFont="1" applyFill="1" applyBorder="1" applyAlignment="1">
      <alignment wrapText="1"/>
    </xf>
    <xf numFmtId="0" fontId="24" fillId="12" borderId="25" xfId="0" applyFont="1" applyFill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6" fillId="3" borderId="0" xfId="0" applyFont="1" applyFill="1"/>
    <xf numFmtId="0" fontId="27" fillId="3" borderId="0" xfId="0" applyFont="1" applyFill="1"/>
    <xf numFmtId="0" fontId="28" fillId="3" borderId="0" xfId="0" applyFont="1" applyFill="1" applyAlignment="1">
      <alignment wrapText="1"/>
    </xf>
    <xf numFmtId="0" fontId="28" fillId="3" borderId="0" xfId="0" applyFont="1" applyFill="1"/>
    <xf numFmtId="165" fontId="28" fillId="3" borderId="0" xfId="0" applyNumberFormat="1" applyFont="1" applyFill="1" applyAlignment="1">
      <alignment wrapText="1"/>
    </xf>
    <xf numFmtId="164" fontId="28" fillId="3" borderId="0" xfId="0" applyNumberFormat="1" applyFont="1" applyFill="1" applyAlignment="1">
      <alignment wrapText="1"/>
    </xf>
    <xf numFmtId="165" fontId="28" fillId="3" borderId="0" xfId="0" applyNumberFormat="1" applyFont="1" applyFill="1"/>
    <xf numFmtId="0" fontId="27" fillId="3" borderId="0" xfId="0" applyFont="1" applyFill="1" applyAlignment="1">
      <alignment vertical="center"/>
    </xf>
    <xf numFmtId="0" fontId="28" fillId="3" borderId="0" xfId="0" applyFont="1" applyFill="1" applyAlignment="1">
      <alignment vertical="center" wrapText="1"/>
    </xf>
    <xf numFmtId="0" fontId="2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9" fillId="15" borderId="0" xfId="0" applyFont="1" applyFill="1" applyAlignment="1">
      <alignment wrapText="1"/>
    </xf>
    <xf numFmtId="0" fontId="31" fillId="3" borderId="0" xfId="0" applyFont="1" applyFill="1"/>
    <xf numFmtId="0" fontId="32" fillId="3" borderId="0" xfId="0" applyFont="1" applyFill="1" applyAlignment="1">
      <alignment wrapText="1"/>
    </xf>
    <xf numFmtId="0" fontId="32" fillId="3" borderId="0" xfId="0" applyFont="1" applyFill="1"/>
    <xf numFmtId="165" fontId="32" fillId="3" borderId="0" xfId="0" applyNumberFormat="1" applyFont="1" applyFill="1" applyAlignment="1">
      <alignment wrapText="1"/>
    </xf>
    <xf numFmtId="164" fontId="32" fillId="3" borderId="0" xfId="0" applyNumberFormat="1" applyFont="1" applyFill="1" applyAlignment="1">
      <alignment wrapText="1"/>
    </xf>
    <xf numFmtId="0" fontId="31" fillId="3" borderId="0" xfId="0" applyFont="1" applyFill="1" applyAlignment="1">
      <alignment vertical="center"/>
    </xf>
    <xf numFmtId="0" fontId="32" fillId="3" borderId="0" xfId="0" applyFont="1" applyFill="1" applyAlignment="1">
      <alignment vertical="center" wrapText="1"/>
    </xf>
    <xf numFmtId="165" fontId="36" fillId="18" borderId="15" xfId="0" applyNumberFormat="1" applyFont="1" applyFill="1" applyBorder="1"/>
    <xf numFmtId="164" fontId="36" fillId="18" borderId="13" xfId="0" applyNumberFormat="1" applyFont="1" applyFill="1" applyBorder="1"/>
    <xf numFmtId="164" fontId="36" fillId="18" borderId="24" xfId="0" applyNumberFormat="1" applyFont="1" applyFill="1" applyBorder="1"/>
    <xf numFmtId="165" fontId="36" fillId="18" borderId="31" xfId="0" applyNumberFormat="1" applyFont="1" applyFill="1" applyBorder="1"/>
    <xf numFmtId="165" fontId="36" fillId="18" borderId="20" xfId="0" applyNumberFormat="1" applyFont="1" applyFill="1" applyBorder="1"/>
    <xf numFmtId="165" fontId="36" fillId="18" borderId="33" xfId="0" applyNumberFormat="1" applyFont="1" applyFill="1" applyBorder="1"/>
    <xf numFmtId="8" fontId="28" fillId="19" borderId="20" xfId="0" applyNumberFormat="1" applyFont="1" applyFill="1" applyBorder="1"/>
    <xf numFmtId="8" fontId="28" fillId="19" borderId="33" xfId="0" applyNumberFormat="1" applyFont="1" applyFill="1" applyBorder="1"/>
    <xf numFmtId="8" fontId="28" fillId="19" borderId="37" xfId="0" applyNumberFormat="1" applyFont="1" applyFill="1" applyBorder="1"/>
    <xf numFmtId="0" fontId="9" fillId="20" borderId="38" xfId="0" applyFont="1" applyFill="1" applyBorder="1" applyAlignment="1">
      <alignment horizontal="center" vertical="center"/>
    </xf>
    <xf numFmtId="165" fontId="40" fillId="21" borderId="39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center" vertical="center"/>
    </xf>
    <xf numFmtId="0" fontId="41" fillId="16" borderId="14" xfId="0" applyFont="1" applyFill="1" applyBorder="1" applyAlignment="1">
      <alignment vertical="center"/>
    </xf>
    <xf numFmtId="165" fontId="6" fillId="16" borderId="15" xfId="0" applyNumberFormat="1" applyFont="1" applyFill="1" applyBorder="1" applyAlignment="1">
      <alignment wrapText="1"/>
    </xf>
    <xf numFmtId="0" fontId="41" fillId="12" borderId="14" xfId="0" applyFont="1" applyFill="1" applyBorder="1" applyAlignment="1">
      <alignment horizontal="center" vertical="center" wrapText="1"/>
    </xf>
    <xf numFmtId="0" fontId="41" fillId="12" borderId="12" xfId="0" applyFont="1" applyFill="1" applyBorder="1" applyAlignment="1">
      <alignment horizontal="center" vertical="center" wrapText="1"/>
    </xf>
    <xf numFmtId="0" fontId="9" fillId="16" borderId="14" xfId="0" applyFont="1" applyFill="1" applyBorder="1" applyAlignment="1">
      <alignment vertical="center"/>
    </xf>
    <xf numFmtId="10" fontId="40" fillId="12" borderId="13" xfId="0" applyNumberFormat="1" applyFont="1" applyFill="1" applyBorder="1" applyAlignment="1">
      <alignment wrapText="1"/>
    </xf>
    <xf numFmtId="0" fontId="9" fillId="16" borderId="23" xfId="0" applyFont="1" applyFill="1" applyBorder="1" applyAlignment="1">
      <alignment vertical="center"/>
    </xf>
    <xf numFmtId="165" fontId="0" fillId="16" borderId="24" xfId="0" applyNumberFormat="1" applyFill="1" applyBorder="1" applyAlignment="1">
      <alignment vertical="center"/>
    </xf>
    <xf numFmtId="164" fontId="40" fillId="12" borderId="15" xfId="0" applyNumberFormat="1" applyFont="1" applyFill="1" applyBorder="1" applyAlignment="1">
      <alignment vertical="center" wrapText="1"/>
    </xf>
    <xf numFmtId="164" fontId="40" fillId="12" borderId="15" xfId="0" applyNumberFormat="1" applyFont="1" applyFill="1" applyBorder="1" applyAlignment="1">
      <alignment wrapText="1"/>
    </xf>
    <xf numFmtId="0" fontId="41" fillId="12" borderId="23" xfId="0" applyFont="1" applyFill="1" applyBorder="1" applyAlignment="1">
      <alignment horizontal="center" vertical="center" wrapText="1"/>
    </xf>
    <xf numFmtId="164" fontId="40" fillId="12" borderId="24" xfId="0" applyNumberFormat="1" applyFont="1" applyFill="1" applyBorder="1" applyAlignment="1">
      <alignment wrapText="1"/>
    </xf>
    <xf numFmtId="165" fontId="0" fillId="24" borderId="15" xfId="0" applyNumberFormat="1" applyFill="1" applyBorder="1" applyAlignment="1">
      <alignment vertical="center" wrapText="1"/>
    </xf>
    <xf numFmtId="164" fontId="40" fillId="6" borderId="43" xfId="0" applyNumberFormat="1" applyFont="1" applyFill="1" applyBorder="1" applyAlignment="1">
      <alignment vertical="center" wrapText="1"/>
    </xf>
    <xf numFmtId="0" fontId="41" fillId="23" borderId="16" xfId="0" applyFont="1" applyFill="1" applyBorder="1" applyAlignment="1">
      <alignment vertical="center" wrapText="1"/>
    </xf>
    <xf numFmtId="164" fontId="6" fillId="23" borderId="17" xfId="0" applyNumberFormat="1" applyFont="1" applyFill="1" applyBorder="1" applyAlignment="1">
      <alignment vertical="center" wrapText="1"/>
    </xf>
    <xf numFmtId="0" fontId="41" fillId="6" borderId="14" xfId="0" applyFont="1" applyFill="1" applyBorder="1" applyAlignment="1">
      <alignment horizontal="center" vertical="center" wrapText="1"/>
    </xf>
    <xf numFmtId="0" fontId="41" fillId="23" borderId="12" xfId="0" applyFont="1" applyFill="1" applyBorder="1" applyAlignment="1">
      <alignment vertical="center" wrapText="1"/>
    </xf>
    <xf numFmtId="164" fontId="6" fillId="23" borderId="15" xfId="0" applyNumberFormat="1" applyFont="1" applyFill="1" applyBorder="1" applyAlignment="1">
      <alignment vertical="center" wrapText="1"/>
    </xf>
    <xf numFmtId="164" fontId="40" fillId="6" borderId="15" xfId="0" applyNumberFormat="1" applyFont="1" applyFill="1" applyBorder="1" applyAlignment="1">
      <alignment vertical="center" wrapText="1"/>
    </xf>
    <xf numFmtId="164" fontId="6" fillId="23" borderId="18" xfId="0" applyNumberFormat="1" applyFont="1" applyFill="1" applyBorder="1" applyAlignment="1">
      <alignment vertical="center" wrapText="1"/>
    </xf>
    <xf numFmtId="0" fontId="6" fillId="25" borderId="0" xfId="0" applyFont="1" applyFill="1" applyAlignment="1">
      <alignment wrapText="1"/>
    </xf>
    <xf numFmtId="164" fontId="6" fillId="23" borderId="15" xfId="0" applyNumberFormat="1" applyFont="1" applyFill="1" applyBorder="1" applyAlignment="1">
      <alignment wrapText="1"/>
    </xf>
    <xf numFmtId="0" fontId="0" fillId="2" borderId="0" xfId="0" applyFill="1" applyAlignment="1">
      <alignment vertical="center"/>
    </xf>
    <xf numFmtId="0" fontId="41" fillId="23" borderId="14" xfId="0" applyFont="1" applyFill="1" applyBorder="1" applyAlignment="1">
      <alignment wrapText="1"/>
    </xf>
    <xf numFmtId="0" fontId="6" fillId="2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41" fillId="23" borderId="19" xfId="0" applyFont="1" applyFill="1" applyBorder="1" applyAlignment="1">
      <alignment wrapText="1"/>
    </xf>
    <xf numFmtId="164" fontId="6" fillId="23" borderId="20" xfId="0" applyNumberFormat="1" applyFont="1" applyFill="1" applyBorder="1" applyAlignment="1">
      <alignment wrapText="1"/>
    </xf>
    <xf numFmtId="0" fontId="9" fillId="24" borderId="19" xfId="0" applyFont="1" applyFill="1" applyBorder="1" applyAlignment="1">
      <alignment wrapText="1"/>
    </xf>
    <xf numFmtId="166" fontId="0" fillId="24" borderId="20" xfId="0" applyNumberFormat="1" applyFill="1" applyBorder="1" applyAlignment="1">
      <alignment wrapText="1"/>
    </xf>
    <xf numFmtId="0" fontId="41" fillId="23" borderId="21" xfId="0" applyFont="1" applyFill="1" applyBorder="1" applyAlignment="1">
      <alignment wrapText="1"/>
    </xf>
    <xf numFmtId="164" fontId="6" fillId="23" borderId="22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41" fillId="23" borderId="23" xfId="0" applyFont="1" applyFill="1" applyBorder="1" applyAlignment="1">
      <alignment wrapText="1"/>
    </xf>
    <xf numFmtId="164" fontId="6" fillId="23" borderId="24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wrapText="1"/>
    </xf>
    <xf numFmtId="164" fontId="0" fillId="2" borderId="0" xfId="0" applyNumberFormat="1" applyFill="1"/>
    <xf numFmtId="0" fontId="9" fillId="4" borderId="23" xfId="0" applyFont="1" applyFill="1" applyBorder="1" applyAlignment="1">
      <alignment horizontal="center" vertical="center"/>
    </xf>
    <xf numFmtId="164" fontId="10" fillId="4" borderId="24" xfId="0" applyNumberFormat="1" applyFont="1" applyFill="1" applyBorder="1" applyAlignment="1">
      <alignment vertical="center"/>
    </xf>
    <xf numFmtId="0" fontId="41" fillId="26" borderId="42" xfId="0" applyFont="1" applyFill="1" applyBorder="1" applyAlignment="1">
      <alignment horizontal="center" vertical="center" wrapText="1"/>
    </xf>
    <xf numFmtId="164" fontId="40" fillId="26" borderId="43" xfId="0" applyNumberFormat="1" applyFont="1" applyFill="1" applyBorder="1" applyAlignment="1">
      <alignment wrapText="1"/>
    </xf>
    <xf numFmtId="0" fontId="41" fillId="26" borderId="12" xfId="0" applyFont="1" applyFill="1" applyBorder="1" applyAlignment="1">
      <alignment horizontal="center" vertical="center" wrapText="1"/>
    </xf>
    <xf numFmtId="164" fontId="40" fillId="26" borderId="13" xfId="0" applyNumberFormat="1" applyFont="1" applyFill="1" applyBorder="1" applyAlignment="1">
      <alignment wrapText="1"/>
    </xf>
    <xf numFmtId="0" fontId="9" fillId="19" borderId="14" xfId="0" applyFont="1" applyFill="1" applyBorder="1" applyAlignment="1">
      <alignment horizontal="center" vertical="center"/>
    </xf>
    <xf numFmtId="0" fontId="41" fillId="26" borderId="21" xfId="0" applyFont="1" applyFill="1" applyBorder="1" applyAlignment="1">
      <alignment horizontal="center" vertical="center" wrapText="1"/>
    </xf>
    <xf numFmtId="164" fontId="40" fillId="26" borderId="22" xfId="0" applyNumberFormat="1" applyFont="1" applyFill="1" applyBorder="1" applyAlignment="1">
      <alignment wrapText="1"/>
    </xf>
    <xf numFmtId="164" fontId="40" fillId="26" borderId="24" xfId="0" applyNumberFormat="1" applyFont="1" applyFill="1" applyBorder="1" applyAlignment="1">
      <alignment wrapText="1"/>
    </xf>
    <xf numFmtId="0" fontId="41" fillId="28" borderId="42" xfId="0" applyFont="1" applyFill="1" applyBorder="1" applyAlignment="1">
      <alignment horizontal="center" vertical="center" wrapText="1"/>
    </xf>
    <xf numFmtId="164" fontId="40" fillId="28" borderId="43" xfId="0" applyNumberFormat="1" applyFont="1" applyFill="1" applyBorder="1" applyAlignment="1">
      <alignment wrapText="1"/>
    </xf>
    <xf numFmtId="0" fontId="41" fillId="28" borderId="23" xfId="0" applyFont="1" applyFill="1" applyBorder="1" applyAlignment="1">
      <alignment horizontal="center" vertical="center" wrapText="1"/>
    </xf>
    <xf numFmtId="164" fontId="40" fillId="28" borderId="24" xfId="0" applyNumberFormat="1" applyFont="1" applyFill="1" applyBorder="1" applyAlignment="1">
      <alignment wrapText="1"/>
    </xf>
    <xf numFmtId="0" fontId="41" fillId="29" borderId="42" xfId="0" applyFont="1" applyFill="1" applyBorder="1" applyAlignment="1">
      <alignment horizontal="center" vertical="center" wrapText="1"/>
    </xf>
    <xf numFmtId="164" fontId="40" fillId="29" borderId="43" xfId="0" applyNumberFormat="1" applyFont="1" applyFill="1" applyBorder="1" applyAlignment="1">
      <alignment wrapText="1"/>
    </xf>
    <xf numFmtId="0" fontId="41" fillId="29" borderId="14" xfId="0" applyFont="1" applyFill="1" applyBorder="1" applyAlignment="1">
      <alignment horizontal="center" vertical="center" wrapText="1"/>
    </xf>
    <xf numFmtId="164" fontId="40" fillId="29" borderId="15" xfId="0" applyNumberFormat="1" applyFont="1" applyFill="1" applyBorder="1" applyAlignment="1">
      <alignment wrapText="1"/>
    </xf>
    <xf numFmtId="0" fontId="41" fillId="29" borderId="12" xfId="0" applyFont="1" applyFill="1" applyBorder="1" applyAlignment="1">
      <alignment horizontal="center" vertical="center" wrapText="1"/>
    </xf>
    <xf numFmtId="164" fontId="40" fillId="29" borderId="13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164" fontId="40" fillId="29" borderId="15" xfId="0" applyNumberFormat="1" applyFont="1" applyFill="1" applyBorder="1" applyAlignment="1">
      <alignment vertical="center" wrapText="1"/>
    </xf>
    <xf numFmtId="0" fontId="41" fillId="29" borderId="23" xfId="0" applyFont="1" applyFill="1" applyBorder="1" applyAlignment="1">
      <alignment horizontal="center" vertical="center" wrapText="1"/>
    </xf>
    <xf numFmtId="0" fontId="43" fillId="27" borderId="46" xfId="0" applyFont="1" applyFill="1" applyBorder="1" applyAlignment="1">
      <alignment horizontal="center" vertical="center" wrapText="1"/>
    </xf>
    <xf numFmtId="0" fontId="41" fillId="27" borderId="48" xfId="0" applyFont="1" applyFill="1" applyBorder="1" applyAlignment="1">
      <alignment horizontal="center" vertical="center" wrapText="1"/>
    </xf>
    <xf numFmtId="164" fontId="40" fillId="27" borderId="49" xfId="0" applyNumberFormat="1" applyFont="1" applyFill="1" applyBorder="1" applyAlignment="1">
      <alignment wrapText="1"/>
    </xf>
    <xf numFmtId="0" fontId="10" fillId="2" borderId="0" xfId="0" applyFont="1" applyFill="1"/>
    <xf numFmtId="0" fontId="9" fillId="30" borderId="40" xfId="0" applyFont="1" applyFill="1" applyBorder="1"/>
    <xf numFmtId="165" fontId="10" fillId="30" borderId="41" xfId="0" applyNumberFormat="1" applyFont="1" applyFill="1" applyBorder="1"/>
    <xf numFmtId="0" fontId="46" fillId="2" borderId="0" xfId="0" applyFont="1" applyFill="1"/>
    <xf numFmtId="0" fontId="20" fillId="19" borderId="50" xfId="0" applyFont="1" applyFill="1" applyBorder="1"/>
    <xf numFmtId="0" fontId="20" fillId="19" borderId="57" xfId="0" applyFont="1" applyFill="1" applyBorder="1"/>
    <xf numFmtId="44" fontId="47" fillId="19" borderId="51" xfId="1" applyFont="1" applyFill="1" applyBorder="1"/>
    <xf numFmtId="0" fontId="21" fillId="19" borderId="19" xfId="0" applyFont="1" applyFill="1" applyBorder="1"/>
    <xf numFmtId="0" fontId="20" fillId="19" borderId="59" xfId="0" applyFont="1" applyFill="1" applyBorder="1"/>
    <xf numFmtId="44" fontId="47" fillId="19" borderId="20" xfId="1" applyFont="1" applyFill="1" applyBorder="1"/>
    <xf numFmtId="44" fontId="0" fillId="2" borderId="0" xfId="0" applyNumberFormat="1" applyFill="1"/>
    <xf numFmtId="10" fontId="0" fillId="2" borderId="0" xfId="2" applyNumberFormat="1" applyFont="1" applyFill="1" applyAlignment="1">
      <alignment horizontal="center" vertical="center"/>
    </xf>
    <xf numFmtId="10" fontId="47" fillId="19" borderId="20" xfId="2" applyNumberFormat="1" applyFont="1" applyFill="1" applyBorder="1"/>
    <xf numFmtId="0" fontId="20" fillId="19" borderId="60" xfId="0" applyFont="1" applyFill="1" applyBorder="1"/>
    <xf numFmtId="0" fontId="50" fillId="33" borderId="19" xfId="0" applyFont="1" applyFill="1" applyBorder="1"/>
    <xf numFmtId="0" fontId="48" fillId="33" borderId="59" xfId="0" applyFont="1" applyFill="1" applyBorder="1"/>
    <xf numFmtId="44" fontId="49" fillId="33" borderId="20" xfId="1" applyFont="1" applyFill="1" applyBorder="1"/>
    <xf numFmtId="10" fontId="49" fillId="33" borderId="20" xfId="2" applyNumberFormat="1" applyFont="1" applyFill="1" applyBorder="1"/>
    <xf numFmtId="0" fontId="50" fillId="33" borderId="32" xfId="0" applyFont="1" applyFill="1" applyBorder="1"/>
    <xf numFmtId="0" fontId="48" fillId="33" borderId="60" xfId="0" applyFont="1" applyFill="1" applyBorder="1"/>
    <xf numFmtId="10" fontId="49" fillId="33" borderId="33" xfId="2" applyNumberFormat="1" applyFont="1" applyFill="1" applyBorder="1"/>
    <xf numFmtId="0" fontId="48" fillId="32" borderId="59" xfId="0" applyFont="1" applyFill="1" applyBorder="1" applyAlignment="1">
      <alignment horizontal="center" vertical="center"/>
    </xf>
    <xf numFmtId="0" fontId="48" fillId="32" borderId="59" xfId="0" applyFont="1" applyFill="1" applyBorder="1"/>
    <xf numFmtId="167" fontId="50" fillId="32" borderId="59" xfId="1" applyNumberFormat="1" applyFont="1" applyFill="1" applyBorder="1"/>
    <xf numFmtId="10" fontId="49" fillId="32" borderId="59" xfId="2" applyNumberFormat="1" applyFont="1" applyFill="1" applyBorder="1"/>
    <xf numFmtId="166" fontId="50" fillId="32" borderId="59" xfId="0" applyNumberFormat="1" applyFont="1" applyFill="1" applyBorder="1"/>
    <xf numFmtId="10" fontId="50" fillId="32" borderId="59" xfId="2" applyNumberFormat="1" applyFont="1" applyFill="1" applyBorder="1"/>
    <xf numFmtId="0" fontId="48" fillId="32" borderId="59" xfId="0" applyFont="1" applyFill="1" applyBorder="1" applyAlignment="1">
      <alignment wrapText="1"/>
    </xf>
    <xf numFmtId="0" fontId="51" fillId="20" borderId="59" xfId="0" applyFont="1" applyFill="1" applyBorder="1" applyAlignment="1">
      <alignment horizontal="center" vertical="center"/>
    </xf>
    <xf numFmtId="0" fontId="52" fillId="20" borderId="59" xfId="0" applyFont="1" applyFill="1" applyBorder="1"/>
    <xf numFmtId="167" fontId="52" fillId="20" borderId="59" xfId="0" applyNumberFormat="1" applyFont="1" applyFill="1" applyBorder="1"/>
    <xf numFmtId="10" fontId="53" fillId="20" borderId="59" xfId="2" applyNumberFormat="1" applyFont="1" applyFill="1" applyBorder="1"/>
    <xf numFmtId="8" fontId="52" fillId="20" borderId="59" xfId="0" applyNumberFormat="1" applyFont="1" applyFill="1" applyBorder="1"/>
    <xf numFmtId="0" fontId="51" fillId="20" borderId="61" xfId="0" applyFont="1" applyFill="1" applyBorder="1"/>
    <xf numFmtId="167" fontId="52" fillId="20" borderId="61" xfId="1" applyNumberFormat="1" applyFont="1" applyFill="1" applyBorder="1"/>
    <xf numFmtId="0" fontId="53" fillId="2" borderId="0" xfId="0" applyFont="1" applyFill="1"/>
    <xf numFmtId="0" fontId="52" fillId="2" borderId="0" xfId="0" applyFont="1" applyFill="1"/>
    <xf numFmtId="0" fontId="51" fillId="20" borderId="59" xfId="0" applyFont="1" applyFill="1" applyBorder="1"/>
    <xf numFmtId="167" fontId="52" fillId="20" borderId="59" xfId="1" applyNumberFormat="1" applyFont="1" applyFill="1" applyBorder="1"/>
    <xf numFmtId="10" fontId="52" fillId="20" borderId="59" xfId="2" applyNumberFormat="1" applyFont="1" applyFill="1" applyBorder="1"/>
    <xf numFmtId="0" fontId="51" fillId="20" borderId="59" xfId="0" applyFont="1" applyFill="1" applyBorder="1" applyAlignment="1">
      <alignment wrapText="1"/>
    </xf>
    <xf numFmtId="0" fontId="0" fillId="34" borderId="0" xfId="0" applyFill="1"/>
    <xf numFmtId="0" fontId="10" fillId="34" borderId="0" xfId="0" applyFont="1" applyFill="1"/>
    <xf numFmtId="0" fontId="0" fillId="34" borderId="0" xfId="0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57" fillId="32" borderId="19" xfId="0" applyFont="1" applyFill="1" applyBorder="1"/>
    <xf numFmtId="0" fontId="1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3" fillId="2" borderId="0" xfId="0" applyFont="1" applyFill="1" applyAlignment="1">
      <alignment wrapText="1"/>
    </xf>
    <xf numFmtId="0" fontId="52" fillId="2" borderId="0" xfId="0" applyFont="1" applyFill="1" applyAlignment="1">
      <alignment wrapText="1"/>
    </xf>
    <xf numFmtId="0" fontId="20" fillId="16" borderId="59" xfId="0" applyFont="1" applyFill="1" applyBorder="1" applyAlignment="1">
      <alignment horizontal="center" vertical="center"/>
    </xf>
    <xf numFmtId="0" fontId="20" fillId="16" borderId="59" xfId="0" applyFont="1" applyFill="1" applyBorder="1"/>
    <xf numFmtId="167" fontId="21" fillId="16" borderId="59" xfId="1" applyNumberFormat="1" applyFont="1" applyFill="1" applyBorder="1"/>
    <xf numFmtId="10" fontId="47" fillId="16" borderId="59" xfId="2" applyNumberFormat="1" applyFont="1" applyFill="1" applyBorder="1"/>
    <xf numFmtId="166" fontId="21" fillId="16" borderId="59" xfId="0" applyNumberFormat="1" applyFont="1" applyFill="1" applyBorder="1"/>
    <xf numFmtId="0" fontId="20" fillId="16" borderId="59" xfId="0" applyFont="1" applyFill="1" applyBorder="1" applyAlignment="1">
      <alignment wrapText="1"/>
    </xf>
    <xf numFmtId="0" fontId="20" fillId="16" borderId="59" xfId="0" applyFont="1" applyFill="1" applyBorder="1" applyAlignment="1">
      <alignment vertical="center"/>
    </xf>
    <xf numFmtId="166" fontId="21" fillId="16" borderId="59" xfId="0" applyNumberFormat="1" applyFont="1" applyFill="1" applyBorder="1" applyAlignment="1">
      <alignment vertical="center"/>
    </xf>
    <xf numFmtId="10" fontId="21" fillId="16" borderId="59" xfId="2" applyNumberFormat="1" applyFont="1" applyFill="1" applyBorder="1" applyAlignment="1">
      <alignment vertical="center"/>
    </xf>
    <xf numFmtId="0" fontId="9" fillId="2" borderId="0" xfId="0" applyFont="1" applyFill="1"/>
    <xf numFmtId="0" fontId="60" fillId="32" borderId="50" xfId="0" applyFont="1" applyFill="1" applyBorder="1"/>
    <xf numFmtId="0" fontId="60" fillId="32" borderId="57" xfId="0" applyFont="1" applyFill="1" applyBorder="1"/>
    <xf numFmtId="44" fontId="61" fillId="32" borderId="51" xfId="1" applyFont="1" applyFill="1" applyBorder="1"/>
    <xf numFmtId="0" fontId="60" fillId="32" borderId="59" xfId="0" applyFont="1" applyFill="1" applyBorder="1"/>
    <xf numFmtId="44" fontId="61" fillId="32" borderId="20" xfId="1" applyFont="1" applyFill="1" applyBorder="1"/>
    <xf numFmtId="10" fontId="61" fillId="32" borderId="20" xfId="2" applyNumberFormat="1" applyFont="1" applyFill="1" applyBorder="1"/>
    <xf numFmtId="0" fontId="14" fillId="5" borderId="50" xfId="0" applyFont="1" applyFill="1" applyBorder="1"/>
    <xf numFmtId="0" fontId="14" fillId="5" borderId="52" xfId="0" applyFont="1" applyFill="1" applyBorder="1"/>
    <xf numFmtId="0" fontId="14" fillId="5" borderId="19" xfId="0" applyFont="1" applyFill="1" applyBorder="1"/>
    <xf numFmtId="0" fontId="14" fillId="5" borderId="59" xfId="0" applyFont="1" applyFill="1" applyBorder="1" applyAlignment="1">
      <alignment horizontal="center" vertical="center"/>
    </xf>
    <xf numFmtId="0" fontId="14" fillId="5" borderId="32" xfId="0" applyFont="1" applyFill="1" applyBorder="1"/>
    <xf numFmtId="0" fontId="14" fillId="5" borderId="67" xfId="0" applyFont="1" applyFill="1" applyBorder="1" applyAlignment="1">
      <alignment horizontal="center" vertical="center"/>
    </xf>
    <xf numFmtId="0" fontId="14" fillId="5" borderId="57" xfId="0" applyFont="1" applyFill="1" applyBorder="1" applyAlignment="1">
      <alignment horizontal="center" vertical="center"/>
    </xf>
    <xf numFmtId="0" fontId="14" fillId="5" borderId="51" xfId="0" applyFont="1" applyFill="1" applyBorder="1" applyAlignment="1">
      <alignment horizontal="center" vertical="center"/>
    </xf>
    <xf numFmtId="0" fontId="44" fillId="2" borderId="0" xfId="0" applyFont="1" applyFill="1"/>
    <xf numFmtId="8" fontId="56" fillId="4" borderId="20" xfId="0" applyNumberFormat="1" applyFont="1" applyFill="1" applyBorder="1"/>
    <xf numFmtId="8" fontId="56" fillId="4" borderId="33" xfId="0" applyNumberFormat="1" applyFont="1" applyFill="1" applyBorder="1"/>
    <xf numFmtId="8" fontId="56" fillId="4" borderId="37" xfId="0" applyNumberFormat="1" applyFont="1" applyFill="1" applyBorder="1"/>
    <xf numFmtId="0" fontId="0" fillId="3" borderId="69" xfId="0" applyFill="1" applyBorder="1"/>
    <xf numFmtId="0" fontId="26" fillId="0" borderId="44" xfId="0" applyFont="1" applyBorder="1" applyAlignment="1">
      <alignment horizontal="center" vertical="center" wrapText="1"/>
    </xf>
    <xf numFmtId="0" fontId="9" fillId="24" borderId="70" xfId="0" applyFont="1" applyFill="1" applyBorder="1"/>
    <xf numFmtId="0" fontId="52" fillId="20" borderId="59" xfId="0" applyFont="1" applyFill="1" applyBorder="1" applyAlignment="1">
      <alignment vertical="center"/>
    </xf>
    <xf numFmtId="8" fontId="52" fillId="20" borderId="59" xfId="0" applyNumberFormat="1" applyFont="1" applyFill="1" applyBorder="1" applyAlignment="1">
      <alignment vertical="center"/>
    </xf>
    <xf numFmtId="10" fontId="53" fillId="20" borderId="59" xfId="2" applyNumberFormat="1" applyFont="1" applyFill="1" applyBorder="1" applyAlignment="1">
      <alignment vertical="center"/>
    </xf>
    <xf numFmtId="167" fontId="52" fillId="20" borderId="59" xfId="0" applyNumberFormat="1" applyFont="1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64" fillId="8" borderId="65" xfId="0" applyFont="1" applyFill="1" applyBorder="1" applyAlignment="1">
      <alignment vertical="center" wrapText="1"/>
    </xf>
    <xf numFmtId="0" fontId="64" fillId="8" borderId="65" xfId="0" applyFont="1" applyFill="1" applyBorder="1"/>
    <xf numFmtId="44" fontId="65" fillId="8" borderId="65" xfId="1" applyFont="1" applyFill="1" applyBorder="1" applyAlignment="1">
      <alignment vertical="center" wrapText="1"/>
    </xf>
    <xf numFmtId="0" fontId="28" fillId="19" borderId="20" xfId="0" applyFont="1" applyFill="1" applyBorder="1"/>
    <xf numFmtId="0" fontId="56" fillId="4" borderId="20" xfId="0" applyFont="1" applyFill="1" applyBorder="1"/>
    <xf numFmtId="0" fontId="63" fillId="41" borderId="50" xfId="0" applyFont="1" applyFill="1" applyBorder="1" applyAlignment="1">
      <alignment vertical="center"/>
    </xf>
    <xf numFmtId="44" fontId="59" fillId="41" borderId="51" xfId="1" applyFont="1" applyFill="1" applyBorder="1" applyAlignment="1">
      <alignment vertical="center"/>
    </xf>
    <xf numFmtId="0" fontId="63" fillId="41" borderId="19" xfId="0" applyFont="1" applyFill="1" applyBorder="1"/>
    <xf numFmtId="44" fontId="59" fillId="41" borderId="20" xfId="1" applyFont="1" applyFill="1" applyBorder="1"/>
    <xf numFmtId="0" fontId="63" fillId="41" borderId="32" xfId="0" applyFont="1" applyFill="1" applyBorder="1"/>
    <xf numFmtId="10" fontId="59" fillId="41" borderId="33" xfId="2" applyNumberFormat="1" applyFont="1" applyFill="1" applyBorder="1"/>
    <xf numFmtId="44" fontId="15" fillId="5" borderId="51" xfId="1" applyFont="1" applyFill="1" applyBorder="1"/>
    <xf numFmtId="44" fontId="15" fillId="5" borderId="53" xfId="1" applyFont="1" applyFill="1" applyBorder="1"/>
    <xf numFmtId="44" fontId="15" fillId="5" borderId="59" xfId="1" applyFont="1" applyFill="1" applyBorder="1"/>
    <xf numFmtId="44" fontId="15" fillId="5" borderId="66" xfId="1" applyFont="1" applyFill="1" applyBorder="1"/>
    <xf numFmtId="44" fontId="15" fillId="5" borderId="60" xfId="1" applyFont="1" applyFill="1" applyBorder="1"/>
    <xf numFmtId="44" fontId="15" fillId="5" borderId="68" xfId="1" applyFont="1" applyFill="1" applyBorder="1"/>
    <xf numFmtId="10" fontId="15" fillId="5" borderId="59" xfId="2" applyNumberFormat="1" applyFont="1" applyFill="1" applyBorder="1"/>
    <xf numFmtId="10" fontId="15" fillId="5" borderId="20" xfId="2" applyNumberFormat="1" applyFont="1" applyFill="1" applyBorder="1"/>
    <xf numFmtId="10" fontId="15" fillId="5" borderId="33" xfId="2" applyNumberFormat="1" applyFont="1" applyFill="1" applyBorder="1"/>
    <xf numFmtId="0" fontId="21" fillId="19" borderId="32" xfId="0" applyFont="1" applyFill="1" applyBorder="1"/>
    <xf numFmtId="10" fontId="47" fillId="19" borderId="33" xfId="2" applyNumberFormat="1" applyFont="1" applyFill="1" applyBorder="1"/>
    <xf numFmtId="0" fontId="48" fillId="33" borderId="50" xfId="0" applyFont="1" applyFill="1" applyBorder="1"/>
    <xf numFmtId="0" fontId="48" fillId="33" borderId="57" xfId="0" applyFont="1" applyFill="1" applyBorder="1"/>
    <xf numFmtId="44" fontId="49" fillId="33" borderId="51" xfId="1" applyFont="1" applyFill="1" applyBorder="1"/>
    <xf numFmtId="0" fontId="66" fillId="27" borderId="42" xfId="0" applyFont="1" applyFill="1" applyBorder="1" applyAlignment="1">
      <alignment horizontal="center" vertical="center" wrapText="1"/>
    </xf>
    <xf numFmtId="164" fontId="67" fillId="27" borderId="43" xfId="0" applyNumberFormat="1" applyFont="1" applyFill="1" applyBorder="1" applyAlignment="1">
      <alignment wrapText="1"/>
    </xf>
    <xf numFmtId="0" fontId="66" fillId="27" borderId="21" xfId="0" applyFont="1" applyFill="1" applyBorder="1" applyAlignment="1">
      <alignment horizontal="center" vertical="center" wrapText="1"/>
    </xf>
    <xf numFmtId="164" fontId="67" fillId="27" borderId="22" xfId="0" applyNumberFormat="1" applyFont="1" applyFill="1" applyBorder="1" applyAlignment="1">
      <alignment wrapText="1"/>
    </xf>
    <xf numFmtId="164" fontId="45" fillId="27" borderId="47" xfId="0" applyNumberFormat="1" applyFont="1" applyFill="1" applyBorder="1" applyAlignment="1">
      <alignment wrapText="1"/>
    </xf>
    <xf numFmtId="10" fontId="21" fillId="16" borderId="59" xfId="2" applyNumberFormat="1" applyFont="1" applyFill="1" applyBorder="1" applyAlignment="1">
      <alignment vertical="center" wrapText="1"/>
    </xf>
    <xf numFmtId="10" fontId="50" fillId="32" borderId="59" xfId="2" applyNumberFormat="1" applyFont="1" applyFill="1" applyBorder="1" applyAlignment="1">
      <alignment vertical="center" wrapText="1"/>
    </xf>
    <xf numFmtId="10" fontId="52" fillId="20" borderId="59" xfId="2" applyNumberFormat="1" applyFont="1" applyFill="1" applyBorder="1" applyAlignment="1">
      <alignment vertical="center" wrapText="1"/>
    </xf>
    <xf numFmtId="0" fontId="9" fillId="5" borderId="42" xfId="0" applyFont="1" applyFill="1" applyBorder="1" applyAlignment="1">
      <alignment horizontal="center" vertical="center"/>
    </xf>
    <xf numFmtId="0" fontId="41" fillId="16" borderId="16" xfId="0" applyFont="1" applyFill="1" applyBorder="1" applyAlignment="1">
      <alignment vertical="center"/>
    </xf>
    <xf numFmtId="164" fontId="15" fillId="7" borderId="51" xfId="0" applyNumberFormat="1" applyFont="1" applyFill="1" applyBorder="1" applyAlignment="1">
      <alignment vertical="center" wrapText="1"/>
    </xf>
    <xf numFmtId="164" fontId="15" fillId="7" borderId="20" xfId="0" applyNumberFormat="1" applyFont="1" applyFill="1" applyBorder="1" applyAlignment="1">
      <alignment vertical="center" wrapText="1"/>
    </xf>
    <xf numFmtId="164" fontId="68" fillId="7" borderId="33" xfId="0" applyNumberFormat="1" applyFont="1" applyFill="1" applyBorder="1" applyAlignment="1">
      <alignment vertical="center" wrapText="1"/>
    </xf>
    <xf numFmtId="165" fontId="18" fillId="8" borderId="2" xfId="0" applyNumberFormat="1" applyFont="1" applyFill="1" applyBorder="1" applyAlignment="1">
      <alignment vertical="center"/>
    </xf>
    <xf numFmtId="165" fontId="21" fillId="10" borderId="22" xfId="0" applyNumberFormat="1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164" fontId="21" fillId="10" borderId="15" xfId="0" applyNumberFormat="1" applyFont="1" applyFill="1" applyBorder="1" applyAlignment="1">
      <alignment vertical="center" wrapText="1"/>
    </xf>
    <xf numFmtId="0" fontId="25" fillId="12" borderId="58" xfId="0" applyFont="1" applyFill="1" applyBorder="1" applyAlignment="1">
      <alignment wrapText="1"/>
    </xf>
    <xf numFmtId="0" fontId="25" fillId="12" borderId="43" xfId="0" applyFont="1" applyFill="1" applyBorder="1" applyAlignment="1">
      <alignment wrapText="1"/>
    </xf>
    <xf numFmtId="0" fontId="24" fillId="12" borderId="15" xfId="0" applyFont="1" applyFill="1" applyBorder="1" applyAlignment="1">
      <alignment wrapText="1"/>
    </xf>
    <xf numFmtId="164" fontId="24" fillId="12" borderId="55" xfId="0" applyNumberFormat="1" applyFont="1" applyFill="1" applyBorder="1" applyAlignment="1">
      <alignment wrapText="1"/>
    </xf>
    <xf numFmtId="164" fontId="24" fillId="12" borderId="24" xfId="0" applyNumberFormat="1" applyFont="1" applyFill="1" applyBorder="1" applyAlignment="1">
      <alignment wrapText="1"/>
    </xf>
    <xf numFmtId="164" fontId="24" fillId="12" borderId="74" xfId="0" applyNumberFormat="1" applyFont="1" applyFill="1" applyBorder="1" applyAlignment="1">
      <alignment wrapText="1"/>
    </xf>
    <xf numFmtId="164" fontId="24" fillId="12" borderId="73" xfId="0" applyNumberFormat="1" applyFont="1" applyFill="1" applyBorder="1" applyAlignment="1">
      <alignment wrapText="1"/>
    </xf>
    <xf numFmtId="0" fontId="17" fillId="16" borderId="43" xfId="0" applyFont="1" applyFill="1" applyBorder="1" applyAlignment="1">
      <alignment horizontal="center" vertical="center" wrapText="1"/>
    </xf>
    <xf numFmtId="0" fontId="18" fillId="17" borderId="17" xfId="0" applyFont="1" applyFill="1" applyBorder="1" applyAlignment="1">
      <alignment wrapText="1"/>
    </xf>
    <xf numFmtId="164" fontId="18" fillId="17" borderId="17" xfId="0" applyNumberFormat="1" applyFont="1" applyFill="1" applyBorder="1" applyAlignment="1">
      <alignment wrapText="1"/>
    </xf>
    <xf numFmtId="164" fontId="18" fillId="17" borderId="15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horizontal="right" vertical="center"/>
    </xf>
    <xf numFmtId="164" fontId="18" fillId="17" borderId="13" xfId="0" applyNumberFormat="1" applyFont="1" applyFill="1" applyBorder="1" applyAlignment="1">
      <alignment vertical="center" wrapText="1"/>
    </xf>
    <xf numFmtId="10" fontId="18" fillId="17" borderId="15" xfId="0" applyNumberFormat="1" applyFont="1" applyFill="1" applyBorder="1" applyAlignment="1">
      <alignment vertical="center" wrapText="1"/>
    </xf>
    <xf numFmtId="164" fontId="18" fillId="17" borderId="22" xfId="0" applyNumberFormat="1" applyFont="1" applyFill="1" applyBorder="1" applyAlignment="1">
      <alignment vertical="center" wrapText="1"/>
    </xf>
    <xf numFmtId="10" fontId="18" fillId="17" borderId="24" xfId="0" applyNumberFormat="1" applyFont="1" applyFill="1" applyBorder="1" applyAlignment="1">
      <alignment wrapText="1"/>
    </xf>
    <xf numFmtId="165" fontId="18" fillId="16" borderId="24" xfId="0" applyNumberFormat="1" applyFont="1" applyFill="1" applyBorder="1" applyAlignment="1">
      <alignment wrapText="1"/>
    </xf>
    <xf numFmtId="0" fontId="17" fillId="16" borderId="56" xfId="0" applyFont="1" applyFill="1" applyBorder="1" applyAlignment="1">
      <alignment horizontal="center" vertical="center" wrapText="1"/>
    </xf>
    <xf numFmtId="0" fontId="17" fillId="16" borderId="77" xfId="0" applyFont="1" applyFill="1" applyBorder="1" applyAlignment="1">
      <alignment horizontal="center" vertical="center" wrapText="1"/>
    </xf>
    <xf numFmtId="164" fontId="18" fillId="16" borderId="27" xfId="0" applyNumberFormat="1" applyFont="1" applyFill="1" applyBorder="1" applyAlignment="1">
      <alignment wrapText="1"/>
    </xf>
    <xf numFmtId="165" fontId="18" fillId="16" borderId="78" xfId="0" applyNumberFormat="1" applyFont="1" applyFill="1" applyBorder="1" applyAlignment="1">
      <alignment wrapText="1"/>
    </xf>
    <xf numFmtId="0" fontId="9" fillId="4" borderId="38" xfId="0" applyFont="1" applyFill="1" applyBorder="1" applyAlignment="1">
      <alignment horizontal="left" vertical="center"/>
    </xf>
    <xf numFmtId="0" fontId="63" fillId="41" borderId="19" xfId="0" applyFont="1" applyFill="1" applyBorder="1" applyAlignment="1">
      <alignment horizontal="left" vertical="center"/>
    </xf>
    <xf numFmtId="44" fontId="59" fillId="41" borderId="20" xfId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wrapText="1"/>
    </xf>
    <xf numFmtId="0" fontId="66" fillId="26" borderId="23" xfId="0" applyFont="1" applyFill="1" applyBorder="1" applyAlignment="1">
      <alignment horizontal="center" vertical="center" wrapText="1"/>
    </xf>
    <xf numFmtId="0" fontId="41" fillId="29" borderId="21" xfId="0" applyFont="1" applyFill="1" applyBorder="1" applyAlignment="1">
      <alignment horizontal="center" vertical="center" wrapText="1"/>
    </xf>
    <xf numFmtId="164" fontId="40" fillId="29" borderId="22" xfId="0" applyNumberFormat="1" applyFont="1" applyFill="1" applyBorder="1" applyAlignment="1">
      <alignment wrapText="1"/>
    </xf>
    <xf numFmtId="0" fontId="9" fillId="24" borderId="79" xfId="0" applyFont="1" applyFill="1" applyBorder="1" applyAlignment="1">
      <alignment vertical="center"/>
    </xf>
    <xf numFmtId="164" fontId="6" fillId="23" borderId="13" xfId="0" applyNumberFormat="1" applyFont="1" applyFill="1" applyBorder="1" applyAlignment="1">
      <alignment wrapText="1"/>
    </xf>
    <xf numFmtId="0" fontId="41" fillId="23" borderId="16" xfId="0" applyFont="1" applyFill="1" applyBorder="1" applyAlignment="1">
      <alignment wrapText="1"/>
    </xf>
    <xf numFmtId="164" fontId="6" fillId="23" borderId="17" xfId="0" applyNumberFormat="1" applyFont="1" applyFill="1" applyBorder="1" applyAlignment="1">
      <alignment wrapText="1"/>
    </xf>
    <xf numFmtId="0" fontId="41" fillId="23" borderId="30" xfId="0" applyFont="1" applyFill="1" applyBorder="1" applyAlignment="1">
      <alignment horizontal="left" vertical="center"/>
    </xf>
    <xf numFmtId="165" fontId="6" fillId="23" borderId="31" xfId="0" applyNumberFormat="1" applyFont="1" applyFill="1" applyBorder="1" applyAlignment="1">
      <alignment vertical="center" wrapText="1"/>
    </xf>
    <xf numFmtId="0" fontId="9" fillId="24" borderId="19" xfId="0" applyFont="1" applyFill="1" applyBorder="1" applyAlignment="1">
      <alignment vertical="center"/>
    </xf>
    <xf numFmtId="0" fontId="4" fillId="3" borderId="0" xfId="0" applyFont="1" applyFill="1" applyAlignment="1">
      <alignment horizontal="left"/>
    </xf>
    <xf numFmtId="167" fontId="0" fillId="24" borderId="20" xfId="0" applyNumberFormat="1" applyFill="1" applyBorder="1" applyAlignment="1">
      <alignment vertical="center"/>
    </xf>
    <xf numFmtId="0" fontId="2" fillId="4" borderId="62" xfId="0" applyFont="1" applyFill="1" applyBorder="1" applyAlignment="1" applyProtection="1">
      <alignment horizontal="right"/>
      <protection locked="0"/>
    </xf>
    <xf numFmtId="0" fontId="71" fillId="2" borderId="0" xfId="0" applyFont="1" applyFill="1"/>
    <xf numFmtId="168" fontId="0" fillId="3" borderId="0" xfId="0" applyNumberFormat="1" applyFill="1"/>
    <xf numFmtId="168" fontId="36" fillId="18" borderId="15" xfId="0" applyNumberFormat="1" applyFont="1" applyFill="1" applyBorder="1"/>
    <xf numFmtId="168" fontId="28" fillId="19" borderId="20" xfId="0" applyNumberFormat="1" applyFont="1" applyFill="1" applyBorder="1"/>
    <xf numFmtId="168" fontId="56" fillId="4" borderId="20" xfId="0" applyNumberFormat="1" applyFont="1" applyFill="1" applyBorder="1"/>
    <xf numFmtId="0" fontId="2" fillId="2" borderId="0" xfId="0" applyFont="1" applyFill="1"/>
    <xf numFmtId="0" fontId="0" fillId="2" borderId="80" xfId="0" applyFill="1" applyBorder="1"/>
    <xf numFmtId="44" fontId="0" fillId="2" borderId="0" xfId="1" applyFont="1" applyFill="1"/>
    <xf numFmtId="44" fontId="0" fillId="2" borderId="0" xfId="1" applyFont="1" applyFill="1" applyBorder="1"/>
    <xf numFmtId="44" fontId="71" fillId="2" borderId="80" xfId="1" applyFont="1" applyFill="1" applyBorder="1"/>
    <xf numFmtId="0" fontId="0" fillId="2" borderId="0" xfId="0" applyFill="1" applyAlignment="1">
      <alignment horizontal="right"/>
    </xf>
    <xf numFmtId="0" fontId="0" fillId="2" borderId="80" xfId="0" applyFill="1" applyBorder="1" applyAlignment="1">
      <alignment horizontal="right"/>
    </xf>
    <xf numFmtId="44" fontId="0" fillId="2" borderId="80" xfId="1" applyFont="1" applyFill="1" applyBorder="1"/>
    <xf numFmtId="44" fontId="2" fillId="2" borderId="0" xfId="1" applyFont="1" applyFill="1"/>
    <xf numFmtId="0" fontId="2" fillId="2" borderId="81" xfId="0" applyFont="1" applyFill="1" applyBorder="1"/>
    <xf numFmtId="44" fontId="2" fillId="2" borderId="81" xfId="1" applyFont="1" applyFill="1" applyBorder="1"/>
    <xf numFmtId="44" fontId="9" fillId="2" borderId="0" xfId="1" applyFont="1" applyFill="1"/>
    <xf numFmtId="0" fontId="41" fillId="12" borderId="82" xfId="0" applyFont="1" applyFill="1" applyBorder="1" applyAlignment="1">
      <alignment horizontal="center" vertical="center" wrapText="1"/>
    </xf>
    <xf numFmtId="0" fontId="41" fillId="12" borderId="83" xfId="0" applyFont="1" applyFill="1" applyBorder="1" applyAlignment="1">
      <alignment horizontal="center" vertical="center" wrapText="1"/>
    </xf>
    <xf numFmtId="0" fontId="0" fillId="2" borderId="84" xfId="0" applyFill="1" applyBorder="1"/>
    <xf numFmtId="0" fontId="9" fillId="8" borderId="40" xfId="0" applyFont="1" applyFill="1" applyBorder="1" applyAlignment="1">
      <alignment horizontal="center" vertical="center"/>
    </xf>
    <xf numFmtId="0" fontId="0" fillId="2" borderId="69" xfId="0" applyFill="1" applyBorder="1"/>
    <xf numFmtId="0" fontId="20" fillId="42" borderId="50" xfId="0" applyFont="1" applyFill="1" applyBorder="1"/>
    <xf numFmtId="0" fontId="20" fillId="42" borderId="19" xfId="0" applyFont="1" applyFill="1" applyBorder="1"/>
    <xf numFmtId="0" fontId="20" fillId="42" borderId="32" xfId="0" applyFont="1" applyFill="1" applyBorder="1"/>
    <xf numFmtId="169" fontId="0" fillId="2" borderId="72" xfId="0" applyNumberFormat="1" applyFill="1" applyBorder="1"/>
    <xf numFmtId="165" fontId="21" fillId="11" borderId="15" xfId="0" applyNumberFormat="1" applyFont="1" applyFill="1" applyBorder="1" applyAlignment="1" applyProtection="1">
      <alignment wrapText="1"/>
      <protection locked="0"/>
    </xf>
    <xf numFmtId="10" fontId="65" fillId="8" borderId="65" xfId="2" applyNumberFormat="1" applyFont="1" applyFill="1" applyBorder="1"/>
    <xf numFmtId="0" fontId="4" fillId="3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14" fillId="7" borderId="50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3" fillId="11" borderId="14" xfId="3" applyFill="1" applyBorder="1" applyAlignment="1" applyProtection="1">
      <alignment horizontal="center" wrapText="1"/>
    </xf>
    <xf numFmtId="0" fontId="20" fillId="10" borderId="16" xfId="0" applyFont="1" applyFill="1" applyBorder="1" applyAlignment="1">
      <alignment horizontal="center" wrapText="1"/>
    </xf>
    <xf numFmtId="0" fontId="20" fillId="10" borderId="12" xfId="0" applyFont="1" applyFill="1" applyBorder="1" applyAlignment="1">
      <alignment horizontal="center"/>
    </xf>
    <xf numFmtId="0" fontId="20" fillId="10" borderId="12" xfId="0" applyFont="1" applyFill="1" applyBorder="1" applyAlignment="1">
      <alignment horizontal="center" wrapText="1"/>
    </xf>
    <xf numFmtId="0" fontId="22" fillId="10" borderId="14" xfId="3" applyFont="1" applyFill="1" applyBorder="1" applyAlignment="1" applyProtection="1">
      <alignment horizontal="center" vertical="center" wrapText="1"/>
    </xf>
    <xf numFmtId="0" fontId="20" fillId="10" borderId="14" xfId="3" applyFont="1" applyFill="1" applyBorder="1" applyAlignment="1" applyProtection="1">
      <alignment horizontal="center" vertical="center" wrapText="1"/>
    </xf>
    <xf numFmtId="0" fontId="20" fillId="10" borderId="14" xfId="0" applyFont="1" applyFill="1" applyBorder="1" applyAlignment="1">
      <alignment horizontal="center" wrapText="1"/>
    </xf>
    <xf numFmtId="0" fontId="20" fillId="10" borderId="19" xfId="0" applyFont="1" applyFill="1" applyBorder="1" applyAlignment="1">
      <alignment horizontal="center" wrapText="1"/>
    </xf>
    <xf numFmtId="0" fontId="20" fillId="11" borderId="19" xfId="0" applyFont="1" applyFill="1" applyBorder="1" applyAlignment="1">
      <alignment horizontal="center" wrapText="1"/>
    </xf>
    <xf numFmtId="0" fontId="20" fillId="10" borderId="21" xfId="0" applyFont="1" applyFill="1" applyBorder="1" applyAlignment="1">
      <alignment horizontal="center" wrapText="1"/>
    </xf>
    <xf numFmtId="0" fontId="20" fillId="10" borderId="23" xfId="0" applyFont="1" applyFill="1" applyBorder="1" applyAlignment="1">
      <alignment horizontal="center" wrapText="1"/>
    </xf>
    <xf numFmtId="0" fontId="23" fillId="3" borderId="0" xfId="0" applyFont="1" applyFill="1" applyAlignment="1">
      <alignment horizontal="center"/>
    </xf>
    <xf numFmtId="0" fontId="24" fillId="12" borderId="42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 vertical="center"/>
    </xf>
    <xf numFmtId="0" fontId="25" fillId="12" borderId="75" xfId="0" applyFont="1" applyFill="1" applyBorder="1" applyAlignment="1">
      <alignment horizontal="center"/>
    </xf>
    <xf numFmtId="0" fontId="25" fillId="12" borderId="54" xfId="0" applyFont="1" applyFill="1" applyBorder="1" applyAlignment="1">
      <alignment horizontal="center"/>
    </xf>
    <xf numFmtId="0" fontId="26" fillId="3" borderId="0" xfId="0" applyFont="1" applyFill="1" applyAlignment="1">
      <alignment horizontal="center"/>
    </xf>
    <xf numFmtId="0" fontId="29" fillId="15" borderId="0" xfId="0" applyFont="1" applyFill="1" applyAlignment="1">
      <alignment horizontal="center" wrapText="1"/>
    </xf>
    <xf numFmtId="0" fontId="30" fillId="16" borderId="42" xfId="0" applyFont="1" applyFill="1" applyBorder="1" applyAlignment="1">
      <alignment horizontal="center"/>
    </xf>
    <xf numFmtId="0" fontId="17" fillId="16" borderId="14" xfId="0" applyFont="1" applyFill="1" applyBorder="1" applyAlignment="1">
      <alignment horizontal="center"/>
    </xf>
    <xf numFmtId="0" fontId="17" fillId="17" borderId="16" xfId="0" applyFont="1" applyFill="1" applyBorder="1" applyAlignment="1">
      <alignment horizontal="center"/>
    </xf>
    <xf numFmtId="0" fontId="17" fillId="17" borderId="14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 wrapText="1"/>
    </xf>
    <xf numFmtId="0" fontId="17" fillId="17" borderId="12" xfId="0" applyFont="1" applyFill="1" applyBorder="1" applyAlignment="1">
      <alignment horizontal="center" wrapText="1"/>
    </xf>
    <xf numFmtId="0" fontId="17" fillId="17" borderId="23" xfId="0" applyFont="1" applyFill="1" applyBorder="1" applyAlignment="1">
      <alignment horizontal="center"/>
    </xf>
    <xf numFmtId="0" fontId="33" fillId="15" borderId="0" xfId="0" applyFont="1" applyFill="1" applyAlignment="1">
      <alignment horizontal="center" wrapText="1"/>
    </xf>
    <xf numFmtId="0" fontId="69" fillId="15" borderId="71" xfId="0" applyFont="1" applyFill="1" applyBorder="1" applyAlignment="1">
      <alignment horizontal="center" wrapText="1"/>
    </xf>
    <xf numFmtId="0" fontId="35" fillId="18" borderId="14" xfId="0" applyFont="1" applyFill="1" applyBorder="1" applyAlignment="1">
      <alignment horizontal="center"/>
    </xf>
    <xf numFmtId="0" fontId="35" fillId="18" borderId="12" xfId="0" applyFont="1" applyFill="1" applyBorder="1" applyAlignment="1">
      <alignment horizontal="center"/>
    </xf>
    <xf numFmtId="0" fontId="35" fillId="18" borderId="23" xfId="0" applyFont="1" applyFill="1" applyBorder="1" applyAlignment="1">
      <alignment horizontal="center"/>
    </xf>
    <xf numFmtId="0" fontId="35" fillId="18" borderId="30" xfId="0" applyFont="1" applyFill="1" applyBorder="1" applyAlignment="1">
      <alignment horizontal="center"/>
    </xf>
    <xf numFmtId="0" fontId="35" fillId="18" borderId="19" xfId="0" applyFont="1" applyFill="1" applyBorder="1" applyAlignment="1">
      <alignment horizontal="center"/>
    </xf>
    <xf numFmtId="0" fontId="35" fillId="18" borderId="3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8" fillId="19" borderId="19" xfId="0" applyFont="1" applyFill="1" applyBorder="1" applyAlignment="1">
      <alignment horizontal="center"/>
    </xf>
    <xf numFmtId="0" fontId="38" fillId="19" borderId="32" xfId="0" applyFont="1" applyFill="1" applyBorder="1" applyAlignment="1">
      <alignment horizontal="center"/>
    </xf>
    <xf numFmtId="0" fontId="38" fillId="19" borderId="36" xfId="0" applyFont="1" applyFill="1" applyBorder="1" applyAlignment="1">
      <alignment horizontal="center"/>
    </xf>
    <xf numFmtId="0" fontId="55" fillId="4" borderId="19" xfId="0" applyFont="1" applyFill="1" applyBorder="1" applyAlignment="1">
      <alignment horizontal="center"/>
    </xf>
    <xf numFmtId="0" fontId="55" fillId="4" borderId="32" xfId="0" applyFont="1" applyFill="1" applyBorder="1" applyAlignment="1">
      <alignment horizontal="center"/>
    </xf>
    <xf numFmtId="0" fontId="55" fillId="4" borderId="36" xfId="0" applyFont="1" applyFill="1" applyBorder="1" applyAlignment="1">
      <alignment horizontal="center"/>
    </xf>
    <xf numFmtId="0" fontId="41" fillId="6" borderId="12" xfId="0" applyFont="1" applyFill="1" applyBorder="1" applyAlignment="1">
      <alignment horizontal="center" vertical="center" wrapText="1"/>
    </xf>
    <xf numFmtId="164" fontId="40" fillId="6" borderId="13" xfId="0" applyNumberFormat="1" applyFont="1" applyFill="1" applyBorder="1" applyAlignment="1">
      <alignment vertical="center" wrapText="1"/>
    </xf>
    <xf numFmtId="0" fontId="9" fillId="8" borderId="21" xfId="0" applyFont="1" applyFill="1" applyBorder="1" applyAlignment="1">
      <alignment horizontal="center" vertical="center"/>
    </xf>
    <xf numFmtId="164" fontId="10" fillId="8" borderId="22" xfId="0" applyNumberFormat="1" applyFont="1" applyFill="1" applyBorder="1"/>
    <xf numFmtId="164" fontId="12" fillId="6" borderId="2" xfId="0" applyNumberFormat="1" applyFont="1" applyFill="1" applyBorder="1" applyAlignment="1" applyProtection="1">
      <alignment vertical="center" wrapText="1"/>
      <protection locked="0"/>
    </xf>
    <xf numFmtId="0" fontId="72" fillId="5" borderId="2" xfId="0" applyFont="1" applyFill="1" applyBorder="1" applyAlignment="1" applyProtection="1">
      <alignment horizontal="left" vertical="center" wrapText="1"/>
      <protection locked="0"/>
    </xf>
    <xf numFmtId="164" fontId="12" fillId="6" borderId="4" xfId="0" applyNumberFormat="1" applyFont="1" applyFill="1" applyBorder="1" applyAlignment="1" applyProtection="1">
      <alignment vertical="center" wrapText="1"/>
      <protection locked="0"/>
    </xf>
    <xf numFmtId="0" fontId="12" fillId="6" borderId="4" xfId="0" applyFont="1" applyFill="1" applyBorder="1" applyAlignment="1" applyProtection="1">
      <alignment vertical="center" wrapText="1"/>
      <protection locked="0"/>
    </xf>
    <xf numFmtId="164" fontId="21" fillId="10" borderId="15" xfId="0" applyNumberFormat="1" applyFont="1" applyFill="1" applyBorder="1" applyAlignment="1" applyProtection="1">
      <alignment wrapText="1"/>
      <protection locked="0"/>
    </xf>
    <xf numFmtId="164" fontId="21" fillId="10" borderId="20" xfId="0" applyNumberFormat="1" applyFont="1" applyFill="1" applyBorder="1" applyAlignment="1" applyProtection="1">
      <alignment wrapText="1"/>
      <protection locked="0"/>
    </xf>
    <xf numFmtId="164" fontId="40" fillId="29" borderId="15" xfId="0" applyNumberFormat="1" applyFont="1" applyFill="1" applyBorder="1" applyAlignment="1" applyProtection="1">
      <alignment wrapText="1"/>
      <protection locked="0"/>
    </xf>
    <xf numFmtId="164" fontId="40" fillId="22" borderId="41" xfId="0" applyNumberFormat="1" applyFont="1" applyFill="1" applyBorder="1" applyAlignment="1" applyProtection="1">
      <alignment wrapText="1"/>
      <protection locked="0"/>
    </xf>
    <xf numFmtId="0" fontId="40" fillId="6" borderId="15" xfId="0" applyFont="1" applyFill="1" applyBorder="1" applyAlignment="1">
      <alignment vertical="center" wrapText="1"/>
    </xf>
    <xf numFmtId="10" fontId="36" fillId="18" borderId="15" xfId="0" applyNumberFormat="1" applyFont="1" applyFill="1" applyBorder="1" applyProtection="1">
      <protection locked="0"/>
    </xf>
    <xf numFmtId="0" fontId="36" fillId="18" borderId="15" xfId="0" applyFont="1" applyFill="1" applyBorder="1" applyProtection="1">
      <protection locked="0"/>
    </xf>
    <xf numFmtId="10" fontId="28" fillId="19" borderId="20" xfId="0" applyNumberFormat="1" applyFont="1" applyFill="1" applyBorder="1" applyProtection="1">
      <protection locked="0"/>
    </xf>
    <xf numFmtId="10" fontId="56" fillId="4" borderId="20" xfId="0" applyNumberFormat="1" applyFont="1" applyFill="1" applyBorder="1" applyProtection="1">
      <protection locked="0"/>
    </xf>
    <xf numFmtId="10" fontId="6" fillId="16" borderId="17" xfId="0" applyNumberFormat="1" applyFont="1" applyFill="1" applyBorder="1" applyAlignment="1" applyProtection="1">
      <alignment wrapText="1"/>
      <protection locked="0"/>
    </xf>
    <xf numFmtId="165" fontId="6" fillId="16" borderId="15" xfId="0" applyNumberFormat="1" applyFont="1" applyFill="1" applyBorder="1" applyAlignment="1" applyProtection="1">
      <alignment wrapText="1"/>
      <protection locked="0"/>
    </xf>
    <xf numFmtId="165" fontId="0" fillId="16" borderId="15" xfId="0" applyNumberFormat="1" applyFill="1" applyBorder="1" applyProtection="1">
      <protection locked="0"/>
    </xf>
    <xf numFmtId="165" fontId="0" fillId="16" borderId="15" xfId="0" applyNumberFormat="1" applyFill="1" applyBorder="1" applyAlignment="1" applyProtection="1">
      <alignment vertical="center"/>
      <protection locked="0"/>
    </xf>
    <xf numFmtId="164" fontId="40" fillId="29" borderId="24" xfId="0" applyNumberFormat="1" applyFont="1" applyFill="1" applyBorder="1" applyAlignment="1" applyProtection="1">
      <alignment wrapText="1"/>
      <protection locked="0"/>
    </xf>
    <xf numFmtId="10" fontId="12" fillId="6" borderId="4" xfId="0" applyNumberFormat="1" applyFont="1" applyFill="1" applyBorder="1" applyAlignment="1" applyProtection="1">
      <alignment vertical="center" wrapText="1"/>
      <protection locked="0"/>
    </xf>
    <xf numFmtId="8" fontId="15" fillId="5" borderId="59" xfId="1" applyNumberFormat="1" applyFont="1" applyFill="1" applyBorder="1"/>
    <xf numFmtId="8" fontId="15" fillId="5" borderId="60" xfId="1" applyNumberFormat="1" applyFont="1" applyFill="1" applyBorder="1"/>
    <xf numFmtId="167" fontId="49" fillId="33" borderId="51" xfId="1" applyNumberFormat="1" applyFont="1" applyFill="1" applyBorder="1"/>
    <xf numFmtId="167" fontId="47" fillId="19" borderId="51" xfId="1" applyNumberFormat="1" applyFont="1" applyFill="1" applyBorder="1"/>
    <xf numFmtId="167" fontId="61" fillId="32" borderId="51" xfId="1" applyNumberFormat="1" applyFont="1" applyFill="1" applyBorder="1"/>
    <xf numFmtId="10" fontId="40" fillId="12" borderId="15" xfId="0" applyNumberFormat="1" applyFont="1" applyFill="1" applyBorder="1" applyAlignment="1" applyProtection="1">
      <alignment wrapText="1"/>
      <protection locked="0"/>
    </xf>
    <xf numFmtId="0" fontId="24" fillId="12" borderId="25" xfId="0" applyFont="1" applyFill="1" applyBorder="1" applyAlignment="1" applyProtection="1">
      <alignment wrapText="1"/>
      <protection locked="0"/>
    </xf>
    <xf numFmtId="164" fontId="24" fillId="12" borderId="25" xfId="0" applyNumberFormat="1" applyFont="1" applyFill="1" applyBorder="1" applyAlignment="1" applyProtection="1">
      <alignment vertical="center" wrapText="1"/>
      <protection locked="0"/>
    </xf>
    <xf numFmtId="164" fontId="24" fillId="12" borderId="26" xfId="0" applyNumberFormat="1" applyFont="1" applyFill="1" applyBorder="1" applyAlignment="1" applyProtection="1">
      <alignment vertical="center" wrapText="1"/>
      <protection locked="0"/>
    </xf>
    <xf numFmtId="164" fontId="24" fillId="12" borderId="13" xfId="0" applyNumberFormat="1" applyFont="1" applyFill="1" applyBorder="1" applyAlignment="1" applyProtection="1">
      <alignment vertical="center" wrapText="1"/>
      <protection locked="0"/>
    </xf>
    <xf numFmtId="0" fontId="73" fillId="2" borderId="0" xfId="3" applyFont="1" applyFill="1"/>
    <xf numFmtId="0" fontId="0" fillId="2" borderId="99" xfId="0" applyFill="1" applyBorder="1"/>
    <xf numFmtId="44" fontId="0" fillId="2" borderId="99" xfId="1" applyFont="1" applyFill="1" applyBorder="1"/>
    <xf numFmtId="0" fontId="9" fillId="2" borderId="100" xfId="0" applyFont="1" applyFill="1" applyBorder="1"/>
    <xf numFmtId="44" fontId="9" fillId="2" borderId="100" xfId="1" applyFont="1" applyFill="1" applyBorder="1"/>
    <xf numFmtId="0" fontId="0" fillId="2" borderId="101" xfId="0" applyFill="1" applyBorder="1"/>
    <xf numFmtId="0" fontId="0" fillId="2" borderId="102" xfId="0" applyFill="1" applyBorder="1"/>
    <xf numFmtId="44" fontId="0" fillId="2" borderId="102" xfId="0" applyNumberFormat="1" applyFill="1" applyBorder="1"/>
    <xf numFmtId="0" fontId="0" fillId="2" borderId="100" xfId="0" applyFill="1" applyBorder="1"/>
    <xf numFmtId="10" fontId="0" fillId="2" borderId="100" xfId="2" applyNumberFormat="1" applyFont="1" applyFill="1" applyBorder="1"/>
    <xf numFmtId="44" fontId="0" fillId="2" borderId="99" xfId="0" applyNumberFormat="1" applyFill="1" applyBorder="1"/>
    <xf numFmtId="10" fontId="0" fillId="2" borderId="0" xfId="2" applyNumberFormat="1" applyFont="1" applyFill="1"/>
    <xf numFmtId="10" fontId="0" fillId="2" borderId="0" xfId="2" applyNumberFormat="1" applyFont="1" applyFill="1" applyBorder="1"/>
    <xf numFmtId="10" fontId="0" fillId="2" borderId="0" xfId="0" applyNumberFormat="1" applyFill="1"/>
    <xf numFmtId="10" fontId="0" fillId="2" borderId="101" xfId="0" applyNumberFormat="1" applyFill="1" applyBorder="1"/>
    <xf numFmtId="0" fontId="62" fillId="8" borderId="50" xfId="0" applyFont="1" applyFill="1" applyBorder="1" applyAlignment="1">
      <alignment vertical="center" wrapText="1"/>
    </xf>
    <xf numFmtId="44" fontId="58" fillId="8" borderId="51" xfId="1" applyFont="1" applyFill="1" applyBorder="1" applyAlignment="1">
      <alignment vertical="center" wrapText="1"/>
    </xf>
    <xf numFmtId="0" fontId="62" fillId="8" borderId="19" xfId="0" applyFont="1" applyFill="1" applyBorder="1"/>
    <xf numFmtId="10" fontId="58" fillId="8" borderId="20" xfId="2" applyNumberFormat="1" applyFont="1" applyFill="1" applyBorder="1"/>
    <xf numFmtId="10" fontId="74" fillId="8" borderId="20" xfId="2" applyNumberFormat="1" applyFont="1" applyFill="1" applyBorder="1"/>
    <xf numFmtId="44" fontId="58" fillId="8" borderId="33" xfId="0" applyNumberFormat="1" applyFont="1" applyFill="1" applyBorder="1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44" fontId="0" fillId="2" borderId="0" xfId="0" applyNumberFormat="1" applyFill="1" applyAlignment="1">
      <alignment horizontal="left" wrapText="1"/>
    </xf>
    <xf numFmtId="2" fontId="0" fillId="2" borderId="0" xfId="0" applyNumberFormat="1" applyFill="1"/>
    <xf numFmtId="0" fontId="76" fillId="2" borderId="0" xfId="3" applyFont="1" applyFill="1"/>
    <xf numFmtId="0" fontId="46" fillId="2" borderId="0" xfId="3" applyFont="1" applyFill="1"/>
    <xf numFmtId="0" fontId="77" fillId="2" borderId="0" xfId="0" applyFont="1" applyFill="1"/>
    <xf numFmtId="0" fontId="77" fillId="2" borderId="0" xfId="0" applyFont="1" applyFill="1" applyAlignment="1">
      <alignment horizontal="center"/>
    </xf>
    <xf numFmtId="169" fontId="77" fillId="2" borderId="0" xfId="0" applyNumberFormat="1" applyFont="1" applyFill="1"/>
    <xf numFmtId="0" fontId="78" fillId="24" borderId="50" xfId="0" applyFont="1" applyFill="1" applyBorder="1" applyAlignment="1">
      <alignment horizontal="center"/>
    </xf>
    <xf numFmtId="0" fontId="79" fillId="24" borderId="51" xfId="0" applyFont="1" applyFill="1" applyBorder="1" applyAlignment="1">
      <alignment horizontal="right"/>
    </xf>
    <xf numFmtId="0" fontId="78" fillId="24" borderId="32" xfId="0" applyFont="1" applyFill="1" applyBorder="1" applyAlignment="1">
      <alignment horizontal="center"/>
    </xf>
    <xf numFmtId="44" fontId="79" fillId="24" borderId="33" xfId="0" applyNumberFormat="1" applyFont="1" applyFill="1" applyBorder="1" applyAlignment="1">
      <alignment horizontal="right"/>
    </xf>
    <xf numFmtId="169" fontId="81" fillId="2" borderId="0" xfId="0" applyNumberFormat="1" applyFont="1" applyFill="1" applyAlignment="1">
      <alignment horizontal="center" vertical="center"/>
    </xf>
    <xf numFmtId="0" fontId="81" fillId="2" borderId="0" xfId="0" applyFont="1" applyFill="1" applyAlignment="1">
      <alignment horizontal="center" vertical="center"/>
    </xf>
    <xf numFmtId="0" fontId="82" fillId="35" borderId="50" xfId="0" applyFont="1" applyFill="1" applyBorder="1" applyAlignment="1">
      <alignment horizontal="center"/>
    </xf>
    <xf numFmtId="44" fontId="83" fillId="35" borderId="51" xfId="1" applyFont="1" applyFill="1" applyBorder="1"/>
    <xf numFmtId="0" fontId="82" fillId="35" borderId="19" xfId="0" applyFont="1" applyFill="1" applyBorder="1" applyAlignment="1">
      <alignment horizontal="center"/>
    </xf>
    <xf numFmtId="10" fontId="83" fillId="35" borderId="20" xfId="1" applyNumberFormat="1" applyFont="1" applyFill="1" applyBorder="1"/>
    <xf numFmtId="10" fontId="83" fillId="35" borderId="51" xfId="2" applyNumberFormat="1" applyFont="1" applyFill="1" applyBorder="1"/>
    <xf numFmtId="0" fontId="77" fillId="2" borderId="72" xfId="0" applyFont="1" applyFill="1" applyBorder="1"/>
    <xf numFmtId="0" fontId="77" fillId="2" borderId="0" xfId="0" applyFont="1" applyFill="1" applyAlignment="1">
      <alignment horizontal="right"/>
    </xf>
    <xf numFmtId="44" fontId="83" fillId="35" borderId="20" xfId="1" applyFont="1" applyFill="1" applyBorder="1"/>
    <xf numFmtId="10" fontId="83" fillId="35" borderId="20" xfId="2" applyNumberFormat="1" applyFont="1" applyFill="1" applyBorder="1"/>
    <xf numFmtId="0" fontId="83" fillId="35" borderId="20" xfId="1" applyNumberFormat="1" applyFont="1" applyFill="1" applyBorder="1"/>
    <xf numFmtId="0" fontId="82" fillId="35" borderId="52" xfId="0" applyFont="1" applyFill="1" applyBorder="1" applyAlignment="1">
      <alignment horizontal="center"/>
    </xf>
    <xf numFmtId="10" fontId="83" fillId="35" borderId="53" xfId="2" applyNumberFormat="1" applyFont="1" applyFill="1" applyBorder="1"/>
    <xf numFmtId="2" fontId="83" fillId="35" borderId="53" xfId="1" applyNumberFormat="1" applyFont="1" applyFill="1" applyBorder="1"/>
    <xf numFmtId="2" fontId="83" fillId="35" borderId="98" xfId="1" applyNumberFormat="1" applyFont="1" applyFill="1" applyBorder="1"/>
    <xf numFmtId="0" fontId="82" fillId="35" borderId="32" xfId="0" applyFont="1" applyFill="1" applyBorder="1" applyAlignment="1">
      <alignment horizontal="center"/>
    </xf>
    <xf numFmtId="10" fontId="83" fillId="35" borderId="33" xfId="2" applyNumberFormat="1" applyFont="1" applyFill="1" applyBorder="1"/>
    <xf numFmtId="0" fontId="77" fillId="2" borderId="97" xfId="0" applyFont="1" applyFill="1" applyBorder="1"/>
    <xf numFmtId="0" fontId="77" fillId="2" borderId="44" xfId="0" applyFont="1" applyFill="1" applyBorder="1"/>
    <xf numFmtId="0" fontId="85" fillId="36" borderId="36" xfId="0" applyFont="1" applyFill="1" applyBorder="1" applyAlignment="1">
      <alignment horizontal="center"/>
    </xf>
    <xf numFmtId="44" fontId="86" fillId="36" borderId="61" xfId="1" applyFont="1" applyFill="1" applyBorder="1"/>
    <xf numFmtId="44" fontId="86" fillId="36" borderId="37" xfId="1" applyFont="1" applyFill="1" applyBorder="1"/>
    <xf numFmtId="0" fontId="85" fillId="36" borderId="19" xfId="0" applyFont="1" applyFill="1" applyBorder="1" applyAlignment="1">
      <alignment horizontal="center"/>
    </xf>
    <xf numFmtId="44" fontId="86" fillId="36" borderId="59" xfId="1" applyFont="1" applyFill="1" applyBorder="1"/>
    <xf numFmtId="44" fontId="86" fillId="36" borderId="20" xfId="1" applyFont="1" applyFill="1" applyBorder="1"/>
    <xf numFmtId="0" fontId="85" fillId="36" borderId="32" xfId="0" applyFont="1" applyFill="1" applyBorder="1" applyAlignment="1">
      <alignment horizontal="center"/>
    </xf>
    <xf numFmtId="44" fontId="86" fillId="36" borderId="60" xfId="0" applyNumberFormat="1" applyFont="1" applyFill="1" applyBorder="1"/>
    <xf numFmtId="44" fontId="86" fillId="36" borderId="33" xfId="0" applyNumberFormat="1" applyFont="1" applyFill="1" applyBorder="1"/>
    <xf numFmtId="0" fontId="87" fillId="32" borderId="50" xfId="0" applyFont="1" applyFill="1" applyBorder="1" applyAlignment="1">
      <alignment horizontal="center"/>
    </xf>
    <xf numFmtId="16" fontId="88" fillId="32" borderId="51" xfId="0" applyNumberFormat="1" applyFont="1" applyFill="1" applyBorder="1" applyAlignment="1">
      <alignment horizontal="right"/>
    </xf>
    <xf numFmtId="0" fontId="87" fillId="32" borderId="19" xfId="0" applyFont="1" applyFill="1" applyBorder="1" applyAlignment="1">
      <alignment horizontal="center"/>
    </xf>
    <xf numFmtId="44" fontId="88" fillId="32" borderId="20" xfId="1" applyFont="1" applyFill="1" applyBorder="1" applyAlignment="1">
      <alignment horizontal="right"/>
    </xf>
    <xf numFmtId="44" fontId="88" fillId="32" borderId="20" xfId="1" applyFont="1" applyFill="1" applyBorder="1"/>
    <xf numFmtId="0" fontId="87" fillId="32" borderId="52" xfId="0" applyFont="1" applyFill="1" applyBorder="1" applyAlignment="1">
      <alignment horizontal="center"/>
    </xf>
    <xf numFmtId="44" fontId="88" fillId="32" borderId="53" xfId="1" applyFont="1" applyFill="1" applyBorder="1"/>
    <xf numFmtId="0" fontId="87" fillId="32" borderId="32" xfId="0" applyFont="1" applyFill="1" applyBorder="1" applyAlignment="1">
      <alignment horizontal="center"/>
    </xf>
    <xf numFmtId="44" fontId="88" fillId="32" borderId="33" xfId="1" applyFont="1" applyFill="1" applyBorder="1"/>
    <xf numFmtId="0" fontId="89" fillId="4" borderId="38" xfId="0" applyFont="1" applyFill="1" applyBorder="1" applyAlignment="1">
      <alignment horizontal="center"/>
    </xf>
    <xf numFmtId="44" fontId="80" fillId="4" borderId="64" xfId="1" applyFont="1" applyFill="1" applyBorder="1"/>
    <xf numFmtId="44" fontId="80" fillId="4" borderId="62" xfId="1" applyFont="1" applyFill="1" applyBorder="1"/>
    <xf numFmtId="0" fontId="85" fillId="8" borderId="50" xfId="0" applyFont="1" applyFill="1" applyBorder="1" applyAlignment="1">
      <alignment horizontal="center"/>
    </xf>
    <xf numFmtId="44" fontId="86" fillId="8" borderId="57" xfId="1" applyFont="1" applyFill="1" applyBorder="1"/>
    <xf numFmtId="44" fontId="80" fillId="8" borderId="51" xfId="1" applyFont="1" applyFill="1" applyBorder="1"/>
    <xf numFmtId="0" fontId="85" fillId="8" borderId="19" xfId="0" applyFont="1" applyFill="1" applyBorder="1" applyAlignment="1">
      <alignment horizontal="center"/>
    </xf>
    <xf numFmtId="44" fontId="86" fillId="8" borderId="59" xfId="1" applyFont="1" applyFill="1" applyBorder="1"/>
    <xf numFmtId="44" fontId="80" fillId="8" borderId="20" xfId="1" applyFont="1" applyFill="1" applyBorder="1"/>
    <xf numFmtId="0" fontId="85" fillId="8" borderId="32" xfId="0" applyFont="1" applyFill="1" applyBorder="1" applyAlignment="1">
      <alignment horizontal="center"/>
    </xf>
    <xf numFmtId="44" fontId="86" fillId="8" borderId="60" xfId="1" applyFont="1" applyFill="1" applyBorder="1"/>
    <xf numFmtId="44" fontId="80" fillId="8" borderId="33" xfId="1" applyFont="1" applyFill="1" applyBorder="1"/>
    <xf numFmtId="0" fontId="90" fillId="9" borderId="50" xfId="0" applyFont="1" applyFill="1" applyBorder="1" applyAlignment="1">
      <alignment horizontal="center"/>
    </xf>
    <xf numFmtId="44" fontId="91" fillId="9" borderId="57" xfId="1" applyFont="1" applyFill="1" applyBorder="1"/>
    <xf numFmtId="44" fontId="80" fillId="9" borderId="51" xfId="1" applyFont="1" applyFill="1" applyBorder="1"/>
    <xf numFmtId="0" fontId="90" fillId="9" borderId="32" xfId="0" applyFont="1" applyFill="1" applyBorder="1" applyAlignment="1">
      <alignment horizontal="center"/>
    </xf>
    <xf numFmtId="44" fontId="91" fillId="9" borderId="60" xfId="1" applyFont="1" applyFill="1" applyBorder="1"/>
    <xf numFmtId="44" fontId="80" fillId="9" borderId="33" xfId="1" applyFont="1" applyFill="1" applyBorder="1"/>
    <xf numFmtId="0" fontId="85" fillId="5" borderId="36" xfId="0" applyFont="1" applyFill="1" applyBorder="1" applyAlignment="1">
      <alignment horizontal="center"/>
    </xf>
    <xf numFmtId="44" fontId="86" fillId="5" borderId="61" xfId="1" applyFont="1" applyFill="1" applyBorder="1"/>
    <xf numFmtId="44" fontId="80" fillId="5" borderId="37" xfId="1" applyFont="1" applyFill="1" applyBorder="1"/>
    <xf numFmtId="0" fontId="85" fillId="5" borderId="32" xfId="0" applyFont="1" applyFill="1" applyBorder="1" applyAlignment="1">
      <alignment horizontal="center"/>
    </xf>
    <xf numFmtId="44" fontId="86" fillId="5" borderId="60" xfId="1" applyFont="1" applyFill="1" applyBorder="1"/>
    <xf numFmtId="44" fontId="80" fillId="5" borderId="33" xfId="1" applyFont="1" applyFill="1" applyBorder="1"/>
    <xf numFmtId="0" fontId="92" fillId="2" borderId="0" xfId="3" applyFont="1" applyFill="1" applyAlignment="1">
      <alignment horizontal="center" vertical="center"/>
    </xf>
    <xf numFmtId="0" fontId="85" fillId="31" borderId="50" xfId="0" applyFont="1" applyFill="1" applyBorder="1" applyAlignment="1">
      <alignment horizontal="center"/>
    </xf>
    <xf numFmtId="44" fontId="86" fillId="31" borderId="51" xfId="1" applyFont="1" applyFill="1" applyBorder="1"/>
    <xf numFmtId="0" fontId="85" fillId="31" borderId="19" xfId="0" applyFont="1" applyFill="1" applyBorder="1" applyAlignment="1">
      <alignment horizontal="center"/>
    </xf>
    <xf numFmtId="44" fontId="86" fillId="31" borderId="20" xfId="1" applyFont="1" applyFill="1" applyBorder="1"/>
    <xf numFmtId="164" fontId="86" fillId="31" borderId="20" xfId="1" applyNumberFormat="1" applyFont="1" applyFill="1" applyBorder="1"/>
    <xf numFmtId="0" fontId="85" fillId="31" borderId="32" xfId="0" applyFont="1" applyFill="1" applyBorder="1" applyAlignment="1">
      <alignment horizontal="center"/>
    </xf>
    <xf numFmtId="10" fontId="86" fillId="31" borderId="33" xfId="2" applyNumberFormat="1" applyFont="1" applyFill="1" applyBorder="1"/>
    <xf numFmtId="0" fontId="85" fillId="2" borderId="0" xfId="0" applyFont="1" applyFill="1" applyAlignment="1">
      <alignment horizontal="center"/>
    </xf>
    <xf numFmtId="10" fontId="86" fillId="2" borderId="0" xfId="2" applyNumberFormat="1" applyFont="1" applyFill="1" applyBorder="1"/>
    <xf numFmtId="10" fontId="86" fillId="36" borderId="37" xfId="2" applyNumberFormat="1" applyFont="1" applyFill="1" applyBorder="1"/>
    <xf numFmtId="10" fontId="86" fillId="36" borderId="20" xfId="2" applyNumberFormat="1" applyFont="1" applyFill="1" applyBorder="1"/>
    <xf numFmtId="0" fontId="85" fillId="36" borderId="52" xfId="0" applyFont="1" applyFill="1" applyBorder="1" applyAlignment="1">
      <alignment horizontal="center"/>
    </xf>
    <xf numFmtId="10" fontId="86" fillId="36" borderId="53" xfId="2" applyNumberFormat="1" applyFont="1" applyFill="1" applyBorder="1"/>
    <xf numFmtId="0" fontId="85" fillId="36" borderId="38" xfId="0" applyFont="1" applyFill="1" applyBorder="1" applyAlignment="1">
      <alignment horizontal="center"/>
    </xf>
    <xf numFmtId="10" fontId="86" fillId="36" borderId="62" xfId="2" applyNumberFormat="1" applyFont="1" applyFill="1" applyBorder="1"/>
    <xf numFmtId="0" fontId="89" fillId="39" borderId="19" xfId="0" applyFont="1" applyFill="1" applyBorder="1" applyAlignment="1">
      <alignment horizontal="center"/>
    </xf>
    <xf numFmtId="44" fontId="80" fillId="39" borderId="59" xfId="1" applyFont="1" applyFill="1" applyBorder="1"/>
    <xf numFmtId="10" fontId="80" fillId="39" borderId="59" xfId="2" applyNumberFormat="1" applyFont="1" applyFill="1" applyBorder="1"/>
    <xf numFmtId="10" fontId="80" fillId="39" borderId="20" xfId="2" applyNumberFormat="1" applyFont="1" applyFill="1" applyBorder="1"/>
    <xf numFmtId="44" fontId="80" fillId="39" borderId="59" xfId="0" applyNumberFormat="1" applyFont="1" applyFill="1" applyBorder="1"/>
    <xf numFmtId="0" fontId="93" fillId="40" borderId="93" xfId="0" applyFont="1" applyFill="1" applyBorder="1" applyAlignment="1">
      <alignment horizontal="center"/>
    </xf>
    <xf numFmtId="44" fontId="94" fillId="40" borderId="94" xfId="1" applyFont="1" applyFill="1" applyBorder="1"/>
    <xf numFmtId="10" fontId="94" fillId="40" borderId="95" xfId="2" applyNumberFormat="1" applyFont="1" applyFill="1" applyBorder="1"/>
    <xf numFmtId="10" fontId="94" fillId="40" borderId="96" xfId="2" applyNumberFormat="1" applyFont="1" applyFill="1" applyBorder="1"/>
    <xf numFmtId="10" fontId="94" fillId="40" borderId="62" xfId="2" applyNumberFormat="1" applyFont="1" applyFill="1" applyBorder="1"/>
    <xf numFmtId="0" fontId="93" fillId="40" borderId="85" xfId="0" applyFont="1" applyFill="1" applyBorder="1"/>
    <xf numFmtId="10" fontId="94" fillId="40" borderId="89" xfId="2" applyNumberFormat="1" applyFont="1" applyFill="1" applyBorder="1"/>
    <xf numFmtId="0" fontId="95" fillId="24" borderId="19" xfId="0" applyFont="1" applyFill="1" applyBorder="1" applyAlignment="1">
      <alignment horizontal="center"/>
    </xf>
    <xf numFmtId="44" fontId="79" fillId="24" borderId="59" xfId="1" applyFont="1" applyFill="1" applyBorder="1"/>
    <xf numFmtId="10" fontId="79" fillId="24" borderId="59" xfId="2" applyNumberFormat="1" applyFont="1" applyFill="1" applyBorder="1"/>
    <xf numFmtId="10" fontId="79" fillId="24" borderId="20" xfId="2" applyNumberFormat="1" applyFont="1" applyFill="1" applyBorder="1"/>
    <xf numFmtId="44" fontId="79" fillId="24" borderId="59" xfId="0" applyNumberFormat="1" applyFont="1" applyFill="1" applyBorder="1"/>
    <xf numFmtId="0" fontId="96" fillId="37" borderId="93" xfId="0" applyFont="1" applyFill="1" applyBorder="1" applyAlignment="1">
      <alignment horizontal="center"/>
    </xf>
    <xf numFmtId="44" fontId="97" fillId="37" borderId="94" xfId="1" applyFont="1" applyFill="1" applyBorder="1"/>
    <xf numFmtId="10" fontId="97" fillId="37" borderId="95" xfId="2" applyNumberFormat="1" applyFont="1" applyFill="1" applyBorder="1"/>
    <xf numFmtId="10" fontId="97" fillId="37" borderId="96" xfId="2" applyNumberFormat="1" applyFont="1" applyFill="1" applyBorder="1"/>
    <xf numFmtId="10" fontId="97" fillId="37" borderId="62" xfId="2" applyNumberFormat="1" applyFont="1" applyFill="1" applyBorder="1"/>
    <xf numFmtId="0" fontId="96" fillId="37" borderId="85" xfId="0" applyFont="1" applyFill="1" applyBorder="1"/>
    <xf numFmtId="10" fontId="97" fillId="37" borderId="89" xfId="2" applyNumberFormat="1" applyFont="1" applyFill="1" applyBorder="1"/>
    <xf numFmtId="0" fontId="98" fillId="31" borderId="19" xfId="0" applyFont="1" applyFill="1" applyBorder="1" applyAlignment="1">
      <alignment horizontal="center"/>
    </xf>
    <xf numFmtId="44" fontId="99" fillId="31" borderId="59" xfId="1" applyFont="1" applyFill="1" applyBorder="1"/>
    <xf numFmtId="10" fontId="99" fillId="31" borderId="88" xfId="2" applyNumberFormat="1" applyFont="1" applyFill="1" applyBorder="1"/>
    <xf numFmtId="10" fontId="99" fillId="31" borderId="20" xfId="2" applyNumberFormat="1" applyFont="1" applyFill="1" applyBorder="1"/>
    <xf numFmtId="44" fontId="99" fillId="31" borderId="59" xfId="0" applyNumberFormat="1" applyFont="1" applyFill="1" applyBorder="1"/>
    <xf numFmtId="0" fontId="100" fillId="38" borderId="32" xfId="0" applyFont="1" applyFill="1" applyBorder="1" applyAlignment="1">
      <alignment horizontal="center"/>
    </xf>
    <xf numFmtId="44" fontId="101" fillId="38" borderId="60" xfId="1" applyFont="1" applyFill="1" applyBorder="1"/>
    <xf numFmtId="10" fontId="101" fillId="38" borderId="90" xfId="2" applyNumberFormat="1" applyFont="1" applyFill="1" applyBorder="1"/>
    <xf numFmtId="10" fontId="101" fillId="38" borderId="33" xfId="2" applyNumberFormat="1" applyFont="1" applyFill="1" applyBorder="1"/>
    <xf numFmtId="10" fontId="101" fillId="38" borderId="71" xfId="2" applyNumberFormat="1" applyFont="1" applyFill="1" applyBorder="1"/>
    <xf numFmtId="0" fontId="100" fillId="38" borderId="85" xfId="0" applyFont="1" applyFill="1" applyBorder="1"/>
    <xf numFmtId="10" fontId="101" fillId="38" borderId="92" xfId="2" applyNumberFormat="1" applyFont="1" applyFill="1" applyBorder="1"/>
    <xf numFmtId="44" fontId="77" fillId="2" borderId="0" xfId="0" applyNumberFormat="1" applyFont="1" applyFill="1"/>
    <xf numFmtId="8" fontId="77" fillId="2" borderId="0" xfId="0" applyNumberFormat="1" applyFont="1" applyFill="1"/>
    <xf numFmtId="0" fontId="77" fillId="32" borderId="0" xfId="0" applyFont="1" applyFill="1"/>
    <xf numFmtId="0" fontId="102" fillId="32" borderId="0" xfId="3" quotePrefix="1" applyFont="1" applyFill="1"/>
    <xf numFmtId="0" fontId="103" fillId="2" borderId="0" xfId="0" applyFont="1" applyFill="1"/>
    <xf numFmtId="0" fontId="104" fillId="2" borderId="0" xfId="0" applyFont="1" applyFill="1"/>
    <xf numFmtId="165" fontId="105" fillId="0" borderId="0" xfId="0" applyNumberFormat="1" applyFont="1"/>
    <xf numFmtId="10" fontId="105" fillId="0" borderId="0" xfId="0" applyNumberFormat="1" applyFont="1"/>
    <xf numFmtId="0" fontId="105" fillId="0" borderId="0" xfId="0" applyFont="1"/>
    <xf numFmtId="0" fontId="66" fillId="0" borderId="0" xfId="0" applyFont="1" applyAlignment="1">
      <alignment horizontal="center" vertical="center" wrapText="1"/>
    </xf>
    <xf numFmtId="165" fontId="66" fillId="0" borderId="0" xfId="0" applyNumberFormat="1" applyFont="1" applyAlignment="1">
      <alignment horizontal="center" vertical="center" wrapText="1"/>
    </xf>
    <xf numFmtId="0" fontId="105" fillId="0" borderId="0" xfId="0" applyFont="1" applyAlignment="1">
      <alignment horizontal="center" vertical="center" wrapText="1"/>
    </xf>
    <xf numFmtId="0" fontId="105" fillId="0" borderId="0" xfId="0" applyFont="1" applyAlignment="1">
      <alignment horizontal="center"/>
    </xf>
    <xf numFmtId="44" fontId="105" fillId="0" borderId="0" xfId="1" applyFont="1" applyFill="1"/>
    <xf numFmtId="10" fontId="105" fillId="0" borderId="0" xfId="2" applyNumberFormat="1" applyFont="1" applyFill="1"/>
    <xf numFmtId="0" fontId="105" fillId="0" borderId="38" xfId="0" applyFont="1" applyBorder="1" applyAlignment="1">
      <alignment horizontal="center" vertical="center"/>
    </xf>
    <xf numFmtId="44" fontId="105" fillId="0" borderId="62" xfId="1" applyFont="1" applyFill="1" applyBorder="1" applyAlignment="1">
      <alignment horizontal="center" vertical="center"/>
    </xf>
    <xf numFmtId="10" fontId="105" fillId="0" borderId="38" xfId="2" applyNumberFormat="1" applyFont="1" applyFill="1" applyBorder="1" applyAlignment="1">
      <alignment horizontal="center" vertical="center" wrapText="1"/>
    </xf>
    <xf numFmtId="10" fontId="105" fillId="0" borderId="62" xfId="2" applyNumberFormat="1" applyFont="1" applyFill="1" applyBorder="1" applyAlignment="1">
      <alignment horizontal="center" vertical="center"/>
    </xf>
    <xf numFmtId="0" fontId="105" fillId="0" borderId="0" xfId="0" applyFont="1" applyAlignment="1">
      <alignment horizontal="center" vertical="center"/>
    </xf>
    <xf numFmtId="0" fontId="105" fillId="0" borderId="36" xfId="0" applyFont="1" applyBorder="1" applyAlignment="1">
      <alignment horizontal="center"/>
    </xf>
    <xf numFmtId="44" fontId="105" fillId="0" borderId="61" xfId="1" applyFont="1" applyFill="1" applyBorder="1"/>
    <xf numFmtId="0" fontId="105" fillId="0" borderId="61" xfId="0" applyFont="1" applyBorder="1" applyAlignment="1">
      <alignment horizontal="center"/>
    </xf>
    <xf numFmtId="10" fontId="105" fillId="0" borderId="61" xfId="2" applyNumberFormat="1" applyFont="1" applyFill="1" applyBorder="1"/>
    <xf numFmtId="10" fontId="105" fillId="0" borderId="37" xfId="2" applyNumberFormat="1" applyFont="1" applyFill="1" applyBorder="1"/>
    <xf numFmtId="0" fontId="105" fillId="0" borderId="19" xfId="0" applyFont="1" applyBorder="1" applyAlignment="1">
      <alignment horizontal="center"/>
    </xf>
    <xf numFmtId="44" fontId="105" fillId="0" borderId="59" xfId="1" applyFont="1" applyFill="1" applyBorder="1"/>
    <xf numFmtId="0" fontId="105" fillId="0" borderId="59" xfId="0" applyFont="1" applyBorder="1" applyAlignment="1">
      <alignment horizontal="center"/>
    </xf>
    <xf numFmtId="10" fontId="105" fillId="0" borderId="59" xfId="2" applyNumberFormat="1" applyFont="1" applyFill="1" applyBorder="1"/>
    <xf numFmtId="0" fontId="105" fillId="0" borderId="32" xfId="0" applyFont="1" applyBorder="1" applyAlignment="1">
      <alignment horizontal="center"/>
    </xf>
    <xf numFmtId="44" fontId="105" fillId="0" borderId="60" xfId="1" applyFont="1" applyFill="1" applyBorder="1"/>
    <xf numFmtId="0" fontId="105" fillId="0" borderId="60" xfId="0" applyFont="1" applyBorder="1" applyAlignment="1">
      <alignment horizontal="center"/>
    </xf>
    <xf numFmtId="10" fontId="105" fillId="0" borderId="60" xfId="2" applyNumberFormat="1" applyFont="1" applyFill="1" applyBorder="1"/>
    <xf numFmtId="0" fontId="105" fillId="2" borderId="0" xfId="0" applyFont="1" applyFill="1"/>
    <xf numFmtId="0" fontId="66" fillId="2" borderId="104" xfId="0" applyFont="1" applyFill="1" applyBorder="1" applyAlignment="1">
      <alignment horizontal="center" vertical="center"/>
    </xf>
    <xf numFmtId="0" fontId="66" fillId="2" borderId="105" xfId="0" applyFont="1" applyFill="1" applyBorder="1" applyAlignment="1">
      <alignment horizontal="center" vertical="center"/>
    </xf>
    <xf numFmtId="0" fontId="66" fillId="2" borderId="98" xfId="0" applyFont="1" applyFill="1" applyBorder="1" applyAlignment="1">
      <alignment horizontal="center" vertical="center" wrapText="1"/>
    </xf>
    <xf numFmtId="0" fontId="66" fillId="2" borderId="59" xfId="0" applyFont="1" applyFill="1" applyBorder="1" applyAlignment="1">
      <alignment horizontal="center" vertical="center"/>
    </xf>
    <xf numFmtId="0" fontId="66" fillId="2" borderId="59" xfId="0" applyFont="1" applyFill="1" applyBorder="1" applyAlignment="1">
      <alignment horizontal="center" vertical="center" wrapText="1"/>
    </xf>
    <xf numFmtId="0" fontId="105" fillId="2" borderId="50" xfId="0" applyFont="1" applyFill="1" applyBorder="1"/>
    <xf numFmtId="167" fontId="105" fillId="2" borderId="57" xfId="0" applyNumberFormat="1" applyFont="1" applyFill="1" applyBorder="1"/>
    <xf numFmtId="10" fontId="67" fillId="2" borderId="57" xfId="2" applyNumberFormat="1" applyFont="1" applyFill="1" applyBorder="1"/>
    <xf numFmtId="167" fontId="105" fillId="2" borderId="51" xfId="0" applyNumberFormat="1" applyFont="1" applyFill="1" applyBorder="1"/>
    <xf numFmtId="0" fontId="105" fillId="2" borderId="59" xfId="0" applyFont="1" applyFill="1" applyBorder="1"/>
    <xf numFmtId="167" fontId="105" fillId="2" borderId="59" xfId="0" applyNumberFormat="1" applyFont="1" applyFill="1" applyBorder="1"/>
    <xf numFmtId="10" fontId="67" fillId="2" borderId="59" xfId="2" applyNumberFormat="1" applyFont="1" applyFill="1" applyBorder="1"/>
    <xf numFmtId="0" fontId="105" fillId="2" borderId="19" xfId="0" applyFont="1" applyFill="1" applyBorder="1"/>
    <xf numFmtId="8" fontId="105" fillId="2" borderId="59" xfId="0" applyNumberFormat="1" applyFont="1" applyFill="1" applyBorder="1"/>
    <xf numFmtId="167" fontId="105" fillId="2" borderId="20" xfId="0" applyNumberFormat="1" applyFont="1" applyFill="1" applyBorder="1"/>
    <xf numFmtId="0" fontId="105" fillId="2" borderId="19" xfId="0" applyFont="1" applyFill="1" applyBorder="1" applyAlignment="1">
      <alignment vertical="center"/>
    </xf>
    <xf numFmtId="8" fontId="105" fillId="2" borderId="59" xfId="0" applyNumberFormat="1" applyFont="1" applyFill="1" applyBorder="1" applyAlignment="1">
      <alignment vertical="center"/>
    </xf>
    <xf numFmtId="167" fontId="105" fillId="2" borderId="20" xfId="0" applyNumberFormat="1" applyFont="1" applyFill="1" applyBorder="1" applyAlignment="1">
      <alignment vertical="center"/>
    </xf>
    <xf numFmtId="0" fontId="105" fillId="2" borderId="59" xfId="0" applyFont="1" applyFill="1" applyBorder="1" applyAlignment="1">
      <alignment vertical="center"/>
    </xf>
    <xf numFmtId="167" fontId="105" fillId="2" borderId="59" xfId="0" applyNumberFormat="1" applyFont="1" applyFill="1" applyBorder="1" applyAlignment="1">
      <alignment vertical="center"/>
    </xf>
    <xf numFmtId="0" fontId="105" fillId="2" borderId="19" xfId="0" applyFont="1" applyFill="1" applyBorder="1" applyAlignment="1">
      <alignment wrapText="1"/>
    </xf>
    <xf numFmtId="8" fontId="105" fillId="2" borderId="59" xfId="0" applyNumberFormat="1" applyFont="1" applyFill="1" applyBorder="1" applyAlignment="1">
      <alignment wrapText="1"/>
    </xf>
    <xf numFmtId="10" fontId="67" fillId="2" borderId="59" xfId="2" applyNumberFormat="1" applyFont="1" applyFill="1" applyBorder="1" applyAlignment="1">
      <alignment wrapText="1"/>
    </xf>
    <xf numFmtId="167" fontId="105" fillId="2" borderId="20" xfId="0" applyNumberFormat="1" applyFont="1" applyFill="1" applyBorder="1" applyAlignment="1">
      <alignment wrapText="1"/>
    </xf>
    <xf numFmtId="0" fontId="105" fillId="2" borderId="0" xfId="0" applyFont="1" applyFill="1" applyAlignment="1">
      <alignment wrapText="1"/>
    </xf>
    <xf numFmtId="0" fontId="105" fillId="2" borderId="32" xfId="0" applyFont="1" applyFill="1" applyBorder="1"/>
    <xf numFmtId="8" fontId="105" fillId="2" borderId="60" xfId="0" applyNumberFormat="1" applyFont="1" applyFill="1" applyBorder="1"/>
    <xf numFmtId="10" fontId="67" fillId="2" borderId="60" xfId="2" applyNumberFormat="1" applyFont="1" applyFill="1" applyBorder="1"/>
    <xf numFmtId="0" fontId="66" fillId="2" borderId="36" xfId="0" applyFont="1" applyFill="1" applyBorder="1"/>
    <xf numFmtId="167" fontId="105" fillId="2" borderId="37" xfId="1" applyNumberFormat="1" applyFont="1" applyFill="1" applyBorder="1"/>
    <xf numFmtId="0" fontId="66" fillId="2" borderId="61" xfId="0" applyFont="1" applyFill="1" applyBorder="1"/>
    <xf numFmtId="167" fontId="105" fillId="2" borderId="61" xfId="1" applyNumberFormat="1" applyFont="1" applyFill="1" applyBorder="1"/>
    <xf numFmtId="0" fontId="66" fillId="2" borderId="19" xfId="0" applyFont="1" applyFill="1" applyBorder="1"/>
    <xf numFmtId="167" fontId="105" fillId="2" borderId="20" xfId="1" applyNumberFormat="1" applyFont="1" applyFill="1" applyBorder="1"/>
    <xf numFmtId="0" fontId="66" fillId="2" borderId="59" xfId="0" applyFont="1" applyFill="1" applyBorder="1"/>
    <xf numFmtId="167" fontId="105" fillId="2" borderId="59" xfId="1" applyNumberFormat="1" applyFont="1" applyFill="1" applyBorder="1"/>
    <xf numFmtId="10" fontId="105" fillId="2" borderId="20" xfId="2" applyNumberFormat="1" applyFont="1" applyFill="1" applyBorder="1"/>
    <xf numFmtId="10" fontId="105" fillId="2" borderId="59" xfId="2" applyNumberFormat="1" applyFont="1" applyFill="1" applyBorder="1"/>
    <xf numFmtId="0" fontId="66" fillId="2" borderId="32" xfId="0" applyFont="1" applyFill="1" applyBorder="1" applyAlignment="1">
      <alignment horizontal="center" wrapText="1"/>
    </xf>
    <xf numFmtId="10" fontId="105" fillId="2" borderId="33" xfId="2" applyNumberFormat="1" applyFont="1" applyFill="1" applyBorder="1" applyAlignment="1">
      <alignment horizontal="right" vertical="center" wrapText="1"/>
    </xf>
    <xf numFmtId="0" fontId="105" fillId="2" borderId="0" xfId="0" applyFont="1" applyFill="1" applyAlignment="1">
      <alignment horizontal="center"/>
    </xf>
    <xf numFmtId="0" fontId="105" fillId="2" borderId="0" xfId="0" applyFont="1" applyFill="1" applyAlignment="1">
      <alignment horizontal="center" wrapText="1"/>
    </xf>
    <xf numFmtId="0" fontId="66" fillId="2" borderId="59" xfId="0" applyFont="1" applyFill="1" applyBorder="1" applyAlignment="1">
      <alignment wrapText="1"/>
    </xf>
    <xf numFmtId="10" fontId="105" fillId="2" borderId="59" xfId="2" applyNumberFormat="1" applyFont="1" applyFill="1" applyBorder="1" applyAlignment="1">
      <alignment vertical="center" wrapText="1"/>
    </xf>
    <xf numFmtId="0" fontId="3" fillId="2" borderId="0" xfId="3" applyFill="1"/>
    <xf numFmtId="0" fontId="114" fillId="13" borderId="42" xfId="0" applyFont="1" applyFill="1" applyBorder="1" applyAlignment="1">
      <alignment horizontal="center"/>
    </xf>
    <xf numFmtId="0" fontId="115" fillId="13" borderId="56" xfId="0" applyFont="1" applyFill="1" applyBorder="1" applyAlignment="1">
      <alignment horizontal="center" vertical="center" wrapText="1"/>
    </xf>
    <xf numFmtId="0" fontId="115" fillId="13" borderId="14" xfId="0" applyFont="1" applyFill="1" applyBorder="1" applyAlignment="1">
      <alignment horizontal="center"/>
    </xf>
    <xf numFmtId="0" fontId="115" fillId="14" borderId="16" xfId="0" applyFont="1" applyFill="1" applyBorder="1" applyAlignment="1">
      <alignment horizontal="center"/>
    </xf>
    <xf numFmtId="164" fontId="116" fillId="14" borderId="17" xfId="0" applyNumberFormat="1" applyFont="1" applyFill="1" applyBorder="1" applyAlignment="1">
      <alignment wrapText="1"/>
    </xf>
    <xf numFmtId="0" fontId="115" fillId="14" borderId="14" xfId="0" applyFont="1" applyFill="1" applyBorder="1" applyAlignment="1">
      <alignment horizontal="center"/>
    </xf>
    <xf numFmtId="164" fontId="116" fillId="14" borderId="15" xfId="0" applyNumberFormat="1" applyFont="1" applyFill="1" applyBorder="1" applyAlignment="1">
      <alignment wrapText="1"/>
    </xf>
    <xf numFmtId="0" fontId="115" fillId="14" borderId="12" xfId="0" applyFont="1" applyFill="1" applyBorder="1" applyAlignment="1">
      <alignment horizontal="center"/>
    </xf>
    <xf numFmtId="164" fontId="116" fillId="14" borderId="13" xfId="0" applyNumberFormat="1" applyFont="1" applyFill="1" applyBorder="1" applyAlignment="1">
      <alignment wrapText="1"/>
    </xf>
    <xf numFmtId="0" fontId="115" fillId="14" borderId="76" xfId="0" applyFont="1" applyFill="1" applyBorder="1" applyAlignment="1">
      <alignment horizontal="center" vertical="center"/>
    </xf>
    <xf numFmtId="164" fontId="116" fillId="14" borderId="13" xfId="0" applyNumberFormat="1" applyFont="1" applyFill="1" applyBorder="1" applyAlignment="1">
      <alignment vertical="center" wrapText="1"/>
    </xf>
    <xf numFmtId="0" fontId="115" fillId="14" borderId="76" xfId="0" applyFont="1" applyFill="1" applyBorder="1" applyAlignment="1">
      <alignment horizontal="center" vertical="center" wrapText="1"/>
    </xf>
    <xf numFmtId="10" fontId="116" fillId="14" borderId="15" xfId="0" applyNumberFormat="1" applyFont="1" applyFill="1" applyBorder="1" applyAlignment="1">
      <alignment vertical="center" wrapText="1"/>
    </xf>
    <xf numFmtId="0" fontId="115" fillId="14" borderId="12" xfId="0" applyFont="1" applyFill="1" applyBorder="1" applyAlignment="1">
      <alignment horizontal="center" vertical="center" wrapText="1"/>
    </xf>
    <xf numFmtId="164" fontId="116" fillId="14" borderId="22" xfId="0" applyNumberFormat="1" applyFont="1" applyFill="1" applyBorder="1" applyAlignment="1">
      <alignment vertical="center" wrapText="1"/>
    </xf>
    <xf numFmtId="0" fontId="115" fillId="14" borderId="23" xfId="0" applyFont="1" applyFill="1" applyBorder="1" applyAlignment="1">
      <alignment horizontal="center"/>
    </xf>
    <xf numFmtId="10" fontId="116" fillId="14" borderId="24" xfId="0" applyNumberFormat="1" applyFont="1" applyFill="1" applyBorder="1" applyAlignment="1">
      <alignment wrapText="1"/>
    </xf>
    <xf numFmtId="0" fontId="115" fillId="13" borderId="77" xfId="0" applyFont="1" applyFill="1" applyBorder="1" applyAlignment="1">
      <alignment horizontal="center" vertical="center" wrapText="1"/>
    </xf>
    <xf numFmtId="0" fontId="115" fillId="13" borderId="43" xfId="0" applyFont="1" applyFill="1" applyBorder="1" applyAlignment="1">
      <alignment horizontal="center" vertical="center" wrapText="1"/>
    </xf>
    <xf numFmtId="0" fontId="3" fillId="2" borderId="0" xfId="3" applyFill="1" applyAlignment="1">
      <alignment vertical="top"/>
    </xf>
    <xf numFmtId="0" fontId="112" fillId="43" borderId="109" xfId="7" applyAlignment="1" applyProtection="1">
      <alignment horizontal="left" vertical="center" wrapText="1"/>
      <protection locked="0"/>
    </xf>
    <xf numFmtId="164" fontId="112" fillId="43" borderId="109" xfId="7" applyNumberFormat="1" applyAlignment="1" applyProtection="1">
      <alignment vertical="center" wrapText="1"/>
      <protection locked="0"/>
    </xf>
    <xf numFmtId="0" fontId="112" fillId="43" borderId="109" xfId="7" applyAlignment="1" applyProtection="1">
      <alignment vertical="center" wrapText="1"/>
      <protection locked="0"/>
    </xf>
    <xf numFmtId="10" fontId="112" fillId="43" borderId="109" xfId="7" applyNumberFormat="1" applyAlignment="1" applyProtection="1">
      <alignment vertical="center" wrapText="1"/>
      <protection locked="0"/>
    </xf>
    <xf numFmtId="164" fontId="112" fillId="43" borderId="109" xfId="7" applyNumberFormat="1" applyAlignment="1" applyProtection="1">
      <alignment wrapText="1"/>
      <protection locked="0"/>
    </xf>
    <xf numFmtId="0" fontId="112" fillId="43" borderId="109" xfId="7" applyAlignment="1" applyProtection="1">
      <alignment wrapText="1"/>
      <protection locked="0"/>
    </xf>
    <xf numFmtId="0" fontId="117" fillId="13" borderId="42" xfId="0" applyFont="1" applyFill="1" applyBorder="1" applyAlignment="1">
      <alignment horizontal="center"/>
    </xf>
    <xf numFmtId="0" fontId="118" fillId="13" borderId="56" xfId="0" applyFont="1" applyFill="1" applyBorder="1" applyAlignment="1">
      <alignment horizontal="center" vertical="center" wrapText="1"/>
    </xf>
    <xf numFmtId="0" fontId="118" fillId="13" borderId="14" xfId="0" applyFont="1" applyFill="1" applyBorder="1" applyAlignment="1">
      <alignment horizontal="center"/>
    </xf>
    <xf numFmtId="0" fontId="118" fillId="14" borderId="16" xfId="0" applyFont="1" applyFill="1" applyBorder="1" applyAlignment="1">
      <alignment horizontal="center"/>
    </xf>
    <xf numFmtId="164" fontId="119" fillId="14" borderId="17" xfId="0" applyNumberFormat="1" applyFont="1" applyFill="1" applyBorder="1" applyAlignment="1">
      <alignment wrapText="1"/>
    </xf>
    <xf numFmtId="0" fontId="118" fillId="14" borderId="14" xfId="0" applyFont="1" applyFill="1" applyBorder="1" applyAlignment="1">
      <alignment horizontal="center"/>
    </xf>
    <xf numFmtId="164" fontId="119" fillId="14" borderId="15" xfId="0" applyNumberFormat="1" applyFont="1" applyFill="1" applyBorder="1" applyAlignment="1">
      <alignment wrapText="1"/>
    </xf>
    <xf numFmtId="0" fontId="118" fillId="14" borderId="12" xfId="0" applyFont="1" applyFill="1" applyBorder="1" applyAlignment="1">
      <alignment horizontal="center"/>
    </xf>
    <xf numFmtId="164" fontId="119" fillId="14" borderId="13" xfId="0" applyNumberFormat="1" applyFont="1" applyFill="1" applyBorder="1" applyAlignment="1">
      <alignment wrapText="1"/>
    </xf>
    <xf numFmtId="0" fontId="118" fillId="14" borderId="76" xfId="0" applyFont="1" applyFill="1" applyBorder="1" applyAlignment="1">
      <alignment horizontal="center" vertical="center"/>
    </xf>
    <xf numFmtId="164" fontId="119" fillId="14" borderId="13" xfId="0" applyNumberFormat="1" applyFont="1" applyFill="1" applyBorder="1" applyAlignment="1">
      <alignment vertical="center" wrapText="1"/>
    </xf>
    <xf numFmtId="0" fontId="118" fillId="14" borderId="76" xfId="0" applyFont="1" applyFill="1" applyBorder="1" applyAlignment="1">
      <alignment horizontal="center" vertical="center" wrapText="1"/>
    </xf>
    <xf numFmtId="10" fontId="119" fillId="14" borderId="15" xfId="0" applyNumberFormat="1" applyFont="1" applyFill="1" applyBorder="1" applyAlignment="1">
      <alignment vertical="center" wrapText="1"/>
    </xf>
    <xf numFmtId="0" fontId="118" fillId="14" borderId="12" xfId="0" applyFont="1" applyFill="1" applyBorder="1" applyAlignment="1">
      <alignment horizontal="center" vertical="center" wrapText="1"/>
    </xf>
    <xf numFmtId="164" fontId="119" fillId="14" borderId="22" xfId="0" applyNumberFormat="1" applyFont="1" applyFill="1" applyBorder="1" applyAlignment="1">
      <alignment vertical="center" wrapText="1"/>
    </xf>
    <xf numFmtId="0" fontId="118" fillId="14" borderId="23" xfId="0" applyFont="1" applyFill="1" applyBorder="1" applyAlignment="1">
      <alignment horizontal="center"/>
    </xf>
    <xf numFmtId="10" fontId="119" fillId="14" borderId="24" xfId="0" applyNumberFormat="1" applyFont="1" applyFill="1" applyBorder="1" applyAlignment="1">
      <alignment wrapText="1"/>
    </xf>
    <xf numFmtId="0" fontId="118" fillId="13" borderId="77" xfId="0" applyFont="1" applyFill="1" applyBorder="1" applyAlignment="1">
      <alignment horizontal="center" vertical="center" wrapText="1"/>
    </xf>
    <xf numFmtId="0" fontId="118" fillId="13" borderId="43" xfId="0" applyFont="1" applyFill="1" applyBorder="1" applyAlignment="1">
      <alignment horizontal="center" vertical="center" wrapText="1"/>
    </xf>
    <xf numFmtId="165" fontId="112" fillId="43" borderId="109" xfId="7" applyNumberFormat="1" applyAlignment="1" applyProtection="1">
      <alignment wrapText="1"/>
      <protection locked="0"/>
    </xf>
    <xf numFmtId="0" fontId="112" fillId="43" borderId="109" xfId="7" applyProtection="1">
      <protection locked="0"/>
    </xf>
    <xf numFmtId="10" fontId="112" fillId="43" borderId="109" xfId="7" applyNumberFormat="1" applyProtection="1">
      <protection locked="0"/>
    </xf>
    <xf numFmtId="0" fontId="0" fillId="2" borderId="0" xfId="0" applyFill="1" applyAlignment="1">
      <alignment horizontal="center"/>
    </xf>
    <xf numFmtId="0" fontId="8" fillId="44" borderId="1" xfId="0" applyFont="1" applyFill="1" applyBorder="1" applyAlignment="1">
      <alignment horizontal="center" vertical="center" wrapText="1"/>
    </xf>
    <xf numFmtId="0" fontId="8" fillId="28" borderId="1" xfId="0" applyFont="1" applyFill="1" applyBorder="1" applyAlignment="1">
      <alignment horizontal="center" vertical="center"/>
    </xf>
    <xf numFmtId="0" fontId="8" fillId="28" borderId="3" xfId="0" applyFont="1" applyFill="1" applyBorder="1" applyAlignment="1">
      <alignment horizontal="center" vertical="center"/>
    </xf>
    <xf numFmtId="0" fontId="8" fillId="44" borderId="14" xfId="0" applyFont="1" applyFill="1" applyBorder="1" applyAlignment="1">
      <alignment horizontal="center"/>
    </xf>
    <xf numFmtId="0" fontId="8" fillId="44" borderId="0" xfId="0" applyFont="1" applyFill="1" applyAlignment="1">
      <alignment horizontal="center"/>
    </xf>
    <xf numFmtId="164" fontId="12" fillId="28" borderId="4" xfId="0" applyNumberFormat="1" applyFont="1" applyFill="1" applyBorder="1" applyAlignment="1">
      <alignment vertical="center" wrapText="1"/>
    </xf>
    <xf numFmtId="164" fontId="13" fillId="28" borderId="6" xfId="0" applyNumberFormat="1" applyFont="1" applyFill="1" applyBorder="1" applyAlignment="1">
      <alignment vertical="center" wrapText="1"/>
    </xf>
    <xf numFmtId="0" fontId="38" fillId="46" borderId="50" xfId="0" applyFont="1" applyFill="1" applyBorder="1" applyAlignment="1">
      <alignment horizontal="center" vertical="center"/>
    </xf>
    <xf numFmtId="164" fontId="28" fillId="46" borderId="51" xfId="0" applyNumberFormat="1" applyFont="1" applyFill="1" applyBorder="1" applyAlignment="1">
      <alignment vertical="center" wrapText="1"/>
    </xf>
    <xf numFmtId="0" fontId="38" fillId="46" borderId="19" xfId="0" applyFont="1" applyFill="1" applyBorder="1" applyAlignment="1">
      <alignment horizontal="center" vertical="center"/>
    </xf>
    <xf numFmtId="164" fontId="28" fillId="46" borderId="20" xfId="0" applyNumberFormat="1" applyFont="1" applyFill="1" applyBorder="1" applyAlignment="1">
      <alignment vertical="center" wrapText="1"/>
    </xf>
    <xf numFmtId="0" fontId="38" fillId="46" borderId="32" xfId="0" applyFont="1" applyFill="1" applyBorder="1" applyAlignment="1">
      <alignment horizontal="center" vertical="center"/>
    </xf>
    <xf numFmtId="0" fontId="17" fillId="48" borderId="1" xfId="0" applyFont="1" applyFill="1" applyBorder="1" applyAlignment="1">
      <alignment horizontal="center" vertical="center" wrapText="1"/>
    </xf>
    <xf numFmtId="165" fontId="18" fillId="48" borderId="2" xfId="0" applyNumberFormat="1" applyFont="1" applyFill="1" applyBorder="1" applyAlignment="1">
      <alignment vertical="center"/>
    </xf>
    <xf numFmtId="0" fontId="17" fillId="48" borderId="5" xfId="0" applyFont="1" applyFill="1" applyBorder="1" applyAlignment="1">
      <alignment horizontal="center" vertical="center" wrapText="1"/>
    </xf>
    <xf numFmtId="165" fontId="18" fillId="48" borderId="6" xfId="0" applyNumberFormat="1" applyFont="1" applyFill="1" applyBorder="1" applyAlignment="1">
      <alignment vertical="center"/>
    </xf>
    <xf numFmtId="0" fontId="0" fillId="49" borderId="0" xfId="0" applyFill="1"/>
    <xf numFmtId="169" fontId="112" fillId="43" borderId="109" xfId="7" applyNumberFormat="1" applyAlignment="1">
      <alignment horizontal="right"/>
    </xf>
    <xf numFmtId="0" fontId="112" fillId="43" borderId="109" xfId="7" applyAlignment="1">
      <alignment horizontal="right"/>
    </xf>
    <xf numFmtId="44" fontId="112" fillId="43" borderId="109" xfId="7" applyNumberFormat="1" applyAlignment="1">
      <alignment horizontal="right"/>
    </xf>
    <xf numFmtId="10" fontId="112" fillId="43" borderId="109" xfId="7" applyNumberFormat="1" applyAlignment="1" applyProtection="1">
      <alignment wrapText="1"/>
      <protection locked="0"/>
    </xf>
    <xf numFmtId="10" fontId="112" fillId="43" borderId="109" xfId="7" applyNumberFormat="1" applyAlignment="1" applyProtection="1">
      <alignment horizontal="right" vertical="center"/>
      <protection locked="0"/>
    </xf>
    <xf numFmtId="0" fontId="66" fillId="50" borderId="50" xfId="0" applyFont="1" applyFill="1" applyBorder="1" applyAlignment="1">
      <alignment horizontal="center" vertical="center" wrapText="1"/>
    </xf>
    <xf numFmtId="0" fontId="66" fillId="50" borderId="32" xfId="0" applyFont="1" applyFill="1" applyBorder="1" applyAlignment="1">
      <alignment horizontal="center" vertical="center" wrapText="1"/>
    </xf>
    <xf numFmtId="0" fontId="9" fillId="33" borderId="42" xfId="0" applyFont="1" applyFill="1" applyBorder="1" applyAlignment="1">
      <alignment horizontal="center" vertical="center"/>
    </xf>
    <xf numFmtId="0" fontId="41" fillId="51" borderId="14" xfId="0" applyFont="1" applyFill="1" applyBorder="1" applyAlignment="1">
      <alignment horizontal="center" vertical="center" wrapText="1"/>
    </xf>
    <xf numFmtId="0" fontId="41" fillId="51" borderId="12" xfId="0" applyFont="1" applyFill="1" applyBorder="1" applyAlignment="1">
      <alignment horizontal="center" vertical="center" wrapText="1"/>
    </xf>
    <xf numFmtId="164" fontId="40" fillId="51" borderId="13" xfId="0" applyNumberFormat="1" applyFont="1" applyFill="1" applyBorder="1" applyAlignment="1">
      <alignment vertical="center" wrapText="1"/>
    </xf>
    <xf numFmtId="0" fontId="9" fillId="24" borderId="40" xfId="0" applyFont="1" applyFill="1" applyBorder="1" applyAlignment="1">
      <alignment horizontal="center" vertical="center"/>
    </xf>
    <xf numFmtId="0" fontId="51" fillId="13" borderId="38" xfId="0" applyFont="1" applyFill="1" applyBorder="1" applyAlignment="1">
      <alignment horizontal="center" vertical="center"/>
    </xf>
    <xf numFmtId="165" fontId="53" fillId="14" borderId="39" xfId="0" applyNumberFormat="1" applyFont="1" applyFill="1" applyBorder="1" applyAlignment="1">
      <alignment horizontal="right" wrapText="1"/>
    </xf>
    <xf numFmtId="0" fontId="0" fillId="11" borderId="0" xfId="0" applyFill="1"/>
    <xf numFmtId="0" fontId="126" fillId="11" borderId="70" xfId="0" applyFont="1" applyFill="1" applyBorder="1" applyAlignment="1">
      <alignment horizontal="center"/>
    </xf>
    <xf numFmtId="0" fontId="66" fillId="52" borderId="50" xfId="0" applyFont="1" applyFill="1" applyBorder="1" applyAlignment="1">
      <alignment horizontal="center" vertical="center" wrapText="1"/>
    </xf>
    <xf numFmtId="164" fontId="10" fillId="52" borderId="51" xfId="0" applyNumberFormat="1" applyFont="1" applyFill="1" applyBorder="1" applyAlignment="1" applyProtection="1">
      <alignment wrapText="1"/>
      <protection locked="0"/>
    </xf>
    <xf numFmtId="0" fontId="66" fillId="52" borderId="32" xfId="0" applyFont="1" applyFill="1" applyBorder="1" applyAlignment="1">
      <alignment horizontal="center" vertical="center" wrapText="1"/>
    </xf>
    <xf numFmtId="164" fontId="10" fillId="52" borderId="33" xfId="0" applyNumberFormat="1" applyFont="1" applyFill="1" applyBorder="1" applyAlignment="1" applyProtection="1">
      <alignment wrapText="1"/>
      <protection locked="0"/>
    </xf>
    <xf numFmtId="167" fontId="112" fillId="43" borderId="109" xfId="7" applyNumberFormat="1" applyProtection="1">
      <protection locked="0"/>
    </xf>
    <xf numFmtId="0" fontId="0" fillId="18" borderId="0" xfId="0" applyFill="1"/>
    <xf numFmtId="0" fontId="0" fillId="53" borderId="0" xfId="0" applyFill="1"/>
    <xf numFmtId="0" fontId="0" fillId="11" borderId="97" xfId="0" applyFill="1" applyBorder="1"/>
    <xf numFmtId="0" fontId="0" fillId="11" borderId="44" xfId="0" applyFill="1" applyBorder="1"/>
    <xf numFmtId="0" fontId="109" fillId="11" borderId="110" xfId="4" applyFill="1" applyBorder="1"/>
    <xf numFmtId="0" fontId="0" fillId="11" borderId="103" xfId="0" applyFill="1" applyBorder="1"/>
    <xf numFmtId="0" fontId="0" fillId="11" borderId="72" xfId="0" applyFill="1" applyBorder="1"/>
    <xf numFmtId="0" fontId="0" fillId="11" borderId="69" xfId="0" applyFill="1" applyBorder="1"/>
    <xf numFmtId="0" fontId="125" fillId="11" borderId="0" xfId="5" applyFont="1" applyFill="1" applyBorder="1"/>
    <xf numFmtId="0" fontId="110" fillId="11" borderId="0" xfId="5" applyFill="1" applyBorder="1"/>
    <xf numFmtId="0" fontId="3" fillId="11" borderId="0" xfId="3" applyFill="1" applyBorder="1" applyAlignment="1">
      <alignment horizontal="left"/>
    </xf>
    <xf numFmtId="0" fontId="113" fillId="11" borderId="0" xfId="6" applyFont="1" applyFill="1" applyBorder="1"/>
    <xf numFmtId="0" fontId="121" fillId="11" borderId="0" xfId="3" applyFont="1" applyFill="1" applyBorder="1"/>
    <xf numFmtId="0" fontId="3" fillId="11" borderId="0" xfId="3" applyFill="1" applyBorder="1"/>
    <xf numFmtId="0" fontId="3" fillId="11" borderId="0" xfId="3" quotePrefix="1" applyFill="1" applyBorder="1" applyAlignment="1">
      <alignment horizontal="left"/>
    </xf>
    <xf numFmtId="0" fontId="0" fillId="11" borderId="54" xfId="0" applyFill="1" applyBorder="1"/>
    <xf numFmtId="0" fontId="0" fillId="11" borderId="71" xfId="0" applyFill="1" applyBorder="1"/>
    <xf numFmtId="0" fontId="0" fillId="11" borderId="92" xfId="0" applyFill="1" applyBorder="1"/>
    <xf numFmtId="0" fontId="129" fillId="18" borderId="0" xfId="0" applyFont="1" applyFill="1"/>
    <xf numFmtId="0" fontId="3" fillId="32" borderId="0" xfId="3" applyFill="1"/>
    <xf numFmtId="0" fontId="41" fillId="51" borderId="111" xfId="0" applyFont="1" applyFill="1" applyBorder="1" applyAlignment="1">
      <alignment horizontal="center" vertical="center" wrapText="1"/>
    </xf>
    <xf numFmtId="164" fontId="40" fillId="51" borderId="31" xfId="0" applyNumberFormat="1" applyFont="1" applyFill="1" applyBorder="1" applyAlignment="1">
      <alignment vertical="center" wrapText="1"/>
    </xf>
    <xf numFmtId="164" fontId="40" fillId="51" borderId="17" xfId="0" applyNumberFormat="1" applyFont="1" applyFill="1" applyBorder="1" applyAlignment="1">
      <alignment vertical="center" wrapText="1"/>
    </xf>
    <xf numFmtId="0" fontId="130" fillId="33" borderId="59" xfId="7" applyFont="1" applyFill="1" applyBorder="1" applyAlignment="1" applyProtection="1">
      <alignment vertical="center" wrapText="1"/>
    </xf>
    <xf numFmtId="0" fontId="41" fillId="29" borderId="111" xfId="0" applyFont="1" applyFill="1" applyBorder="1" applyAlignment="1">
      <alignment horizontal="center" vertical="center" wrapText="1"/>
    </xf>
    <xf numFmtId="164" fontId="40" fillId="29" borderId="31" xfId="0" applyNumberFormat="1" applyFont="1" applyFill="1" applyBorder="1" applyAlignment="1">
      <alignment wrapText="1"/>
    </xf>
    <xf numFmtId="164" fontId="40" fillId="29" borderId="17" xfId="0" applyNumberFormat="1" applyFont="1" applyFill="1" applyBorder="1" applyAlignment="1">
      <alignment wrapText="1"/>
    </xf>
    <xf numFmtId="164" fontId="130" fillId="54" borderId="59" xfId="7" applyNumberFormat="1" applyFont="1" applyFill="1" applyBorder="1" applyAlignment="1" applyProtection="1">
      <alignment wrapText="1"/>
    </xf>
    <xf numFmtId="165" fontId="112" fillId="43" borderId="109" xfId="7" applyNumberFormat="1" applyProtection="1">
      <protection locked="0"/>
    </xf>
    <xf numFmtId="165" fontId="112" fillId="43" borderId="109" xfId="7" applyNumberFormat="1" applyAlignment="1" applyProtection="1">
      <alignment vertical="center"/>
      <protection locked="0"/>
    </xf>
    <xf numFmtId="0" fontId="111" fillId="33" borderId="112" xfId="6" applyFill="1" applyBorder="1" applyAlignment="1">
      <alignment horizontal="center"/>
    </xf>
    <xf numFmtId="0" fontId="111" fillId="33" borderId="113" xfId="6" applyFill="1" applyBorder="1" applyAlignment="1">
      <alignment horizontal="center"/>
    </xf>
    <xf numFmtId="0" fontId="111" fillId="33" borderId="114" xfId="6" applyFill="1" applyBorder="1" applyAlignment="1">
      <alignment horizontal="center"/>
    </xf>
    <xf numFmtId="0" fontId="0" fillId="33" borderId="54" xfId="0" applyFill="1" applyBorder="1"/>
    <xf numFmtId="44" fontId="0" fillId="33" borderId="71" xfId="1" applyFont="1" applyFill="1" applyBorder="1"/>
    <xf numFmtId="10" fontId="0" fillId="33" borderId="71" xfId="2" applyNumberFormat="1" applyFont="1" applyFill="1" applyBorder="1"/>
    <xf numFmtId="44" fontId="0" fillId="33" borderId="92" xfId="1" applyFont="1" applyFill="1" applyBorder="1"/>
    <xf numFmtId="0" fontId="123" fillId="2" borderId="0" xfId="0" applyFont="1" applyFill="1"/>
    <xf numFmtId="0" fontId="123" fillId="33" borderId="65" xfId="0" applyFont="1" applyFill="1" applyBorder="1" applyAlignment="1">
      <alignment horizontal="center"/>
    </xf>
    <xf numFmtId="0" fontId="123" fillId="2" borderId="0" xfId="0" applyFont="1" applyFill="1" applyAlignment="1">
      <alignment horizontal="center"/>
    </xf>
    <xf numFmtId="0" fontId="111" fillId="19" borderId="112" xfId="6" applyFill="1" applyBorder="1" applyAlignment="1">
      <alignment horizontal="center" vertical="center" wrapText="1"/>
    </xf>
    <xf numFmtId="0" fontId="111" fillId="19" borderId="113" xfId="6" applyFill="1" applyBorder="1" applyAlignment="1">
      <alignment horizontal="center" vertical="center" wrapText="1"/>
    </xf>
    <xf numFmtId="0" fontId="111" fillId="19" borderId="114" xfId="6" applyFill="1" applyBorder="1" applyAlignment="1">
      <alignment horizontal="center" vertical="center" wrapText="1"/>
    </xf>
    <xf numFmtId="0" fontId="0" fillId="19" borderId="54" xfId="0" applyFill="1" applyBorder="1"/>
    <xf numFmtId="44" fontId="0" fillId="19" borderId="71" xfId="0" applyNumberFormat="1" applyFill="1" applyBorder="1" applyAlignment="1">
      <alignment wrapText="1"/>
    </xf>
    <xf numFmtId="44" fontId="0" fillId="19" borderId="71" xfId="1" applyFont="1" applyFill="1" applyBorder="1" applyAlignment="1">
      <alignment wrapText="1"/>
    </xf>
    <xf numFmtId="10" fontId="0" fillId="19" borderId="71" xfId="2" applyNumberFormat="1" applyFont="1" applyFill="1" applyBorder="1" applyAlignment="1">
      <alignment wrapText="1"/>
    </xf>
    <xf numFmtId="10" fontId="0" fillId="19" borderId="92" xfId="2" applyNumberFormat="1" applyFont="1" applyFill="1" applyBorder="1" applyAlignment="1">
      <alignment wrapText="1"/>
    </xf>
    <xf numFmtId="0" fontId="123" fillId="19" borderId="65" xfId="0" applyFont="1" applyFill="1" applyBorder="1" applyAlignment="1">
      <alignment horizontal="center"/>
    </xf>
    <xf numFmtId="164" fontId="59" fillId="41" borderId="20" xfId="1" applyNumberFormat="1" applyFont="1" applyFill="1" applyBorder="1"/>
    <xf numFmtId="0" fontId="85" fillId="36" borderId="50" xfId="0" applyFont="1" applyFill="1" applyBorder="1" applyAlignment="1">
      <alignment horizontal="center"/>
    </xf>
    <xf numFmtId="10" fontId="86" fillId="36" borderId="51" xfId="2" applyNumberFormat="1" applyFont="1" applyFill="1" applyBorder="1"/>
    <xf numFmtId="0" fontId="131" fillId="2" borderId="0" xfId="3" applyFont="1" applyFill="1"/>
    <xf numFmtId="0" fontId="131" fillId="2" borderId="80" xfId="3" applyFont="1" applyFill="1" applyBorder="1"/>
    <xf numFmtId="44" fontId="0" fillId="2" borderId="80" xfId="0" applyNumberFormat="1" applyFill="1" applyBorder="1"/>
    <xf numFmtId="0" fontId="123" fillId="2" borderId="0" xfId="0" applyFont="1" applyFill="1" applyAlignment="1">
      <alignment horizontal="left"/>
    </xf>
    <xf numFmtId="0" fontId="122" fillId="2" borderId="80" xfId="0" applyFont="1" applyFill="1" applyBorder="1"/>
    <xf numFmtId="44" fontId="0" fillId="2" borderId="0" xfId="0" applyNumberFormat="1" applyFill="1" applyAlignment="1">
      <alignment wrapText="1"/>
    </xf>
    <xf numFmtId="44" fontId="0" fillId="2" borderId="0" xfId="1" applyFont="1" applyFill="1" applyBorder="1" applyAlignment="1">
      <alignment wrapText="1"/>
    </xf>
    <xf numFmtId="10" fontId="0" fillId="2" borderId="0" xfId="2" applyNumberFormat="1" applyFont="1" applyFill="1" applyBorder="1" applyAlignment="1">
      <alignment wrapText="1"/>
    </xf>
    <xf numFmtId="0" fontId="123" fillId="2" borderId="0" xfId="0" applyFont="1" applyFill="1" applyAlignment="1">
      <alignment horizontal="center" vertical="center"/>
    </xf>
    <xf numFmtId="10" fontId="0" fillId="2" borderId="0" xfId="2" applyNumberFormat="1" applyFont="1" applyFill="1" applyBorder="1" applyAlignment="1">
      <alignment horizontal="center" vertical="center" wrapText="1"/>
    </xf>
    <xf numFmtId="0" fontId="111" fillId="55" borderId="112" xfId="6" applyFill="1" applyBorder="1" applyAlignment="1">
      <alignment horizontal="center" vertical="center"/>
    </xf>
    <xf numFmtId="0" fontId="111" fillId="55" borderId="113" xfId="6" applyFill="1" applyBorder="1" applyAlignment="1">
      <alignment horizontal="center" vertical="center"/>
    </xf>
    <xf numFmtId="44" fontId="111" fillId="55" borderId="113" xfId="6" applyNumberFormat="1" applyFill="1" applyBorder="1" applyAlignment="1">
      <alignment horizontal="center" vertical="center" wrapText="1"/>
    </xf>
    <xf numFmtId="44" fontId="111" fillId="55" borderId="114" xfId="6" applyNumberFormat="1" applyFill="1" applyBorder="1" applyAlignment="1">
      <alignment horizontal="center" vertical="center" wrapText="1"/>
    </xf>
    <xf numFmtId="10" fontId="0" fillId="55" borderId="54" xfId="0" applyNumberFormat="1" applyFill="1" applyBorder="1"/>
    <xf numFmtId="0" fontId="0" fillId="55" borderId="71" xfId="0" applyFill="1" applyBorder="1"/>
    <xf numFmtId="0" fontId="123" fillId="55" borderId="45" xfId="0" applyFont="1" applyFill="1" applyBorder="1"/>
    <xf numFmtId="8" fontId="0" fillId="55" borderId="71" xfId="0" applyNumberFormat="1" applyFill="1" applyBorder="1"/>
    <xf numFmtId="10" fontId="0" fillId="55" borderId="92" xfId="2" applyNumberFormat="1" applyFont="1" applyFill="1" applyBorder="1"/>
    <xf numFmtId="171" fontId="0" fillId="2" borderId="0" xfId="0" applyNumberFormat="1" applyFill="1"/>
    <xf numFmtId="0" fontId="12" fillId="2" borderId="0" xfId="0" applyFont="1" applyFill="1"/>
    <xf numFmtId="167" fontId="132" fillId="16" borderId="59" xfId="1" applyNumberFormat="1" applyFont="1" applyFill="1" applyBorder="1"/>
    <xf numFmtId="0" fontId="112" fillId="43" borderId="109" xfId="7" applyAlignment="1">
      <alignment horizontal="right" wrapText="1"/>
    </xf>
    <xf numFmtId="0" fontId="112" fillId="43" borderId="109" xfId="7" applyAlignment="1" applyProtection="1">
      <alignment horizontal="left"/>
      <protection locked="0"/>
    </xf>
    <xf numFmtId="165" fontId="6" fillId="16" borderId="115" xfId="0" applyNumberFormat="1" applyFont="1" applyFill="1" applyBorder="1" applyAlignment="1">
      <alignment wrapText="1"/>
    </xf>
    <xf numFmtId="0" fontId="41" fillId="16" borderId="117" xfId="0" applyFont="1" applyFill="1" applyBorder="1" applyAlignment="1">
      <alignment vertical="center"/>
    </xf>
    <xf numFmtId="10" fontId="130" fillId="16" borderId="118" xfId="7" applyNumberFormat="1" applyFont="1" applyFill="1" applyBorder="1" applyAlignment="1" applyProtection="1">
      <alignment wrapText="1"/>
      <protection locked="0"/>
    </xf>
    <xf numFmtId="0" fontId="0" fillId="2" borderId="72" xfId="0" applyFill="1" applyBorder="1"/>
    <xf numFmtId="0" fontId="123" fillId="2" borderId="80" xfId="0" applyFont="1" applyFill="1" applyBorder="1"/>
    <xf numFmtId="10" fontId="0" fillId="2" borderId="80" xfId="0" applyNumberFormat="1" applyFill="1" applyBorder="1"/>
    <xf numFmtId="0" fontId="133" fillId="49" borderId="0" xfId="0" applyFont="1" applyFill="1"/>
    <xf numFmtId="0" fontId="105" fillId="3" borderId="97" xfId="3" applyFont="1" applyFill="1" applyBorder="1" applyAlignment="1"/>
    <xf numFmtId="0" fontId="0" fillId="3" borderId="54" xfId="0" applyFill="1" applyBorder="1"/>
    <xf numFmtId="172" fontId="112" fillId="43" borderId="109" xfId="7" applyNumberFormat="1" applyAlignment="1">
      <alignment wrapText="1"/>
    </xf>
    <xf numFmtId="0" fontId="20" fillId="10" borderId="76" xfId="0" applyFont="1" applyFill="1" applyBorder="1" applyAlignment="1">
      <alignment horizontal="center"/>
    </xf>
    <xf numFmtId="164" fontId="21" fillId="10" borderId="120" xfId="0" applyNumberFormat="1" applyFont="1" applyFill="1" applyBorder="1" applyAlignment="1">
      <alignment wrapText="1"/>
    </xf>
    <xf numFmtId="0" fontId="0" fillId="3" borderId="72" xfId="0" applyFill="1" applyBorder="1"/>
    <xf numFmtId="164" fontId="134" fillId="11" borderId="121" xfId="7" applyNumberFormat="1" applyFont="1" applyFill="1" applyBorder="1" applyAlignment="1" applyProtection="1">
      <alignment wrapText="1"/>
      <protection locked="0"/>
    </xf>
    <xf numFmtId="164" fontId="112" fillId="43" borderId="116" xfId="7" applyNumberFormat="1" applyBorder="1" applyAlignment="1" applyProtection="1">
      <alignment vertical="center" wrapText="1"/>
      <protection locked="0"/>
    </xf>
    <xf numFmtId="0" fontId="8" fillId="28" borderId="122" xfId="0" applyFont="1" applyFill="1" applyBorder="1" applyAlignment="1">
      <alignment horizontal="center" vertical="center"/>
    </xf>
    <xf numFmtId="0" fontId="112" fillId="43" borderId="119" xfId="7" applyBorder="1" applyAlignment="1" applyProtection="1">
      <alignment vertical="center" wrapText="1"/>
      <protection locked="0"/>
    </xf>
    <xf numFmtId="164" fontId="135" fillId="44" borderId="121" xfId="7" applyNumberFormat="1" applyFont="1" applyFill="1" applyBorder="1" applyAlignment="1" applyProtection="1">
      <alignment vertical="center" wrapText="1"/>
      <protection locked="0"/>
    </xf>
    <xf numFmtId="0" fontId="11" fillId="3" borderId="72" xfId="0" applyFont="1" applyFill="1" applyBorder="1"/>
    <xf numFmtId="0" fontId="4" fillId="2" borderId="0" xfId="0" applyFont="1" applyFill="1"/>
    <xf numFmtId="0" fontId="107" fillId="2" borderId="0" xfId="0" applyFont="1" applyFill="1"/>
    <xf numFmtId="0" fontId="66" fillId="2" borderId="0" xfId="0" applyFont="1" applyFill="1"/>
    <xf numFmtId="0" fontId="105" fillId="3" borderId="50" xfId="0" applyFont="1" applyFill="1" applyBorder="1" applyAlignment="1">
      <alignment horizontal="center" vertical="center"/>
    </xf>
    <xf numFmtId="44" fontId="105" fillId="3" borderId="51" xfId="1" applyFont="1" applyFill="1" applyBorder="1" applyAlignment="1">
      <alignment horizontal="right"/>
    </xf>
    <xf numFmtId="0" fontId="105" fillId="3" borderId="19" xfId="0" applyFont="1" applyFill="1" applyBorder="1" applyAlignment="1">
      <alignment horizontal="center" vertical="center"/>
    </xf>
    <xf numFmtId="44" fontId="105" fillId="3" borderId="20" xfId="1" applyFont="1" applyFill="1" applyBorder="1" applyAlignment="1">
      <alignment horizontal="right"/>
    </xf>
    <xf numFmtId="44" fontId="105" fillId="3" borderId="20" xfId="1" applyFont="1" applyFill="1" applyBorder="1"/>
    <xf numFmtId="8" fontId="105" fillId="3" borderId="20" xfId="1" applyNumberFormat="1" applyFont="1" applyFill="1" applyBorder="1"/>
    <xf numFmtId="10" fontId="105" fillId="3" borderId="20" xfId="1" applyNumberFormat="1" applyFont="1" applyFill="1" applyBorder="1"/>
    <xf numFmtId="10" fontId="105" fillId="3" borderId="20" xfId="2" applyNumberFormat="1" applyFont="1" applyFill="1" applyBorder="1"/>
    <xf numFmtId="8" fontId="105" fillId="3" borderId="20" xfId="0" applyNumberFormat="1" applyFont="1" applyFill="1" applyBorder="1"/>
    <xf numFmtId="0" fontId="105" fillId="3" borderId="32" xfId="0" applyFont="1" applyFill="1" applyBorder="1" applyAlignment="1">
      <alignment horizontal="center" vertical="center"/>
    </xf>
    <xf numFmtId="170" fontId="105" fillId="3" borderId="33" xfId="0" applyNumberFormat="1" applyFont="1" applyFill="1" applyBorder="1"/>
    <xf numFmtId="0" fontId="105" fillId="55" borderId="50" xfId="0" applyFont="1" applyFill="1" applyBorder="1" applyAlignment="1">
      <alignment horizontal="center" vertical="center"/>
    </xf>
    <xf numFmtId="44" fontId="105" fillId="55" borderId="51" xfId="1" applyFont="1" applyFill="1" applyBorder="1" applyAlignment="1">
      <alignment horizontal="right"/>
    </xf>
    <xf numFmtId="0" fontId="105" fillId="55" borderId="19" xfId="0" applyFont="1" applyFill="1" applyBorder="1" applyAlignment="1">
      <alignment horizontal="center" vertical="center"/>
    </xf>
    <xf numFmtId="44" fontId="105" fillId="55" borderId="20" xfId="1" applyFont="1" applyFill="1" applyBorder="1" applyAlignment="1">
      <alignment horizontal="right"/>
    </xf>
    <xf numFmtId="44" fontId="105" fillId="55" borderId="20" xfId="1" applyFont="1" applyFill="1" applyBorder="1"/>
    <xf numFmtId="8" fontId="105" fillId="55" borderId="20" xfId="1" applyNumberFormat="1" applyFont="1" applyFill="1" applyBorder="1"/>
    <xf numFmtId="10" fontId="105" fillId="55" borderId="20" xfId="1" applyNumberFormat="1" applyFont="1" applyFill="1" applyBorder="1"/>
    <xf numFmtId="10" fontId="105" fillId="55" borderId="20" xfId="2" applyNumberFormat="1" applyFont="1" applyFill="1" applyBorder="1"/>
    <xf numFmtId="8" fontId="105" fillId="55" borderId="20" xfId="0" applyNumberFormat="1" applyFont="1" applyFill="1" applyBorder="1"/>
    <xf numFmtId="0" fontId="105" fillId="55" borderId="32" xfId="0" applyFont="1" applyFill="1" applyBorder="1" applyAlignment="1">
      <alignment horizontal="center" vertical="center"/>
    </xf>
    <xf numFmtId="170" fontId="105" fillId="55" borderId="33" xfId="0" applyNumberFormat="1" applyFont="1" applyFill="1" applyBorder="1"/>
    <xf numFmtId="0" fontId="105" fillId="11" borderId="50" xfId="0" applyFont="1" applyFill="1" applyBorder="1" applyAlignment="1">
      <alignment horizontal="center" vertical="center"/>
    </xf>
    <xf numFmtId="44" fontId="105" fillId="11" borderId="51" xfId="1" applyFont="1" applyFill="1" applyBorder="1" applyAlignment="1">
      <alignment horizontal="right"/>
    </xf>
    <xf numFmtId="0" fontId="105" fillId="11" borderId="19" xfId="0" applyFont="1" applyFill="1" applyBorder="1" applyAlignment="1">
      <alignment horizontal="center" vertical="center"/>
    </xf>
    <xf numFmtId="44" fontId="105" fillId="11" borderId="20" xfId="1" applyFont="1" applyFill="1" applyBorder="1" applyAlignment="1">
      <alignment horizontal="right"/>
    </xf>
    <xf numFmtId="0" fontId="105" fillId="11" borderId="52" xfId="0" applyFont="1" applyFill="1" applyBorder="1" applyAlignment="1">
      <alignment horizontal="center" vertical="center"/>
    </xf>
    <xf numFmtId="44" fontId="105" fillId="11" borderId="51" xfId="1" applyFont="1" applyFill="1" applyBorder="1"/>
    <xf numFmtId="44" fontId="105" fillId="11" borderId="20" xfId="1" applyFont="1" applyFill="1" applyBorder="1"/>
    <xf numFmtId="8" fontId="105" fillId="11" borderId="20" xfId="1" applyNumberFormat="1" applyFont="1" applyFill="1" applyBorder="1"/>
    <xf numFmtId="10" fontId="105" fillId="11" borderId="20" xfId="1" applyNumberFormat="1" applyFont="1" applyFill="1" applyBorder="1"/>
    <xf numFmtId="10" fontId="105" fillId="11" borderId="20" xfId="2" applyNumberFormat="1" applyFont="1" applyFill="1" applyBorder="1"/>
    <xf numFmtId="8" fontId="105" fillId="11" borderId="20" xfId="0" applyNumberFormat="1" applyFont="1" applyFill="1" applyBorder="1"/>
    <xf numFmtId="0" fontId="105" fillId="11" borderId="32" xfId="0" applyFont="1" applyFill="1" applyBorder="1" applyAlignment="1">
      <alignment horizontal="center" vertical="center"/>
    </xf>
    <xf numFmtId="170" fontId="105" fillId="11" borderId="33" xfId="0" applyNumberFormat="1" applyFont="1" applyFill="1" applyBorder="1"/>
    <xf numFmtId="0" fontId="105" fillId="11" borderId="36" xfId="0" applyFont="1" applyFill="1" applyBorder="1" applyAlignment="1">
      <alignment horizontal="center" vertical="center"/>
    </xf>
    <xf numFmtId="44" fontId="105" fillId="11" borderId="37" xfId="1" applyFont="1" applyFill="1" applyBorder="1"/>
    <xf numFmtId="10" fontId="130" fillId="55" borderId="20" xfId="2" applyNumberFormat="1" applyFont="1" applyFill="1" applyBorder="1"/>
    <xf numFmtId="10" fontId="130" fillId="11" borderId="53" xfId="2" applyNumberFormat="1" applyFont="1" applyFill="1" applyBorder="1"/>
    <xf numFmtId="0" fontId="79" fillId="24" borderId="20" xfId="0" applyFont="1" applyFill="1" applyBorder="1" applyAlignment="1">
      <alignment horizontal="left" wrapText="1"/>
    </xf>
    <xf numFmtId="0" fontId="78" fillId="24" borderId="19" xfId="0" applyFont="1" applyFill="1" applyBorder="1" applyAlignment="1">
      <alignment horizontal="center" vertical="center"/>
    </xf>
    <xf numFmtId="0" fontId="62" fillId="8" borderId="32" xfId="0" applyFont="1" applyFill="1" applyBorder="1" applyAlignment="1">
      <alignment wrapText="1"/>
    </xf>
    <xf numFmtId="0" fontId="123" fillId="0" borderId="0" xfId="0" applyFont="1"/>
    <xf numFmtId="0" fontId="3" fillId="11" borderId="0" xfId="3" applyFill="1"/>
    <xf numFmtId="0" fontId="0" fillId="11" borderId="0" xfId="0" applyFill="1" applyAlignment="1">
      <alignment horizontal="center"/>
    </xf>
    <xf numFmtId="44" fontId="0" fillId="11" borderId="0" xfId="1" applyFont="1" applyFill="1"/>
    <xf numFmtId="10" fontId="0" fillId="11" borderId="0" xfId="2" applyNumberFormat="1" applyFont="1" applyFill="1"/>
    <xf numFmtId="0" fontId="0" fillId="11" borderId="0" xfId="0" applyFill="1" applyAlignment="1">
      <alignment horizontal="center" vertical="center"/>
    </xf>
    <xf numFmtId="0" fontId="0" fillId="24" borderId="38" xfId="0" applyFill="1" applyBorder="1" applyAlignment="1">
      <alignment horizontal="center" vertical="center"/>
    </xf>
    <xf numFmtId="44" fontId="0" fillId="24" borderId="62" xfId="1" applyFont="1" applyFill="1" applyBorder="1" applyAlignment="1">
      <alignment horizontal="center" vertical="center"/>
    </xf>
    <xf numFmtId="10" fontId="0" fillId="24" borderId="38" xfId="2" applyNumberFormat="1" applyFont="1" applyFill="1" applyBorder="1" applyAlignment="1">
      <alignment horizontal="center" vertical="center" wrapText="1"/>
    </xf>
    <xf numFmtId="10" fontId="0" fillId="24" borderId="62" xfId="2" applyNumberFormat="1" applyFont="1" applyFill="1" applyBorder="1" applyAlignment="1">
      <alignment horizontal="center" vertical="center"/>
    </xf>
    <xf numFmtId="0" fontId="0" fillId="24" borderId="36" xfId="0" applyFill="1" applyBorder="1" applyAlignment="1">
      <alignment horizontal="center"/>
    </xf>
    <xf numFmtId="44" fontId="0" fillId="24" borderId="61" xfId="1" applyFont="1" applyFill="1" applyBorder="1"/>
    <xf numFmtId="0" fontId="0" fillId="24" borderId="61" xfId="0" applyFill="1" applyBorder="1" applyAlignment="1">
      <alignment horizontal="center"/>
    </xf>
    <xf numFmtId="10" fontId="0" fillId="24" borderId="61" xfId="2" applyNumberFormat="1" applyFont="1" applyFill="1" applyBorder="1"/>
    <xf numFmtId="10" fontId="0" fillId="24" borderId="37" xfId="2" applyNumberFormat="1" applyFont="1" applyFill="1" applyBorder="1"/>
    <xf numFmtId="0" fontId="0" fillId="24" borderId="19" xfId="0" applyFill="1" applyBorder="1" applyAlignment="1">
      <alignment horizontal="center"/>
    </xf>
    <xf numFmtId="44" fontId="0" fillId="24" borderId="59" xfId="1" applyFont="1" applyFill="1" applyBorder="1"/>
    <xf numFmtId="0" fontId="0" fillId="24" borderId="59" xfId="0" applyFill="1" applyBorder="1" applyAlignment="1">
      <alignment horizontal="center"/>
    </xf>
    <xf numFmtId="10" fontId="0" fillId="24" borderId="59" xfId="2" applyNumberFormat="1" applyFont="1" applyFill="1" applyBorder="1"/>
    <xf numFmtId="10" fontId="0" fillId="24" borderId="20" xfId="2" applyNumberFormat="1" applyFont="1" applyFill="1" applyBorder="1"/>
    <xf numFmtId="0" fontId="0" fillId="24" borderId="32" xfId="0" applyFill="1" applyBorder="1" applyAlignment="1">
      <alignment horizontal="center"/>
    </xf>
    <xf numFmtId="44" fontId="0" fillId="24" borderId="60" xfId="1" applyFont="1" applyFill="1" applyBorder="1"/>
    <xf numFmtId="0" fontId="0" fillId="24" borderId="60" xfId="0" applyFill="1" applyBorder="1" applyAlignment="1">
      <alignment horizontal="center"/>
    </xf>
    <xf numFmtId="10" fontId="0" fillId="24" borderId="60" xfId="2" applyNumberFormat="1" applyFont="1" applyFill="1" applyBorder="1"/>
    <xf numFmtId="10" fontId="0" fillId="24" borderId="33" xfId="2" applyNumberFormat="1" applyFont="1" applyFill="1" applyBorder="1"/>
    <xf numFmtId="165" fontId="105" fillId="2" borderId="0" xfId="0" applyNumberFormat="1" applyFont="1" applyFill="1"/>
    <xf numFmtId="10" fontId="105" fillId="2" borderId="0" xfId="0" applyNumberFormat="1" applyFont="1" applyFill="1"/>
    <xf numFmtId="0" fontId="66" fillId="2" borderId="0" xfId="0" applyFont="1" applyFill="1" applyAlignment="1">
      <alignment horizontal="center" vertical="center" wrapText="1"/>
    </xf>
    <xf numFmtId="165" fontId="66" fillId="2" borderId="0" xfId="0" applyNumberFormat="1" applyFont="1" applyFill="1" applyAlignment="1">
      <alignment horizontal="center" vertical="center" wrapText="1"/>
    </xf>
    <xf numFmtId="0" fontId="105" fillId="2" borderId="0" xfId="0" applyFont="1" applyFill="1" applyAlignment="1">
      <alignment horizontal="center" vertical="center" wrapText="1"/>
    </xf>
    <xf numFmtId="0" fontId="66" fillId="11" borderId="36" xfId="0" applyFont="1" applyFill="1" applyBorder="1"/>
    <xf numFmtId="0" fontId="66" fillId="11" borderId="19" xfId="0" applyFont="1" applyFill="1" applyBorder="1"/>
    <xf numFmtId="0" fontId="66" fillId="11" borderId="32" xfId="0" applyFont="1" applyFill="1" applyBorder="1"/>
    <xf numFmtId="167" fontId="105" fillId="11" borderId="33" xfId="0" applyNumberFormat="1" applyFont="1" applyFill="1" applyBorder="1"/>
    <xf numFmtId="0" fontId="66" fillId="48" borderId="36" xfId="0" applyFont="1" applyFill="1" applyBorder="1"/>
    <xf numFmtId="0" fontId="66" fillId="48" borderId="19" xfId="0" applyFont="1" applyFill="1" applyBorder="1"/>
    <xf numFmtId="0" fontId="66" fillId="48" borderId="32" xfId="0" applyFont="1" applyFill="1" applyBorder="1"/>
    <xf numFmtId="167" fontId="105" fillId="48" borderId="33" xfId="0" applyNumberFormat="1" applyFont="1" applyFill="1" applyBorder="1"/>
    <xf numFmtId="0" fontId="110" fillId="11" borderId="107" xfId="5" applyFill="1"/>
    <xf numFmtId="0" fontId="124" fillId="11" borderId="0" xfId="0" applyFont="1" applyFill="1"/>
    <xf numFmtId="0" fontId="128" fillId="11" borderId="0" xfId="0" applyFont="1" applyFill="1"/>
    <xf numFmtId="0" fontId="127" fillId="11" borderId="0" xfId="0" applyFont="1" applyFill="1"/>
    <xf numFmtId="0" fontId="125" fillId="11" borderId="0" xfId="0" applyFont="1" applyFill="1"/>
    <xf numFmtId="0" fontId="3" fillId="42" borderId="0" xfId="3" applyFill="1"/>
    <xf numFmtId="0" fontId="105" fillId="42" borderId="0" xfId="0" applyFont="1" applyFill="1"/>
    <xf numFmtId="0" fontId="0" fillId="42" borderId="0" xfId="0" applyFill="1"/>
    <xf numFmtId="0" fontId="66" fillId="24" borderId="3" xfId="0" applyFont="1" applyFill="1" applyBorder="1" applyAlignment="1">
      <alignment wrapText="1"/>
    </xf>
    <xf numFmtId="164" fontId="105" fillId="24" borderId="4" xfId="0" applyNumberFormat="1" applyFont="1" applyFill="1" applyBorder="1" applyAlignment="1">
      <alignment wrapText="1"/>
    </xf>
    <xf numFmtId="10" fontId="105" fillId="24" borderId="4" xfId="0" applyNumberFormat="1" applyFont="1" applyFill="1" applyBorder="1" applyAlignment="1">
      <alignment wrapText="1"/>
    </xf>
    <xf numFmtId="0" fontId="105" fillId="24" borderId="4" xfId="0" applyFont="1" applyFill="1" applyBorder="1" applyAlignment="1">
      <alignment vertical="center" wrapText="1"/>
    </xf>
    <xf numFmtId="0" fontId="105" fillId="24" borderId="4" xfId="0" applyFont="1" applyFill="1" applyBorder="1" applyAlignment="1">
      <alignment wrapText="1"/>
    </xf>
    <xf numFmtId="0" fontId="105" fillId="24" borderId="4" xfId="0" applyFont="1" applyFill="1" applyBorder="1" applyAlignment="1">
      <alignment horizontal="right" vertical="center" wrapText="1"/>
    </xf>
    <xf numFmtId="0" fontId="66" fillId="24" borderId="9" xfId="0" applyFont="1" applyFill="1" applyBorder="1" applyAlignment="1">
      <alignment wrapText="1"/>
    </xf>
    <xf numFmtId="164" fontId="105" fillId="24" borderId="10" xfId="0" applyNumberFormat="1" applyFont="1" applyFill="1" applyBorder="1" applyAlignment="1">
      <alignment wrapText="1"/>
    </xf>
    <xf numFmtId="0" fontId="66" fillId="24" borderId="3" xfId="0" applyFont="1" applyFill="1" applyBorder="1"/>
    <xf numFmtId="164" fontId="108" fillId="24" borderId="4" xfId="0" applyNumberFormat="1" applyFont="1" applyFill="1" applyBorder="1" applyAlignment="1">
      <alignment wrapText="1"/>
    </xf>
    <xf numFmtId="0" fontId="108" fillId="24" borderId="4" xfId="0" applyFont="1" applyFill="1" applyBorder="1" applyAlignment="1">
      <alignment vertical="center" wrapText="1"/>
    </xf>
    <xf numFmtId="0" fontId="66" fillId="11" borderId="3" xfId="0" applyFont="1" applyFill="1" applyBorder="1" applyAlignment="1">
      <alignment wrapText="1"/>
    </xf>
    <xf numFmtId="164" fontId="105" fillId="11" borderId="4" xfId="0" applyNumberFormat="1" applyFont="1" applyFill="1" applyBorder="1" applyAlignment="1">
      <alignment wrapText="1"/>
    </xf>
    <xf numFmtId="10" fontId="105" fillId="11" borderId="4" xfId="0" applyNumberFormat="1" applyFont="1" applyFill="1" applyBorder="1" applyAlignment="1">
      <alignment wrapText="1"/>
    </xf>
    <xf numFmtId="0" fontId="105" fillId="11" borderId="4" xfId="0" applyFont="1" applyFill="1" applyBorder="1" applyAlignment="1">
      <alignment vertical="center" wrapText="1"/>
    </xf>
    <xf numFmtId="0" fontId="105" fillId="11" borderId="4" xfId="0" applyFont="1" applyFill="1" applyBorder="1" applyAlignment="1">
      <alignment wrapText="1"/>
    </xf>
    <xf numFmtId="0" fontId="105" fillId="11" borderId="4" xfId="0" applyFont="1" applyFill="1" applyBorder="1" applyAlignment="1">
      <alignment horizontal="right" vertical="center" wrapText="1"/>
    </xf>
    <xf numFmtId="0" fontId="66" fillId="11" borderId="9" xfId="0" applyFont="1" applyFill="1" applyBorder="1" applyAlignment="1">
      <alignment wrapText="1"/>
    </xf>
    <xf numFmtId="164" fontId="105" fillId="11" borderId="10" xfId="0" applyNumberFormat="1" applyFont="1" applyFill="1" applyBorder="1" applyAlignment="1">
      <alignment wrapText="1"/>
    </xf>
    <xf numFmtId="0" fontId="66" fillId="11" borderId="3" xfId="0" applyFont="1" applyFill="1" applyBorder="1"/>
    <xf numFmtId="0" fontId="54" fillId="4" borderId="34" xfId="0" applyFont="1" applyFill="1" applyBorder="1" applyAlignment="1">
      <alignment horizontal="center"/>
    </xf>
    <xf numFmtId="0" fontId="54" fillId="4" borderId="35" xfId="0" applyFont="1" applyFill="1" applyBorder="1" applyAlignment="1">
      <alignment horizontal="center"/>
    </xf>
    <xf numFmtId="0" fontId="27" fillId="3" borderId="0" xfId="0" applyFont="1" applyFill="1" applyAlignment="1">
      <alignment horizontal="left" wrapText="1"/>
    </xf>
    <xf numFmtId="0" fontId="120" fillId="45" borderId="40" xfId="0" applyFont="1" applyFill="1" applyBorder="1" applyAlignment="1">
      <alignment horizontal="center" vertical="center" wrapText="1"/>
    </xf>
    <xf numFmtId="0" fontId="120" fillId="45" borderId="41" xfId="0" applyFont="1" applyFill="1" applyBorder="1" applyAlignment="1">
      <alignment horizontal="center" vertical="center" wrapText="1"/>
    </xf>
    <xf numFmtId="0" fontId="51" fillId="47" borderId="45" xfId="0" applyFont="1" applyFill="1" applyBorder="1" applyAlignment="1">
      <alignment horizontal="center" vertical="center"/>
    </xf>
    <xf numFmtId="0" fontId="51" fillId="47" borderId="39" xfId="0" applyFont="1" applyFill="1" applyBorder="1" applyAlignment="1">
      <alignment horizontal="center" vertical="center"/>
    </xf>
    <xf numFmtId="0" fontId="16" fillId="30" borderId="45" xfId="0" applyFont="1" applyFill="1" applyBorder="1" applyAlignment="1">
      <alignment horizontal="center" vertical="center" wrapText="1"/>
    </xf>
    <xf numFmtId="0" fontId="16" fillId="30" borderId="39" xfId="0" applyFont="1" applyFill="1" applyBorder="1" applyAlignment="1">
      <alignment horizontal="center" vertical="center" wrapText="1"/>
    </xf>
    <xf numFmtId="0" fontId="19" fillId="9" borderId="45" xfId="0" applyFont="1" applyFill="1" applyBorder="1" applyAlignment="1">
      <alignment horizontal="center" vertical="center" wrapText="1"/>
    </xf>
    <xf numFmtId="0" fontId="19" fillId="9" borderId="39" xfId="0" applyFont="1" applyFill="1" applyBorder="1" applyAlignment="1">
      <alignment horizontal="center" vertical="center" wrapText="1"/>
    </xf>
    <xf numFmtId="0" fontId="11" fillId="3" borderId="72" xfId="0" applyFont="1" applyFill="1" applyBorder="1" applyAlignment="1">
      <alignment horizontal="left" wrapText="1"/>
    </xf>
    <xf numFmtId="0" fontId="11" fillId="3" borderId="0" xfId="0" applyFont="1" applyFill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72" xfId="0" applyFont="1" applyFill="1" applyBorder="1" applyAlignment="1">
      <alignment horizontal="left" wrapText="1"/>
    </xf>
    <xf numFmtId="0" fontId="31" fillId="3" borderId="0" xfId="0" applyFont="1" applyFill="1" applyAlignment="1">
      <alignment horizontal="left" wrapText="1"/>
    </xf>
    <xf numFmtId="0" fontId="34" fillId="18" borderId="28" xfId="0" applyFont="1" applyFill="1" applyBorder="1" applyAlignment="1">
      <alignment horizontal="center"/>
    </xf>
    <xf numFmtId="0" fontId="34" fillId="18" borderId="29" xfId="0" applyFont="1" applyFill="1" applyBorder="1" applyAlignment="1">
      <alignment horizontal="center"/>
    </xf>
    <xf numFmtId="0" fontId="37" fillId="19" borderId="34" xfId="0" applyFont="1" applyFill="1" applyBorder="1" applyAlignment="1">
      <alignment horizontal="center"/>
    </xf>
    <xf numFmtId="0" fontId="37" fillId="19" borderId="35" xfId="0" applyFont="1" applyFill="1" applyBorder="1" applyAlignment="1">
      <alignment horizontal="center"/>
    </xf>
    <xf numFmtId="0" fontId="70" fillId="27" borderId="45" xfId="0" applyFont="1" applyFill="1" applyBorder="1" applyAlignment="1">
      <alignment horizontal="center" vertical="center" wrapText="1"/>
    </xf>
    <xf numFmtId="0" fontId="70" fillId="27" borderId="39" xfId="0" applyFont="1" applyFill="1" applyBorder="1" applyAlignment="1">
      <alignment horizontal="center" vertical="center" wrapText="1"/>
    </xf>
    <xf numFmtId="0" fontId="39" fillId="2" borderId="0" xfId="0" applyFont="1" applyFill="1" applyAlignment="1">
      <alignment horizontal="center" vertical="center"/>
    </xf>
    <xf numFmtId="0" fontId="42" fillId="7" borderId="34" xfId="0" applyFont="1" applyFill="1" applyBorder="1" applyAlignment="1">
      <alignment horizontal="center" vertical="center" wrapText="1"/>
    </xf>
    <xf numFmtId="0" fontId="42" fillId="7" borderId="35" xfId="0" applyFont="1" applyFill="1" applyBorder="1" applyAlignment="1">
      <alignment horizontal="center" vertical="center" wrapText="1"/>
    </xf>
    <xf numFmtId="0" fontId="42" fillId="20" borderId="45" xfId="0" applyFont="1" applyFill="1" applyBorder="1" applyAlignment="1">
      <alignment horizontal="center" vertical="center" wrapText="1"/>
    </xf>
    <xf numFmtId="0" fontId="42" fillId="20" borderId="39" xfId="0" applyFont="1" applyFill="1" applyBorder="1" applyAlignment="1">
      <alignment horizontal="center" vertical="center" wrapText="1"/>
    </xf>
    <xf numFmtId="0" fontId="44" fillId="27" borderId="45" xfId="0" applyFont="1" applyFill="1" applyBorder="1" applyAlignment="1">
      <alignment horizontal="center" vertical="center" wrapText="1"/>
    </xf>
    <xf numFmtId="0" fontId="44" fillId="27" borderId="39" xfId="0" applyFont="1" applyFill="1" applyBorder="1" applyAlignment="1">
      <alignment horizontal="center" vertical="center" wrapText="1"/>
    </xf>
    <xf numFmtId="0" fontId="26" fillId="5" borderId="45" xfId="0" applyFont="1" applyFill="1" applyBorder="1" applyAlignment="1">
      <alignment horizontal="center" vertical="center" wrapText="1"/>
    </xf>
    <xf numFmtId="0" fontId="26" fillId="5" borderId="39" xfId="0" applyFont="1" applyFill="1" applyBorder="1" applyAlignment="1">
      <alignment horizontal="center" vertical="center" wrapText="1"/>
    </xf>
    <xf numFmtId="0" fontId="84" fillId="36" borderId="38" xfId="0" applyFont="1" applyFill="1" applyBorder="1" applyAlignment="1">
      <alignment horizontal="center"/>
    </xf>
    <xf numFmtId="0" fontId="84" fillId="36" borderId="64" xfId="0" applyFont="1" applyFill="1" applyBorder="1" applyAlignment="1">
      <alignment horizontal="center"/>
    </xf>
    <xf numFmtId="0" fontId="84" fillId="36" borderId="62" xfId="0" applyFont="1" applyFill="1" applyBorder="1" applyAlignment="1">
      <alignment horizontal="center"/>
    </xf>
    <xf numFmtId="0" fontId="100" fillId="38" borderId="45" xfId="0" applyFont="1" applyFill="1" applyBorder="1" applyAlignment="1">
      <alignment horizontal="center"/>
    </xf>
    <xf numFmtId="0" fontId="100" fillId="38" borderId="85" xfId="0" applyFont="1" applyFill="1" applyBorder="1" applyAlignment="1">
      <alignment horizontal="center"/>
    </xf>
    <xf numFmtId="0" fontId="96" fillId="37" borderId="45" xfId="0" applyFont="1" applyFill="1" applyBorder="1" applyAlignment="1">
      <alignment horizontal="center"/>
    </xf>
    <xf numFmtId="0" fontId="96" fillId="37" borderId="85" xfId="0" applyFont="1" applyFill="1" applyBorder="1" applyAlignment="1">
      <alignment horizontal="center"/>
    </xf>
    <xf numFmtId="0" fontId="93" fillId="40" borderId="45" xfId="0" applyFont="1" applyFill="1" applyBorder="1" applyAlignment="1">
      <alignment horizontal="center"/>
    </xf>
    <xf numFmtId="0" fontId="93" fillId="40" borderId="85" xfId="0" applyFont="1" applyFill="1" applyBorder="1" applyAlignment="1">
      <alignment horizontal="center"/>
    </xf>
    <xf numFmtId="0" fontId="81" fillId="2" borderId="71" xfId="0" applyFont="1" applyFill="1" applyBorder="1" applyAlignment="1">
      <alignment horizontal="center"/>
    </xf>
    <xf numFmtId="0" fontId="89" fillId="39" borderId="34" xfId="0" applyFont="1" applyFill="1" applyBorder="1" applyAlignment="1">
      <alignment horizontal="center" vertical="center"/>
    </xf>
    <xf numFmtId="0" fontId="89" fillId="39" borderId="63" xfId="0" applyFont="1" applyFill="1" applyBorder="1" applyAlignment="1">
      <alignment horizontal="center" vertical="center"/>
    </xf>
    <xf numFmtId="0" fontId="89" fillId="39" borderId="35" xfId="0" applyFont="1" applyFill="1" applyBorder="1" applyAlignment="1">
      <alignment horizontal="center" vertical="center"/>
    </xf>
    <xf numFmtId="0" fontId="95" fillId="24" borderId="87" xfId="0" applyFont="1" applyFill="1" applyBorder="1" applyAlignment="1">
      <alignment horizontal="center" vertical="center"/>
    </xf>
    <xf numFmtId="0" fontId="95" fillId="24" borderId="80" xfId="0" applyFont="1" applyFill="1" applyBorder="1" applyAlignment="1">
      <alignment horizontal="center" vertical="center"/>
    </xf>
    <xf numFmtId="0" fontId="95" fillId="24" borderId="91" xfId="0" applyFont="1" applyFill="1" applyBorder="1" applyAlignment="1">
      <alignment horizontal="center" vertical="center"/>
    </xf>
    <xf numFmtId="0" fontId="98" fillId="31" borderId="87" xfId="0" applyFont="1" applyFill="1" applyBorder="1" applyAlignment="1">
      <alignment horizontal="center"/>
    </xf>
    <xf numFmtId="0" fontId="98" fillId="31" borderId="80" xfId="0" applyFont="1" applyFill="1" applyBorder="1" applyAlignment="1">
      <alignment horizontal="center"/>
    </xf>
    <xf numFmtId="0" fontId="98" fillId="31" borderId="91" xfId="0" applyFont="1" applyFill="1" applyBorder="1" applyAlignment="1">
      <alignment horizontal="center"/>
    </xf>
    <xf numFmtId="0" fontId="89" fillId="39" borderId="19" xfId="0" applyFont="1" applyFill="1" applyBorder="1" applyAlignment="1">
      <alignment horizontal="center"/>
    </xf>
    <xf numFmtId="0" fontId="89" fillId="39" borderId="59" xfId="0" applyFont="1" applyFill="1" applyBorder="1" applyAlignment="1">
      <alignment horizontal="center"/>
    </xf>
    <xf numFmtId="0" fontId="85" fillId="36" borderId="38" xfId="0" applyFont="1" applyFill="1" applyBorder="1" applyAlignment="1">
      <alignment horizontal="center"/>
    </xf>
    <xf numFmtId="0" fontId="85" fillId="36" borderId="62" xfId="0" applyFont="1" applyFill="1" applyBorder="1" applyAlignment="1">
      <alignment horizontal="center"/>
    </xf>
    <xf numFmtId="0" fontId="4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06" fillId="2" borderId="0" xfId="0" applyFont="1" applyFill="1" applyAlignment="1">
      <alignment horizontal="center"/>
    </xf>
    <xf numFmtId="0" fontId="66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73" fillId="24" borderId="7" xfId="0" applyFont="1" applyFill="1" applyBorder="1" applyAlignment="1">
      <alignment horizontal="center" vertical="center" wrapText="1"/>
    </xf>
    <xf numFmtId="0" fontId="73" fillId="24" borderId="8" xfId="0" applyFont="1" applyFill="1" applyBorder="1" applyAlignment="1">
      <alignment horizontal="center" vertical="center" wrapText="1"/>
    </xf>
    <xf numFmtId="0" fontId="73" fillId="11" borderId="7" xfId="0" applyFont="1" applyFill="1" applyBorder="1" applyAlignment="1">
      <alignment horizontal="center" vertical="center" wrapText="1"/>
    </xf>
    <xf numFmtId="0" fontId="73" fillId="11" borderId="8" xfId="0" applyFont="1" applyFill="1" applyBorder="1" applyAlignment="1">
      <alignment horizontal="center" vertical="center" wrapText="1"/>
    </xf>
    <xf numFmtId="0" fontId="107" fillId="42" borderId="86" xfId="0" applyFont="1" applyFill="1" applyBorder="1" applyAlignment="1">
      <alignment horizontal="center"/>
    </xf>
    <xf numFmtId="0" fontId="66" fillId="11" borderId="38" xfId="0" applyFont="1" applyFill="1" applyBorder="1" applyAlignment="1">
      <alignment horizontal="center"/>
    </xf>
    <xf numFmtId="0" fontId="66" fillId="11" borderId="62" xfId="0" applyFont="1" applyFill="1" applyBorder="1" applyAlignment="1">
      <alignment horizontal="center"/>
    </xf>
    <xf numFmtId="0" fontId="66" fillId="48" borderId="38" xfId="0" applyFont="1" applyFill="1" applyBorder="1" applyAlignment="1">
      <alignment horizontal="center"/>
    </xf>
    <xf numFmtId="0" fontId="66" fillId="48" borderId="62" xfId="0" applyFont="1" applyFill="1" applyBorder="1" applyAlignment="1">
      <alignment horizontal="center"/>
    </xf>
    <xf numFmtId="0" fontId="107" fillId="2" borderId="71" xfId="0" applyFont="1" applyFill="1" applyBorder="1" applyAlignment="1">
      <alignment horizontal="center"/>
    </xf>
    <xf numFmtId="0" fontId="7" fillId="4" borderId="40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horizontal="center" vertical="center" wrapText="1"/>
    </xf>
    <xf numFmtId="0" fontId="9" fillId="4" borderId="45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16" fillId="4" borderId="45" xfId="0" applyFont="1" applyFill="1" applyBorder="1" applyAlignment="1">
      <alignment horizontal="center" vertical="center" wrapText="1"/>
    </xf>
    <xf numFmtId="0" fontId="16" fillId="4" borderId="39" xfId="0" applyFont="1" applyFill="1" applyBorder="1" applyAlignment="1">
      <alignment horizontal="center" vertical="center" wrapText="1"/>
    </xf>
    <xf numFmtId="0" fontId="42" fillId="7" borderId="45" xfId="0" applyFont="1" applyFill="1" applyBorder="1" applyAlignment="1">
      <alignment horizontal="center" vertical="center" wrapText="1"/>
    </xf>
    <xf numFmtId="0" fontId="42" fillId="7" borderId="39" xfId="0" applyFont="1" applyFill="1" applyBorder="1" applyAlignment="1">
      <alignment horizontal="center" vertical="center" wrapText="1"/>
    </xf>
    <xf numFmtId="0" fontId="106" fillId="0" borderId="0" xfId="0" applyFont="1" applyAlignment="1">
      <alignment horizontal="center"/>
    </xf>
    <xf numFmtId="0" fontId="66" fillId="0" borderId="0" xfId="0" applyFont="1" applyAlignment="1">
      <alignment horizontal="center"/>
    </xf>
  </cellXfs>
  <cellStyles count="8">
    <cellStyle name="Check Cell" xfId="7" builtinId="23"/>
    <cellStyle name="Currency" xfId="1" builtinId="4"/>
    <cellStyle name="Heading 1" xfId="4" builtinId="16"/>
    <cellStyle name="Heading 2" xfId="5" builtinId="17"/>
    <cellStyle name="Heading 3" xfId="6" builtinId="18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198501872659173E-2"/>
          <c:y val="5.9701492537313432E-2"/>
          <c:w val="0.95880149812734083"/>
          <c:h val="0.838370842637207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>
              <a:glow rad="127000">
                <a:schemeClr val="accent1">
                  <a:alpha val="6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('Financial Statement'!$B$24,'Financial Statement'!$B$34,'Financial Statement'!$B$41,'Financial Statement'!$B$43)</c:f>
              <c:strCache>
                <c:ptCount val="4"/>
                <c:pt idx="0">
                  <c:v>Return on investment (CF)</c:v>
                </c:pt>
                <c:pt idx="1">
                  <c:v>Return on Investment (PR)</c:v>
                </c:pt>
                <c:pt idx="2">
                  <c:v>Return on Investmnet (PA)</c:v>
                </c:pt>
                <c:pt idx="3">
                  <c:v>Total Return on Investment</c:v>
                </c:pt>
              </c:strCache>
            </c:strRef>
          </c:cat>
          <c:val>
            <c:numRef>
              <c:f>('Financial Statement'!$C$24,'Financial Statement'!$C$34,'Financial Statement'!$C$41,'Financial Statement'!$C$43)</c:f>
              <c:numCache>
                <c:formatCode>0.00%</c:formatCode>
                <c:ptCount val="4"/>
                <c:pt idx="0">
                  <c:v>-0.16799914981375264</c:v>
                </c:pt>
                <c:pt idx="1">
                  <c:v>5.8829517577583333E-2</c:v>
                </c:pt>
                <c:pt idx="2">
                  <c:v>8.5777531820697292E-2</c:v>
                </c:pt>
                <c:pt idx="3">
                  <c:v>-2.3392100415472017E-2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E-4919-8ED3-7B7C3088FF7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74321456"/>
        <c:axId val="454489680"/>
      </c:barChart>
      <c:catAx>
        <c:axId val="57432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noFill/>
            <a:round/>
          </a:ln>
          <a:effectLst>
            <a:glow>
              <a:schemeClr val="accent1"/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89680"/>
        <c:crosses val="autoZero"/>
        <c:auto val="1"/>
        <c:lblAlgn val="ctr"/>
        <c:lblOffset val="100"/>
        <c:noMultiLvlLbl val="0"/>
      </c:catAx>
      <c:valAx>
        <c:axId val="45448968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7432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21260.987652538617</c:v>
                </c:pt>
                <c:pt idx="1">
                  <c:v>22628.532958673088</c:v>
                </c:pt>
                <c:pt idx="2">
                  <c:v>24084.041260454524</c:v>
                </c:pt>
                <c:pt idx="3">
                  <c:v>25633.17049738119</c:v>
                </c:pt>
                <c:pt idx="4">
                  <c:v>27281.94253788672</c:v>
                </c:pt>
                <c:pt idx="5">
                  <c:v>29036.766587909759</c:v>
                </c:pt>
                <c:pt idx="6">
                  <c:v>30904.464105145129</c:v>
                </c:pt>
                <c:pt idx="7">
                  <c:v>32892.295315824871</c:v>
                </c:pt>
                <c:pt idx="8">
                  <c:v>35007.987437106669</c:v>
                </c:pt>
                <c:pt idx="9">
                  <c:v>37259.764714777652</c:v>
                </c:pt>
                <c:pt idx="10">
                  <c:v>39656.380393037784</c:v>
                </c:pt>
                <c:pt idx="11">
                  <c:v>42207.150740637648</c:v>
                </c:pt>
                <c:pt idx="12">
                  <c:v>44921.991265639197</c:v>
                </c:pt>
                <c:pt idx="13">
                  <c:v>47811.455259575705</c:v>
                </c:pt>
                <c:pt idx="14">
                  <c:v>50886.774820841929</c:v>
                </c:pt>
                <c:pt idx="15">
                  <c:v>54159.904516783194</c:v>
                </c:pt>
                <c:pt idx="16">
                  <c:v>57643.567854209337</c:v>
                </c:pt>
                <c:pt idx="17">
                  <c:v>61351.306738976331</c:v>
                </c:pt>
                <c:pt idx="18">
                  <c:v>65297.53411689803</c:v>
                </c:pt>
                <c:pt idx="19">
                  <c:v>69497.59000061694</c:v>
                </c:pt>
                <c:pt idx="20">
                  <c:v>73967.801100224737</c:v>
                </c:pt>
                <c:pt idx="21">
                  <c:v>78725.544289432728</c:v>
                </c:pt>
                <c:pt idx="22">
                  <c:v>83789.314154001608</c:v>
                </c:pt>
                <c:pt idx="23">
                  <c:v>89178.794885008494</c:v>
                </c:pt>
                <c:pt idx="24">
                  <c:v>94914.936796417358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8-4AE7-B41B-9EEF73305D9F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76897.81584073983</c:v>
                </c:pt>
                <c:pt idx="1">
                  <c:v>75530.270534605355</c:v>
                </c:pt>
                <c:pt idx="2">
                  <c:v>74074.762232823894</c:v>
                </c:pt>
                <c:pt idx="3">
                  <c:v>72525.632995897235</c:v>
                </c:pt>
                <c:pt idx="4">
                  <c:v>70876.860955391719</c:v>
                </c:pt>
                <c:pt idx="5">
                  <c:v>69122.036905368688</c:v>
                </c:pt>
                <c:pt idx="6">
                  <c:v>67254.339388133318</c:v>
                </c:pt>
                <c:pt idx="7">
                  <c:v>65266.508177453565</c:v>
                </c:pt>
                <c:pt idx="8">
                  <c:v>63150.816056171767</c:v>
                </c:pt>
                <c:pt idx="9">
                  <c:v>60899.038778500792</c:v>
                </c:pt>
                <c:pt idx="10">
                  <c:v>58502.423100240652</c:v>
                </c:pt>
                <c:pt idx="11">
                  <c:v>55951.652752640788</c:v>
                </c:pt>
                <c:pt idx="12">
                  <c:v>53236.812227639231</c:v>
                </c:pt>
                <c:pt idx="13">
                  <c:v>50347.348233702724</c:v>
                </c:pt>
                <c:pt idx="14">
                  <c:v>47272.028672436514</c:v>
                </c:pt>
                <c:pt idx="15">
                  <c:v>43998.898976495249</c:v>
                </c:pt>
                <c:pt idx="16">
                  <c:v>40515.235639069113</c:v>
                </c:pt>
                <c:pt idx="17">
                  <c:v>36807.496754302119</c:v>
                </c:pt>
                <c:pt idx="18">
                  <c:v>32861.269376380391</c:v>
                </c:pt>
                <c:pt idx="19">
                  <c:v>28661.213492661485</c:v>
                </c:pt>
                <c:pt idx="20">
                  <c:v>24191.002393053703</c:v>
                </c:pt>
                <c:pt idx="21">
                  <c:v>19433.259203845701</c:v>
                </c:pt>
                <c:pt idx="22">
                  <c:v>14369.489339276835</c:v>
                </c:pt>
                <c:pt idx="23">
                  <c:v>8980.0086082699545</c:v>
                </c:pt>
                <c:pt idx="24">
                  <c:v>3243.8666968587536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8-4AE7-B41B-9EEF73305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0524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769822567799462E-2"/>
          <c:y val="0.14366013071895425"/>
          <c:w val="0.95411887382690297"/>
          <c:h val="0.74718233750192986"/>
        </c:manualLayout>
      </c:layout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  <c:pt idx="15">
                  <c:v>-58658.328941282954</c:v>
                </c:pt>
                <c:pt idx="16">
                  <c:v>-58721.109357903297</c:v>
                </c:pt>
                <c:pt idx="17">
                  <c:v>-58817.977794300961</c:v>
                </c:pt>
                <c:pt idx="18">
                  <c:v>-58950.880058712144</c:v>
                </c:pt>
                <c:pt idx="19">
                  <c:v>-59121.849541379597</c:v>
                </c:pt>
                <c:pt idx="20">
                  <c:v>-59333.010839827686</c:v>
                </c:pt>
                <c:pt idx="21">
                  <c:v>-59586.583528777963</c:v>
                </c:pt>
                <c:pt idx="22">
                  <c:v>-59884.886080374985</c:v>
                </c:pt>
                <c:pt idx="23">
                  <c:v>-60230.339940613114</c:v>
                </c:pt>
                <c:pt idx="24">
                  <c:v>-60625.473768083109</c:v>
                </c:pt>
                <c:pt idx="25">
                  <c:v>-61072.927841395634</c:v>
                </c:pt>
                <c:pt idx="26">
                  <c:v>-61575.458641885343</c:v>
                </c:pt>
                <c:pt idx="27">
                  <c:v>-62135.943618455669</c:v>
                </c:pt>
                <c:pt idx="28">
                  <c:v>-62757.386141690891</c:v>
                </c:pt>
                <c:pt idx="29">
                  <c:v>-63442.920654639034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  <c:pt idx="15">
                  <c:v>-0.16230860249386539</c:v>
                </c:pt>
                <c:pt idx="16">
                  <c:v>-0.16248231698368373</c:v>
                </c:pt>
                <c:pt idx="17">
                  <c:v>-0.16275035360902312</c:v>
                </c:pt>
                <c:pt idx="18">
                  <c:v>-0.16311809645465453</c:v>
                </c:pt>
                <c:pt idx="19">
                  <c:v>-0.16359117194626341</c:v>
                </c:pt>
                <c:pt idx="20">
                  <c:v>-0.16417545888164828</c:v>
                </c:pt>
                <c:pt idx="21">
                  <c:v>-0.16487709886214158</c:v>
                </c:pt>
                <c:pt idx="22">
                  <c:v>-0.16570250713994186</c:v>
                </c:pt>
                <c:pt idx="23">
                  <c:v>-0.16665838389765666</c:v>
                </c:pt>
                <c:pt idx="24">
                  <c:v>-0.16775172597698701</c:v>
                </c:pt>
                <c:pt idx="25">
                  <c:v>-0.16898983907414397</c:v>
                </c:pt>
                <c:pt idx="26">
                  <c:v>-0.17038035042026936</c:v>
                </c:pt>
                <c:pt idx="27">
                  <c:v>-0.17193122196584301</c:v>
                </c:pt>
                <c:pt idx="28">
                  <c:v>-0.17365076408879604</c:v>
                </c:pt>
                <c:pt idx="29">
                  <c:v>-0.17554764984681526</c:v>
                </c:pt>
                <c:pt idx="30">
                  <c:v>9.3976163434762311E-2</c:v>
                </c:pt>
                <c:pt idx="31">
                  <c:v>9.1697045838079722E-2</c:v>
                </c:pt>
                <c:pt idx="32">
                  <c:v>8.9212238216146489E-2</c:v>
                </c:pt>
                <c:pt idx="33">
                  <c:v>8.6511462623034885E-2</c:v>
                </c:pt>
                <c:pt idx="34">
                  <c:v>8.3583998234299711E-2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CF Compare</a:t>
            </a:r>
          </a:p>
        </c:rich>
      </c:tx>
      <c:layout>
        <c:manualLayout>
          <c:xMode val="edge"/>
          <c:yMode val="edge"/>
          <c:x val="0.39282633420822405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ARV CF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'ROI Detail ARV'!$C$32:$C$46</c:f>
              <c:numCache>
                <c:formatCode>"$"#,##0.00_);[Red]\("$"#,##0.00\)</c:formatCode>
                <c:ptCount val="1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1-47D0-9115-9B9AB5CD20F1}"/>
            </c:ext>
          </c:extLst>
        </c:ser>
        <c:ser>
          <c:idx val="2"/>
          <c:order val="2"/>
          <c:tx>
            <c:v>Original CF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'ROI details'!$C$32:$C$46</c:f>
              <c:numCache>
                <c:formatCode>"$"#,##0.00_);[Red]\("$"#,##0.00\)</c:formatCode>
                <c:ptCount val="1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420447"/>
        <c:axId val="902461263"/>
      </c:barChart>
      <c:lineChart>
        <c:grouping val="standard"/>
        <c:varyColors val="0"/>
        <c:ser>
          <c:idx val="1"/>
          <c:order val="1"/>
          <c:tx>
            <c:v>ARV CF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'ROI Detail ARV'!$D$32:$D$46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D1-47D0-9115-9B9AB5CD20F1}"/>
            </c:ext>
          </c:extLst>
        </c:ser>
        <c:ser>
          <c:idx val="3"/>
          <c:order val="3"/>
          <c:tx>
            <c:v>Original CF %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'ROI details'!$D$32:$D$46</c:f>
              <c:numCache>
                <c:formatCode>0.00%</c:formatCode>
                <c:ptCount val="1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463599"/>
        <c:axId val="891568463"/>
      </c:lineChart>
      <c:catAx>
        <c:axId val="998420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461263"/>
        <c:crosses val="autoZero"/>
        <c:auto val="1"/>
        <c:lblAlgn val="ctr"/>
        <c:lblOffset val="100"/>
        <c:noMultiLvlLbl val="0"/>
      </c:catAx>
      <c:valAx>
        <c:axId val="90246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20447"/>
        <c:crosses val="autoZero"/>
        <c:crossBetween val="between"/>
      </c:valAx>
      <c:valAx>
        <c:axId val="89156846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63599"/>
        <c:crosses val="max"/>
        <c:crossBetween val="between"/>
      </c:valAx>
      <c:catAx>
        <c:axId val="995463599"/>
        <c:scaling>
          <c:orientation val="minMax"/>
        </c:scaling>
        <c:delete val="1"/>
        <c:axPos val="b"/>
        <c:majorTickMark val="none"/>
        <c:minorTickMark val="none"/>
        <c:tickLblPos val="nextTo"/>
        <c:crossAx val="891568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15314599436541"/>
          <c:y val="0.92909614239396543"/>
          <c:w val="0.53804233186448025"/>
          <c:h val="7.0903857606034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$ 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Result'!$C$54:$C$56,'Total Result'!$C$58)</c:f>
              <c:numCache>
                <c:formatCode>_("$"* #,##0.00_);_("$"* \(#,##0.00\);_("$"* "-"??_);_(@_)</c:formatCode>
                <c:ptCount val="4"/>
                <c:pt idx="0">
                  <c:v>-300635.24413164594</c:v>
                </c:pt>
                <c:pt idx="1">
                  <c:v>123239.87037984765</c:v>
                </c:pt>
                <c:pt idx="2">
                  <c:v>161325.24496000004</c:v>
                </c:pt>
                <c:pt idx="3">
                  <c:v>-16070.128791798255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2-4662-BA65-BC3C695DDCD5}"/>
            </c:ext>
          </c:extLst>
        </c:ser>
        <c:ser>
          <c:idx val="1"/>
          <c:order val="1"/>
          <c:tx>
            <c:v>$ ARV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Result'!$E$54:$E$56,'Total Result'!$E$58)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161325.24496000004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22566815"/>
        <c:axId val="1256325423"/>
      </c:barChart>
      <c:lineChart>
        <c:grouping val="standard"/>
        <c:varyColors val="0"/>
        <c:ser>
          <c:idx val="2"/>
          <c:order val="2"/>
          <c:tx>
            <c:v>% Original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Result'!$D$54:$D$56</c:f>
              <c:numCache>
                <c:formatCode>0.00%</c:formatCode>
                <c:ptCount val="3"/>
                <c:pt idx="0">
                  <c:v>-0.83186287806210835</c:v>
                </c:pt>
                <c:pt idx="1">
                  <c:v>0.34100683558341904</c:v>
                </c:pt>
                <c:pt idx="2">
                  <c:v>0.44638972042058672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82-4662-BA65-BC3C695DDCD5}"/>
            </c:ext>
          </c:extLst>
        </c:ser>
        <c:ser>
          <c:idx val="3"/>
          <c:order val="3"/>
          <c:tx>
            <c:v>% 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Result'!$F$54:$F$56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0.10074013048582493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229455"/>
        <c:axId val="1028269423"/>
      </c:lineChart>
      <c:catAx>
        <c:axId val="102256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25423"/>
        <c:crosses val="autoZero"/>
        <c:auto val="1"/>
        <c:lblAlgn val="ctr"/>
        <c:lblOffset val="100"/>
        <c:noMultiLvlLbl val="0"/>
      </c:catAx>
      <c:valAx>
        <c:axId val="125632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566815"/>
        <c:crosses val="autoZero"/>
        <c:crossBetween val="between"/>
      </c:valAx>
      <c:valAx>
        <c:axId val="102826942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29455"/>
        <c:crosses val="max"/>
        <c:crossBetween val="between"/>
      </c:valAx>
      <c:catAx>
        <c:axId val="7372294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826942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10 year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Result'!$C$61:$C$63</c:f>
              <c:numCache>
                <c:formatCode>_("$"* #,##0.00_);_("$"* \(#,##0.00\);_("$"* "-"??_);_(@_)</c:formatCode>
                <c:ptCount val="3"/>
                <c:pt idx="0">
                  <c:v>-597042.89098653093</c:v>
                </c:pt>
                <c:pt idx="1">
                  <c:v>289201.05103103229</c:v>
                </c:pt>
                <c:pt idx="2">
                  <c:v>248838.27878898033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B-484E-B927-BE84E9342902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Result'!$E$61:$E$63</c:f>
              <c:numCache>
                <c:formatCode>_("$"* #,##0.00_);_("$"* \(#,##0.00\);_("$"*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248838.27878898033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1066991"/>
        <c:axId val="1014493423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Result'!$D$61:$D$63</c:f>
              <c:numCache>
                <c:formatCode>0.00%</c:formatCode>
                <c:ptCount val="3"/>
                <c:pt idx="0">
                  <c:v>-1.6520279219328471</c:v>
                </c:pt>
                <c:pt idx="1">
                  <c:v>0.80022426959333781</c:v>
                </c:pt>
                <c:pt idx="2">
                  <c:v>0.68853978635578394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B-484E-B927-BE84E9342902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Result'!$F$61:$F$63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0.15538795977830669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100511"/>
        <c:axId val="1014455151"/>
      </c:lineChart>
      <c:catAx>
        <c:axId val="117106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93423"/>
        <c:crosses val="autoZero"/>
        <c:auto val="1"/>
        <c:lblAlgn val="ctr"/>
        <c:lblOffset val="100"/>
        <c:noMultiLvlLbl val="0"/>
      </c:catAx>
      <c:valAx>
        <c:axId val="101449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66991"/>
        <c:crosses val="autoZero"/>
        <c:crossBetween val="between"/>
      </c:valAx>
      <c:valAx>
        <c:axId val="1014455151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100511"/>
        <c:crosses val="max"/>
        <c:crossBetween val="between"/>
      </c:valAx>
      <c:catAx>
        <c:axId val="10091005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5515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Result'!$C$67:$C$69</c:f>
              <c:numCache>
                <c:formatCode>_("$"* #,##0.00_);_("$"* \(#,##0.00\);_("$"* "-"??_);_(@_)</c:formatCode>
                <c:ptCount val="3"/>
                <c:pt idx="0">
                  <c:v>-890460.02265850606</c:v>
                </c:pt>
                <c:pt idx="1">
                  <c:v>515859.19805492985</c:v>
                </c:pt>
                <c:pt idx="2">
                  <c:v>536095.92440240039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E-4830-8511-67AC8C80061E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Result'!$E$67:$E$69</c:f>
              <c:numCache>
                <c:formatCode>_("$"* #,##0.00_);_("$"* \(#,##0.00\);_("$"*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536095.92440240039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0494111"/>
        <c:axId val="1014461391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Result'!$D$67:$D$69</c:f>
              <c:numCache>
                <c:formatCode>0.00%</c:formatCode>
                <c:ptCount val="3"/>
                <c:pt idx="0">
                  <c:v>-2.4639181589886721</c:v>
                </c:pt>
                <c:pt idx="1">
                  <c:v>1.4273912508437461</c:v>
                </c:pt>
                <c:pt idx="2">
                  <c:v>1.4833866198184846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0E-4830-8511-67AC8C80061E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Result'!$F$67:$F$69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0.33476703159885124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732095"/>
        <c:axId val="1014474703"/>
      </c:lineChart>
      <c:catAx>
        <c:axId val="11604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61391"/>
        <c:crosses val="autoZero"/>
        <c:auto val="1"/>
        <c:lblAlgn val="ctr"/>
        <c:lblOffset val="100"/>
        <c:noMultiLvlLbl val="0"/>
      </c:catAx>
      <c:valAx>
        <c:axId val="101446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494111"/>
        <c:crosses val="autoZero"/>
        <c:crossBetween val="between"/>
      </c:valAx>
      <c:valAx>
        <c:axId val="101447470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32095"/>
        <c:crosses val="max"/>
        <c:crossBetween val="between"/>
      </c:valAx>
      <c:catAx>
        <c:axId val="10127320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7470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 payment Principle/interest</a:t>
            </a:r>
          </a:p>
        </c:rich>
      </c:tx>
      <c:layout>
        <c:manualLayout>
          <c:xMode val="edge"/>
          <c:yMode val="edge"/>
          <c:x val="0.272010481361735"/>
          <c:y val="2.1722265321955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result'!$C$4:$C$33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5-4D6A-AFB4-057F8BA1DE21}"/>
            </c:ext>
          </c:extLst>
        </c:ser>
        <c:ser>
          <c:idx val="1"/>
          <c:order val="1"/>
          <c:tx>
            <c:v>Interest payment</c:v>
          </c:tx>
          <c:spPr>
            <a:gradFill rotWithShape="1">
              <a:gsLst>
                <a:gs pos="0">
                  <a:schemeClr val="accent2">
                    <a:tint val="97000"/>
                    <a:satMod val="100000"/>
                    <a:lumMod val="102000"/>
                  </a:schemeClr>
                </a:gs>
                <a:gs pos="50000">
                  <a:schemeClr val="accent2">
                    <a:shade val="100000"/>
                    <a:satMod val="100000"/>
                    <a:lumMod val="100000"/>
                  </a:schemeClr>
                </a:gs>
                <a:gs pos="100000">
                  <a:schemeClr val="accent2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result'!$E$4:$E$33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3683248"/>
        <c:axId val="693010160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'PR ARV result'!$G$4:$G$33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830112"/>
        <c:axId val="795389520"/>
      </c:lineChart>
      <c:catAx>
        <c:axId val="91368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10160"/>
        <c:crosses val="autoZero"/>
        <c:auto val="1"/>
        <c:lblAlgn val="ctr"/>
        <c:lblOffset val="100"/>
        <c:noMultiLvlLbl val="0"/>
      </c:catAx>
      <c:valAx>
        <c:axId val="6930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83248"/>
        <c:crosses val="autoZero"/>
        <c:crossBetween val="between"/>
      </c:valAx>
      <c:valAx>
        <c:axId val="79538952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30112"/>
        <c:crosses val="max"/>
        <c:crossBetween val="between"/>
      </c:valAx>
      <c:catAx>
        <c:axId val="10168301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389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21260.987652538617</c:v>
                </c:pt>
                <c:pt idx="1">
                  <c:v>22628.532958673088</c:v>
                </c:pt>
                <c:pt idx="2">
                  <c:v>24084.041260454524</c:v>
                </c:pt>
                <c:pt idx="3">
                  <c:v>25633.17049738119</c:v>
                </c:pt>
                <c:pt idx="4">
                  <c:v>27281.94253788672</c:v>
                </c:pt>
                <c:pt idx="5">
                  <c:v>29036.766587909759</c:v>
                </c:pt>
                <c:pt idx="6">
                  <c:v>30904.464105145129</c:v>
                </c:pt>
                <c:pt idx="7">
                  <c:v>32892.295315824871</c:v>
                </c:pt>
                <c:pt idx="8">
                  <c:v>35007.987437106669</c:v>
                </c:pt>
                <c:pt idx="9">
                  <c:v>37259.764714777652</c:v>
                </c:pt>
                <c:pt idx="10">
                  <c:v>39656.380393037784</c:v>
                </c:pt>
                <c:pt idx="11">
                  <c:v>42207.150740637648</c:v>
                </c:pt>
                <c:pt idx="12">
                  <c:v>44921.991265639197</c:v>
                </c:pt>
                <c:pt idx="13">
                  <c:v>47811.455259575705</c:v>
                </c:pt>
                <c:pt idx="14">
                  <c:v>50886.774820841929</c:v>
                </c:pt>
                <c:pt idx="15">
                  <c:v>54159.904516783194</c:v>
                </c:pt>
                <c:pt idx="16">
                  <c:v>57643.567854209337</c:v>
                </c:pt>
                <c:pt idx="17">
                  <c:v>61351.306738976331</c:v>
                </c:pt>
                <c:pt idx="18">
                  <c:v>65297.53411689803</c:v>
                </c:pt>
                <c:pt idx="19">
                  <c:v>69497.59000061694</c:v>
                </c:pt>
                <c:pt idx="20">
                  <c:v>73967.801100224737</c:v>
                </c:pt>
                <c:pt idx="21">
                  <c:v>78725.544289432728</c:v>
                </c:pt>
                <c:pt idx="22">
                  <c:v>83789.314154001608</c:v>
                </c:pt>
                <c:pt idx="23">
                  <c:v>89178.794885008494</c:v>
                </c:pt>
                <c:pt idx="24">
                  <c:v>94914.936796417358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D-4F89-9623-66DFA3F7E8DD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76897.81584073983</c:v>
                </c:pt>
                <c:pt idx="1">
                  <c:v>75530.270534605355</c:v>
                </c:pt>
                <c:pt idx="2">
                  <c:v>74074.762232823894</c:v>
                </c:pt>
                <c:pt idx="3">
                  <c:v>72525.632995897235</c:v>
                </c:pt>
                <c:pt idx="4">
                  <c:v>70876.860955391719</c:v>
                </c:pt>
                <c:pt idx="5">
                  <c:v>69122.036905368688</c:v>
                </c:pt>
                <c:pt idx="6">
                  <c:v>67254.339388133318</c:v>
                </c:pt>
                <c:pt idx="7">
                  <c:v>65266.508177453565</c:v>
                </c:pt>
                <c:pt idx="8">
                  <c:v>63150.816056171767</c:v>
                </c:pt>
                <c:pt idx="9">
                  <c:v>60899.038778500792</c:v>
                </c:pt>
                <c:pt idx="10">
                  <c:v>58502.423100240652</c:v>
                </c:pt>
                <c:pt idx="11">
                  <c:v>55951.652752640788</c:v>
                </c:pt>
                <c:pt idx="12">
                  <c:v>53236.812227639231</c:v>
                </c:pt>
                <c:pt idx="13">
                  <c:v>50347.348233702724</c:v>
                </c:pt>
                <c:pt idx="14">
                  <c:v>47272.028672436514</c:v>
                </c:pt>
                <c:pt idx="15">
                  <c:v>43998.898976495249</c:v>
                </c:pt>
                <c:pt idx="16">
                  <c:v>40515.235639069113</c:v>
                </c:pt>
                <c:pt idx="17">
                  <c:v>36807.496754302119</c:v>
                </c:pt>
                <c:pt idx="18">
                  <c:v>32861.269376380391</c:v>
                </c:pt>
                <c:pt idx="19">
                  <c:v>28661.213492661485</c:v>
                </c:pt>
                <c:pt idx="20">
                  <c:v>24191.002393053703</c:v>
                </c:pt>
                <c:pt idx="21">
                  <c:v>19433.259203845701</c:v>
                </c:pt>
                <c:pt idx="22">
                  <c:v>14369.489339276835</c:v>
                </c:pt>
                <c:pt idx="23">
                  <c:v>8980.0086082699545</c:v>
                </c:pt>
                <c:pt idx="24">
                  <c:v>3243.8666968587536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 Result'!$G$5:$G$34</c:f>
              <c:numCache>
                <c:formatCode>0.00%</c:formatCode>
                <c:ptCount val="30"/>
                <c:pt idx="0">
                  <c:v>5.8829517577583333E-2</c:v>
                </c:pt>
                <c:pt idx="1">
                  <c:v>6.2613538900589613E-2</c:v>
                </c:pt>
                <c:pt idx="2">
                  <c:v>6.6640955341600791E-2</c:v>
                </c:pt>
                <c:pt idx="3">
                  <c:v>7.0927422516273347E-2</c:v>
                </c:pt>
                <c:pt idx="4">
                  <c:v>7.5489603037871389E-2</c:v>
                </c:pt>
                <c:pt idx="5">
                  <c:v>8.0345231289180294E-2</c:v>
                </c:pt>
                <c:pt idx="6">
                  <c:v>8.5513182360667211E-2</c:v>
                </c:pt>
                <c:pt idx="7">
                  <c:v>9.1013545422869047E-2</c:v>
                </c:pt>
                <c:pt idx="8">
                  <c:v>9.6867701818225432E-2</c:v>
                </c:pt>
                <c:pt idx="9">
                  <c:v>0.10309840817592045</c:v>
                </c:pt>
                <c:pt idx="10">
                  <c:v>0.10972988487282176</c:v>
                </c:pt>
                <c:pt idx="11">
                  <c:v>0.11678791018438751</c:v>
                </c:pt>
                <c:pt idx="12">
                  <c:v>0.1242999204915307</c:v>
                </c:pt>
                <c:pt idx="13">
                  <c:v>0.13229511693297097</c:v>
                </c:pt>
                <c:pt idx="14">
                  <c:v>0.14080457891765891</c:v>
                </c:pt>
                <c:pt idx="15">
                  <c:v>0.14986138493852572</c:v>
                </c:pt>
                <c:pt idx="16">
                  <c:v>0.1595007411571924</c:v>
                </c:pt>
                <c:pt idx="17">
                  <c:v>0.16976011825948073</c:v>
                </c:pt>
                <c:pt idx="18">
                  <c:v>0.18067939711371894</c:v>
                </c:pt>
                <c:pt idx="19">
                  <c:v>0.19230102379805461</c:v>
                </c:pt>
                <c:pt idx="20">
                  <c:v>0.20467017459940437</c:v>
                </c:pt>
                <c:pt idx="21">
                  <c:v>0.21783493162543643</c:v>
                </c:pt>
                <c:pt idx="22">
                  <c:v>0.23184646971223466</c:v>
                </c:pt>
                <c:pt idx="23">
                  <c:v>0.24675925535420171</c:v>
                </c:pt>
                <c:pt idx="24">
                  <c:v>0.26263125842948909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233120"/>
        <c:axId val="425488544"/>
      </c:line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46320"/>
        <c:crosses val="autoZero"/>
        <c:crossBetween val="between"/>
      </c:valAx>
      <c:valAx>
        <c:axId val="4254885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33120"/>
        <c:crosses val="max"/>
        <c:crossBetween val="between"/>
      </c:valAx>
      <c:catAx>
        <c:axId val="905233120"/>
        <c:scaling>
          <c:orientation val="minMax"/>
        </c:scaling>
        <c:delete val="1"/>
        <c:axPos val="b"/>
        <c:majorTickMark val="out"/>
        <c:minorTickMark val="none"/>
        <c:tickLblPos val="nextTo"/>
        <c:crossAx val="425488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  <c:pt idx="15">
                  <c:v>-58658.328941282954</c:v>
                </c:pt>
                <c:pt idx="16">
                  <c:v>-58721.109357903297</c:v>
                </c:pt>
                <c:pt idx="17">
                  <c:v>-58817.977794300961</c:v>
                </c:pt>
                <c:pt idx="18">
                  <c:v>-58950.880058712144</c:v>
                </c:pt>
                <c:pt idx="19">
                  <c:v>-59121.849541379597</c:v>
                </c:pt>
                <c:pt idx="20">
                  <c:v>-59333.010839827686</c:v>
                </c:pt>
                <c:pt idx="21">
                  <c:v>-59586.583528777963</c:v>
                </c:pt>
                <c:pt idx="22">
                  <c:v>-59884.886080374985</c:v>
                </c:pt>
                <c:pt idx="23">
                  <c:v>-60230.339940613114</c:v>
                </c:pt>
                <c:pt idx="24">
                  <c:v>-60625.473768083109</c:v>
                </c:pt>
                <c:pt idx="25">
                  <c:v>-61072.927841395634</c:v>
                </c:pt>
                <c:pt idx="26">
                  <c:v>-61575.458641885343</c:v>
                </c:pt>
                <c:pt idx="27">
                  <c:v>-62135.943618455669</c:v>
                </c:pt>
                <c:pt idx="28">
                  <c:v>-62757.386141690891</c:v>
                </c:pt>
                <c:pt idx="29">
                  <c:v>-63442.920654639034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  <c:pt idx="15">
                  <c:v>-0.16230860249386539</c:v>
                </c:pt>
                <c:pt idx="16">
                  <c:v>-0.16248231698368373</c:v>
                </c:pt>
                <c:pt idx="17">
                  <c:v>-0.16275035360902312</c:v>
                </c:pt>
                <c:pt idx="18">
                  <c:v>-0.16311809645465453</c:v>
                </c:pt>
                <c:pt idx="19">
                  <c:v>-0.16359117194626341</c:v>
                </c:pt>
                <c:pt idx="20">
                  <c:v>-0.16417545888164828</c:v>
                </c:pt>
                <c:pt idx="21">
                  <c:v>-0.16487709886214158</c:v>
                </c:pt>
                <c:pt idx="22">
                  <c:v>-0.16570250713994186</c:v>
                </c:pt>
                <c:pt idx="23">
                  <c:v>-0.16665838389765666</c:v>
                </c:pt>
                <c:pt idx="24">
                  <c:v>-0.16775172597698701</c:v>
                </c:pt>
                <c:pt idx="25">
                  <c:v>-0.16898983907414397</c:v>
                </c:pt>
                <c:pt idx="26">
                  <c:v>-0.17038035042026936</c:v>
                </c:pt>
                <c:pt idx="27">
                  <c:v>-0.17193122196584301</c:v>
                </c:pt>
                <c:pt idx="28">
                  <c:v>-0.17365076408879604</c:v>
                </c:pt>
                <c:pt idx="29">
                  <c:v>-0.17554764984681526</c:v>
                </c:pt>
                <c:pt idx="30">
                  <c:v>9.3976163434762311E-2</c:v>
                </c:pt>
                <c:pt idx="31">
                  <c:v>9.1697045838079722E-2</c:v>
                </c:pt>
                <c:pt idx="32">
                  <c:v>8.9212238216146489E-2</c:v>
                </c:pt>
                <c:pt idx="33">
                  <c:v>8.6511462623034885E-2</c:v>
                </c:pt>
                <c:pt idx="34">
                  <c:v>8.3583998234299711E-2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270848"/>
        <c:axId val="1148776800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314448"/>
        <c:axId val="1148784288"/>
      </c:lineChart>
      <c:catAx>
        <c:axId val="101527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776800"/>
        <c:crosses val="autoZero"/>
        <c:auto val="1"/>
        <c:lblAlgn val="ctr"/>
        <c:lblOffset val="100"/>
        <c:noMultiLvlLbl val="0"/>
      </c:catAx>
      <c:valAx>
        <c:axId val="11487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70848"/>
        <c:crosses val="autoZero"/>
        <c:crossBetween val="between"/>
      </c:valAx>
      <c:valAx>
        <c:axId val="114878428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314448"/>
        <c:crosses val="max"/>
        <c:crossBetween val="between"/>
      </c:valAx>
      <c:catAx>
        <c:axId val="1015314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8784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CF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 CF $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  <c:pt idx="15">
                  <c:v>-58658.328941282954</c:v>
                </c:pt>
                <c:pt idx="16">
                  <c:v>-58721.109357903297</c:v>
                </c:pt>
                <c:pt idx="17">
                  <c:v>-58817.977794300961</c:v>
                </c:pt>
                <c:pt idx="18">
                  <c:v>-58950.880058712144</c:v>
                </c:pt>
                <c:pt idx="19">
                  <c:v>-59121.849541379597</c:v>
                </c:pt>
                <c:pt idx="20">
                  <c:v>-59333.010839827686</c:v>
                </c:pt>
                <c:pt idx="21">
                  <c:v>-59586.583528777963</c:v>
                </c:pt>
                <c:pt idx="22">
                  <c:v>-59884.886080374985</c:v>
                </c:pt>
                <c:pt idx="23">
                  <c:v>-60230.339940613114</c:v>
                </c:pt>
                <c:pt idx="24">
                  <c:v>-60625.473768083109</c:v>
                </c:pt>
                <c:pt idx="25">
                  <c:v>-61072.927841395634</c:v>
                </c:pt>
                <c:pt idx="26">
                  <c:v>-61575.458641885343</c:v>
                </c:pt>
                <c:pt idx="27">
                  <c:v>-62135.943618455669</c:v>
                </c:pt>
                <c:pt idx="28">
                  <c:v>-62757.386141690891</c:v>
                </c:pt>
                <c:pt idx="29">
                  <c:v>-63442.920654639034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5-485E-A891-1D802AA54A7C}"/>
            </c:ext>
          </c:extLst>
        </c:ser>
        <c:ser>
          <c:idx val="2"/>
          <c:order val="2"/>
          <c:tx>
            <c:v>ARV CF $</c:v>
          </c:tx>
          <c:spPr>
            <a:gradFill rotWithShape="1">
              <a:gsLst>
                <a:gs pos="0">
                  <a:schemeClr val="accent3">
                    <a:tint val="97000"/>
                    <a:satMod val="100000"/>
                    <a:lumMod val="102000"/>
                  </a:schemeClr>
                </a:gs>
                <a:gs pos="50000">
                  <a:schemeClr val="accent3">
                    <a:shade val="100000"/>
                    <a:satMod val="100000"/>
                    <a:lumMod val="100000"/>
                  </a:schemeClr>
                </a:gs>
                <a:gs pos="100000">
                  <a:schemeClr val="accent3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32000"/>
        <c:axId val="795412400"/>
      </c:barChart>
      <c:lineChart>
        <c:grouping val="standard"/>
        <c:varyColors val="0"/>
        <c:ser>
          <c:idx val="1"/>
          <c:order val="1"/>
          <c:tx>
            <c:v>Original CF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  <c:pt idx="15">
                  <c:v>-0.16230860249386539</c:v>
                </c:pt>
                <c:pt idx="16">
                  <c:v>-0.16248231698368373</c:v>
                </c:pt>
                <c:pt idx="17">
                  <c:v>-0.16275035360902312</c:v>
                </c:pt>
                <c:pt idx="18">
                  <c:v>-0.16311809645465453</c:v>
                </c:pt>
                <c:pt idx="19">
                  <c:v>-0.16359117194626341</c:v>
                </c:pt>
                <c:pt idx="20">
                  <c:v>-0.16417545888164828</c:v>
                </c:pt>
                <c:pt idx="21">
                  <c:v>-0.16487709886214158</c:v>
                </c:pt>
                <c:pt idx="22">
                  <c:v>-0.16570250713994186</c:v>
                </c:pt>
                <c:pt idx="23">
                  <c:v>-0.16665838389765666</c:v>
                </c:pt>
                <c:pt idx="24">
                  <c:v>-0.16775172597698701</c:v>
                </c:pt>
                <c:pt idx="25">
                  <c:v>-0.16898983907414397</c:v>
                </c:pt>
                <c:pt idx="26">
                  <c:v>-0.17038035042026936</c:v>
                </c:pt>
                <c:pt idx="27">
                  <c:v>-0.17193122196584301</c:v>
                </c:pt>
                <c:pt idx="28">
                  <c:v>-0.17365076408879604</c:v>
                </c:pt>
                <c:pt idx="29">
                  <c:v>-0.17554764984681526</c:v>
                </c:pt>
                <c:pt idx="30">
                  <c:v>9.3976163434762311E-2</c:v>
                </c:pt>
                <c:pt idx="31">
                  <c:v>9.1697045838079722E-2</c:v>
                </c:pt>
                <c:pt idx="32">
                  <c:v>8.9212238216146489E-2</c:v>
                </c:pt>
                <c:pt idx="33">
                  <c:v>8.6511462623034885E-2</c:v>
                </c:pt>
                <c:pt idx="34">
                  <c:v>8.3583998234299711E-2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75-485E-A891-1D802AA54A7C}"/>
            </c:ext>
          </c:extLst>
        </c:ser>
        <c:ser>
          <c:idx val="3"/>
          <c:order val="3"/>
          <c:tx>
            <c:v>ARV CF %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026304"/>
        <c:axId val="1149958080"/>
      </c:lineChart>
      <c:catAx>
        <c:axId val="114343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2400"/>
        <c:crosses val="autoZero"/>
        <c:auto val="1"/>
        <c:lblAlgn val="ctr"/>
        <c:lblOffset val="100"/>
        <c:noMultiLvlLbl val="0"/>
      </c:catAx>
      <c:valAx>
        <c:axId val="7954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432000"/>
        <c:crosses val="autoZero"/>
        <c:crossBetween val="between"/>
      </c:valAx>
      <c:valAx>
        <c:axId val="114995808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26304"/>
        <c:crosses val="max"/>
        <c:crossBetween val="between"/>
      </c:valAx>
      <c:catAx>
        <c:axId val="1141026304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9958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pin" dx="31" fmlaLink="$C$41" max="15" page="10" val="4"/>
</file>

<file path=xl/ctrlProps/ctrlProp2.xml><?xml version="1.0" encoding="utf-8"?>
<formControlPr xmlns="http://schemas.microsoft.com/office/spreadsheetml/2009/9/main" objectType="Spin" dx="31" fmlaLink="$C$42" max="15" page="10" val="3"/>
</file>

<file path=xl/ctrlProps/ctrlProp3.xml><?xml version="1.0" encoding="utf-8"?>
<formControlPr xmlns="http://schemas.microsoft.com/office/spreadsheetml/2009/9/main" objectType="Spin" dx="31" fmlaLink="$C$88" max="35" page="10" val="5"/>
</file>

<file path=xl/ctrlProps/ctrlProp4.xml><?xml version="1.0" encoding="utf-8"?>
<formControlPr xmlns="http://schemas.microsoft.com/office/spreadsheetml/2009/9/main" objectType="Spin" dx="31" fmlaLink="$C$50" max="15" page="10"/>
</file>

<file path=xl/ctrlProps/ctrlProp5.xml><?xml version="1.0" encoding="utf-8"?>
<formControlPr xmlns="http://schemas.microsoft.com/office/spreadsheetml/2009/9/main" objectType="Spin" dx="31" fmlaLink="$C$11" max="24" page="10" val="0"/>
</file>

<file path=xl/ctrlProps/ctrlProp6.xml><?xml version="1.0" encoding="utf-8"?>
<formControlPr xmlns="http://schemas.microsoft.com/office/spreadsheetml/2009/9/main" objectType="Spin" dx="31" fmlaLink="$C$50" max="15" page="10"/>
</file>

<file path=xl/ctrlProps/ctrlProp7.xml><?xml version="1.0" encoding="utf-8"?>
<formControlPr xmlns="http://schemas.microsoft.com/office/spreadsheetml/2009/9/main" objectType="Spin" dx="31" fmlaLink="$B$20" max="35" min="1" page="10"/>
</file>

<file path=xl/ctrlProps/ctrlProp8.xml><?xml version="1.0" encoding="utf-8"?>
<formControlPr xmlns="http://schemas.microsoft.com/office/spreadsheetml/2009/9/main" objectType="Spin" dx="31" fmlaLink="$B$23" max="30" min="1" page="10"/>
</file>

<file path=xl/ctrlProps/ctrlProp9.xml><?xml version="1.0" encoding="utf-8"?>
<formControlPr xmlns="http://schemas.microsoft.com/office/spreadsheetml/2009/9/main" objectType="Spin" dx="31" fmlaLink="$C$26" max="10" min="1" page="10"/>
</file>

<file path=xl/ctrlProps/ctrlProp10.xml><?xml version="1.0" encoding="utf-8"?>
<formControlPr xmlns="http://schemas.microsoft.com/office/spreadsheetml/2009/9/main" objectType="Spin" dx="31" fmlaLink="$C$41" max="15" page="10" val="0"/>
</file>

<file path=xl/ctrlProps/ctrlProp11.xml><?xml version="1.0" encoding="utf-8"?>
<formControlPr xmlns="http://schemas.microsoft.com/office/spreadsheetml/2009/9/main" objectType="Spin" dx="31" fmlaLink="$C$42" max="15" page="10" val="3"/>
</file>

<file path=xl/ctrlProps/ctrlProp12.xml><?xml version="1.0" encoding="utf-8"?>
<formControlPr xmlns="http://schemas.microsoft.com/office/spreadsheetml/2009/9/main" objectType="Spin" dx="31" fmlaLink="$C$88" max="35" page="10" val="5"/>
</file>

<file path=xl/ctrlProps/ctrlProp13.xml><?xml version="1.0" encoding="utf-8"?>
<formControlPr xmlns="http://schemas.microsoft.com/office/spreadsheetml/2009/9/main" objectType="Spin" dx="31" fmlaLink="$C$50" max="15" page="10" val="0"/>
</file>

<file path=xl/ctrlProps/ctrlProp14.xml><?xml version="1.0" encoding="utf-8"?>
<formControlPr xmlns="http://schemas.microsoft.com/office/spreadsheetml/2009/9/main" objectType="Spin" dx="31" fmlaLink="$C$11" max="24" page="10" val="0"/>
</file>

<file path=xl/ctrlProps/ctrlProp15.xml><?xml version="1.0" encoding="utf-8"?>
<formControlPr xmlns="http://schemas.microsoft.com/office/spreadsheetml/2009/9/main" objectType="Spin" dx="31" fmlaLink="$C$50" max="15" page="10" val="0"/>
</file>

<file path=xl/ctrlProps/ctrlProp16.xml><?xml version="1.0" encoding="utf-8"?>
<formControlPr xmlns="http://schemas.microsoft.com/office/spreadsheetml/2009/9/main" objectType="Spin" dx="31" fmlaLink="$E$14" max="24" page="10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s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Outputs!AF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2.png"/><Relationship Id="rId4" Type="http://schemas.openxmlformats.org/officeDocument/2006/relationships/hyperlink" Target="#Outputs!AY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Graph!A72"/><Relationship Id="rId2" Type="http://schemas.openxmlformats.org/officeDocument/2006/relationships/hyperlink" Target="#Graph!A55"/><Relationship Id="rId1" Type="http://schemas.openxmlformats.org/officeDocument/2006/relationships/hyperlink" Target="#Graph!A38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Graph!M22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Graph!A88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PR ARV result'!A1"/><Relationship Id="rId13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hyperlink" Target="#'PR Result'!A1"/><Relationship Id="rId12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hyperlink" Target="#'Total Result'!A71"/><Relationship Id="rId5" Type="http://schemas.openxmlformats.org/officeDocument/2006/relationships/chart" Target="../charts/chart8.xml"/><Relationship Id="rId10" Type="http://schemas.openxmlformats.org/officeDocument/2006/relationships/hyperlink" Target="#'Long term Result'!A53"/><Relationship Id="rId4" Type="http://schemas.openxmlformats.org/officeDocument/2006/relationships/chart" Target="../charts/chart7.xml"/><Relationship Id="rId9" Type="http://schemas.openxmlformats.org/officeDocument/2006/relationships/hyperlink" Target="#'Long term Result'!A46"/><Relationship Id="rId14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 ARV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Graph!A109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7</xdr:col>
      <xdr:colOff>209550</xdr:colOff>
      <xdr:row>42</xdr:row>
      <xdr:rowOff>95250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474200" y="8572500"/>
          <a:ext cx="2101850" cy="7810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127000</xdr:colOff>
      <xdr:row>0</xdr:row>
      <xdr:rowOff>101600</xdr:rowOff>
    </xdr:from>
    <xdr:to>
      <xdr:col>4</xdr:col>
      <xdr:colOff>57150</xdr:colOff>
      <xdr:row>1</xdr:row>
      <xdr:rowOff>215900</xdr:rowOff>
    </xdr:to>
    <xdr:sp macro="" textlink="">
      <xdr:nvSpPr>
        <xdr:cNvPr id="12" name="Rectangle: Rounded Corner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334000" y="1016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13" name="Rectangle: Single Corner Snipped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1310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1752600</xdr:colOff>
          <xdr:row>40</xdr:row>
          <xdr:rowOff>68580</xdr:rowOff>
        </xdr:from>
        <xdr:to>
          <xdr:col>6</xdr:col>
          <xdr:colOff>1996440</xdr:colOff>
          <xdr:row>42</xdr:row>
          <xdr:rowOff>45720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273050</xdr:colOff>
      <xdr:row>84</xdr:row>
      <xdr:rowOff>146050</xdr:rowOff>
    </xdr:from>
    <xdr:to>
      <xdr:col>0</xdr:col>
      <xdr:colOff>812800</xdr:colOff>
      <xdr:row>85</xdr:row>
      <xdr:rowOff>57150</xdr:rowOff>
    </xdr:to>
    <xdr:sp macro="" textlink="">
      <xdr:nvSpPr>
        <xdr:cNvPr id="2" name="Arrow: Curved Down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73050" y="19862800"/>
          <a:ext cx="539750" cy="1841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587375</xdr:colOff>
      <xdr:row>5</xdr:row>
      <xdr:rowOff>174625</xdr:rowOff>
    </xdr:from>
    <xdr:to>
      <xdr:col>2</xdr:col>
      <xdr:colOff>1552575</xdr:colOff>
      <xdr:row>14</xdr:row>
      <xdr:rowOff>22225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99060</xdr:colOff>
          <xdr:row>18</xdr:row>
          <xdr:rowOff>38100</xdr:rowOff>
        </xdr:from>
        <xdr:to>
          <xdr:col>5</xdr:col>
          <xdr:colOff>259080</xdr:colOff>
          <xdr:row>19</xdr:row>
          <xdr:rowOff>175260</xdr:rowOff>
        </xdr:to>
        <xdr:sp macro="" textlink="">
          <xdr:nvSpPr>
            <xdr:cNvPr id="18435" name="Spinner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3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190500</xdr:colOff>
          <xdr:row>21</xdr:row>
          <xdr:rowOff>144780</xdr:rowOff>
        </xdr:from>
        <xdr:to>
          <xdr:col>7</xdr:col>
          <xdr:colOff>358140</xdr:colOff>
          <xdr:row>22</xdr:row>
          <xdr:rowOff>114300</xdr:rowOff>
        </xdr:to>
        <xdr:sp macro="" textlink="">
          <xdr:nvSpPr>
            <xdr:cNvPr id="18436" name="Spinner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3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251460</xdr:colOff>
          <xdr:row>24</xdr:row>
          <xdr:rowOff>60960</xdr:rowOff>
        </xdr:from>
        <xdr:to>
          <xdr:col>6</xdr:col>
          <xdr:colOff>449580</xdr:colOff>
          <xdr:row>25</xdr:row>
          <xdr:rowOff>198120</xdr:rowOff>
        </xdr:to>
        <xdr:sp macro="" textlink="">
          <xdr:nvSpPr>
            <xdr:cNvPr id="18439" name="Spinner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3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152400</xdr:colOff>
      <xdr:row>32</xdr:row>
      <xdr:rowOff>25400</xdr:rowOff>
    </xdr:from>
    <xdr:to>
      <xdr:col>5</xdr:col>
      <xdr:colOff>400050</xdr:colOff>
      <xdr:row>50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533400</xdr:colOff>
      <xdr:row>1</xdr:row>
      <xdr:rowOff>120650</xdr:rowOff>
    </xdr:from>
    <xdr:to>
      <xdr:col>31</xdr:col>
      <xdr:colOff>596900</xdr:colOff>
      <xdr:row>24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501650</xdr:colOff>
      <xdr:row>21</xdr:row>
      <xdr:rowOff>133350</xdr:rowOff>
    </xdr:from>
    <xdr:to>
      <xdr:col>9</xdr:col>
      <xdr:colOff>44450</xdr:colOff>
      <xdr:row>22</xdr:row>
      <xdr:rowOff>95250</xdr:rowOff>
    </xdr:to>
    <xdr:sp macro="" textlink="">
      <xdr:nvSpPr>
        <xdr:cNvPr id="11" name="Rectangle: Rounded Corners 10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8642350" y="3060700"/>
          <a:ext cx="762000" cy="336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 editAs="oneCell">
    <xdr:from>
      <xdr:col>5</xdr:col>
      <xdr:colOff>495300</xdr:colOff>
      <xdr:row>18</xdr:row>
      <xdr:rowOff>25400</xdr:rowOff>
    </xdr:from>
    <xdr:to>
      <xdr:col>6</xdr:col>
      <xdr:colOff>269779</xdr:colOff>
      <xdr:row>19</xdr:row>
      <xdr:rowOff>174582</xdr:rowOff>
    </xdr:to>
    <xdr:pic>
      <xdr:nvPicPr>
        <xdr:cNvPr id="2" name="Pictur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29450" y="2368550"/>
          <a:ext cx="771429" cy="342857"/>
        </a:xfrm>
        <a:prstGeom prst="rect">
          <a:avLst/>
        </a:prstGeom>
      </xdr:spPr>
    </xdr:pic>
    <xdr:clientData/>
  </xdr:twoCellAnchor>
  <xdr:twoCellAnchor>
    <xdr:from>
      <xdr:col>39</xdr:col>
      <xdr:colOff>171450</xdr:colOff>
      <xdr:row>1</xdr:row>
      <xdr:rowOff>88900</xdr:rowOff>
    </xdr:from>
    <xdr:to>
      <xdr:col>50</xdr:col>
      <xdr:colOff>577850</xdr:colOff>
      <xdr:row>24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1752600</xdr:colOff>
      <xdr:row>53</xdr:row>
      <xdr:rowOff>190500</xdr:rowOff>
    </xdr:from>
    <xdr:to>
      <xdr:col>0</xdr:col>
      <xdr:colOff>2514600</xdr:colOff>
      <xdr:row>55</xdr:row>
      <xdr:rowOff>146050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752600" y="93154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1733550</xdr:colOff>
      <xdr:row>59</xdr:row>
      <xdr:rowOff>190500</xdr:rowOff>
    </xdr:from>
    <xdr:to>
      <xdr:col>0</xdr:col>
      <xdr:colOff>2495550</xdr:colOff>
      <xdr:row>61</xdr:row>
      <xdr:rowOff>146050</xdr:rowOff>
    </xdr:to>
    <xdr:sp macro="" textlink="">
      <xdr:nvSpPr>
        <xdr:cNvPr id="4" name="Rectangle: Rounded Corners 3" descr="Grap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733550" y="105092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1708150</xdr:colOff>
      <xdr:row>67</xdr:row>
      <xdr:rowOff>50800</xdr:rowOff>
    </xdr:from>
    <xdr:to>
      <xdr:col>0</xdr:col>
      <xdr:colOff>2470150</xdr:colOff>
      <xdr:row>69</xdr:row>
      <xdr:rowOff>6350</xdr:rowOff>
    </xdr:to>
    <xdr:sp macro="" textlink="">
      <xdr:nvSpPr>
        <xdr:cNvPr id="5" name="Rectangle: Rounded Corners 4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708150" y="119570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1</xdr:row>
      <xdr:rowOff>0</xdr:rowOff>
    </xdr:from>
    <xdr:to>
      <xdr:col>5</xdr:col>
      <xdr:colOff>996950</xdr:colOff>
      <xdr:row>1</xdr:row>
      <xdr:rowOff>374650</xdr:rowOff>
    </xdr:to>
    <xdr:sp macro="" textlink="">
      <xdr:nvSpPr>
        <xdr:cNvPr id="4" name="Rectangle: Rounded Corners 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4876800" y="190500"/>
          <a:ext cx="80010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38100</xdr:rowOff>
    </xdr:from>
    <xdr:to>
      <xdr:col>3</xdr:col>
      <xdr:colOff>857250</xdr:colOff>
      <xdr:row>3</xdr:row>
      <xdr:rowOff>12700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3943350" y="3810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</xdr:row>
      <xdr:rowOff>63500</xdr:rowOff>
    </xdr:from>
    <xdr:to>
      <xdr:col>12</xdr:col>
      <xdr:colOff>95250</xdr:colOff>
      <xdr:row>17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17</xdr:row>
      <xdr:rowOff>165100</xdr:rowOff>
    </xdr:from>
    <xdr:to>
      <xdr:col>12</xdr:col>
      <xdr:colOff>82550</xdr:colOff>
      <xdr:row>34</xdr:row>
      <xdr:rowOff>41276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25400</xdr:colOff>
      <xdr:row>34</xdr:row>
      <xdr:rowOff>101600</xdr:rowOff>
    </xdr:from>
    <xdr:to>
      <xdr:col>12</xdr:col>
      <xdr:colOff>76200</xdr:colOff>
      <xdr:row>51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501650</xdr:colOff>
      <xdr:row>51</xdr:row>
      <xdr:rowOff>76200</xdr:rowOff>
    </xdr:from>
    <xdr:to>
      <xdr:col>12</xdr:col>
      <xdr:colOff>57150</xdr:colOff>
      <xdr:row>67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31750</xdr:colOff>
      <xdr:row>88</xdr:row>
      <xdr:rowOff>152400</xdr:rowOff>
    </xdr:from>
    <xdr:to>
      <xdr:col>12</xdr:col>
      <xdr:colOff>241300</xdr:colOff>
      <xdr:row>111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44450</xdr:colOff>
      <xdr:row>68</xdr:row>
      <xdr:rowOff>114300</xdr:rowOff>
    </xdr:from>
    <xdr:to>
      <xdr:col>12</xdr:col>
      <xdr:colOff>95250</xdr:colOff>
      <xdr:row>88</xdr:row>
      <xdr:rowOff>82550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44450</xdr:colOff>
      <xdr:row>69</xdr:row>
      <xdr:rowOff>6350</xdr:rowOff>
    </xdr:from>
    <xdr:to>
      <xdr:col>1</xdr:col>
      <xdr:colOff>139700</xdr:colOff>
      <xdr:row>70</xdr:row>
      <xdr:rowOff>31750</xdr:rowOff>
    </xdr:to>
    <xdr:sp macro="" textlink="">
      <xdr:nvSpPr>
        <xdr:cNvPr id="2" name="Arrow: Curved Down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44450" y="16230600"/>
          <a:ext cx="488950" cy="2095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82550</xdr:colOff>
      <xdr:row>89</xdr:row>
      <xdr:rowOff>25400</xdr:rowOff>
    </xdr:from>
    <xdr:to>
      <xdr:col>1</xdr:col>
      <xdr:colOff>57150</xdr:colOff>
      <xdr:row>90</xdr:row>
      <xdr:rowOff>19050</xdr:rowOff>
    </xdr:to>
    <xdr:sp macro="" textlink="">
      <xdr:nvSpPr>
        <xdr:cNvPr id="11" name="Arrow: Curved Down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82550" y="19932650"/>
          <a:ext cx="36830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18</xdr:row>
      <xdr:rowOff>63500</xdr:rowOff>
    </xdr:from>
    <xdr:to>
      <xdr:col>1</xdr:col>
      <xdr:colOff>50800</xdr:colOff>
      <xdr:row>19</xdr:row>
      <xdr:rowOff>139700</xdr:rowOff>
    </xdr:to>
    <xdr:sp macro="" textlink="">
      <xdr:nvSpPr>
        <xdr:cNvPr id="12" name="Arrow: Curved Down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57150" y="6896100"/>
          <a:ext cx="387350" cy="2603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88900</xdr:colOff>
      <xdr:row>34</xdr:row>
      <xdr:rowOff>139700</xdr:rowOff>
    </xdr:from>
    <xdr:to>
      <xdr:col>1</xdr:col>
      <xdr:colOff>101600</xdr:colOff>
      <xdr:row>36</xdr:row>
      <xdr:rowOff>19050</xdr:rowOff>
    </xdr:to>
    <xdr:sp macro="" textlink="">
      <xdr:nvSpPr>
        <xdr:cNvPr id="13" name="Arrow: Curved Down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88900" y="9918700"/>
          <a:ext cx="406400" cy="2476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63500</xdr:colOff>
      <xdr:row>51</xdr:row>
      <xdr:rowOff>146050</xdr:rowOff>
    </xdr:from>
    <xdr:to>
      <xdr:col>1</xdr:col>
      <xdr:colOff>165100</xdr:colOff>
      <xdr:row>53</xdr:row>
      <xdr:rowOff>44450</xdr:rowOff>
    </xdr:to>
    <xdr:sp macro="" textlink="">
      <xdr:nvSpPr>
        <xdr:cNvPr id="14" name="Arrow: Curved Down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/>
      </xdr:nvSpPr>
      <xdr:spPr>
        <a:xfrm>
          <a:off x="63500" y="13055600"/>
          <a:ext cx="495300" cy="2667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139700</xdr:colOff>
      <xdr:row>17</xdr:row>
      <xdr:rowOff>171450</xdr:rowOff>
    </xdr:from>
    <xdr:to>
      <xdr:col>20</xdr:col>
      <xdr:colOff>184150</xdr:colOff>
      <xdr:row>34</xdr:row>
      <xdr:rowOff>63500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165100</xdr:colOff>
      <xdr:row>34</xdr:row>
      <xdr:rowOff>88900</xdr:rowOff>
    </xdr:from>
    <xdr:to>
      <xdr:col>20</xdr:col>
      <xdr:colOff>254000</xdr:colOff>
      <xdr:row>51</xdr:row>
      <xdr:rowOff>44450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152400</xdr:colOff>
      <xdr:row>1</xdr:row>
      <xdr:rowOff>57150</xdr:rowOff>
    </xdr:from>
    <xdr:to>
      <xdr:col>20</xdr:col>
      <xdr:colOff>196850</xdr:colOff>
      <xdr:row>17</xdr:row>
      <xdr:rowOff>120650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0.02174</cdr:x>
      <cdr:y>0.02119</cdr:y>
    </cdr:from>
    <cdr:to>
      <cdr:x>0.08903</cdr:x>
      <cdr:y>0.09322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8539807-9A4A-48C4-B5CA-DAD3D7C72B42}"/>
            </a:ext>
          </a:extLst>
        </cdr:cNvPr>
        <cdr:cNvSpPr/>
      </cdr:nvSpPr>
      <cdr:spPr>
        <a:xfrm xmlns:a="http://schemas.openxmlformats.org/drawingml/2006/main">
          <a:off x="133350" y="63500"/>
          <a:ext cx="412750" cy="215900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0.00834</cdr:x>
      <cdr:y>0.01688</cdr:y>
    </cdr:from>
    <cdr:to>
      <cdr:x>0.07612</cdr:x>
      <cdr:y>0.08544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99DBFF11-5019-4BBD-AA4E-3B3BE95AD661}"/>
            </a:ext>
          </a:extLst>
        </cdr:cNvPr>
        <cdr:cNvSpPr/>
      </cdr:nvSpPr>
      <cdr:spPr>
        <a:xfrm xmlns:a="http://schemas.openxmlformats.org/drawingml/2006/main">
          <a:off x="50800" y="50800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8</xdr:col>
      <xdr:colOff>184150</xdr:colOff>
      <xdr:row>42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9321800" y="8407400"/>
          <a:ext cx="1930400" cy="7493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95250</xdr:colOff>
      <xdr:row>0</xdr:row>
      <xdr:rowOff>76200</xdr:rowOff>
    </xdr:from>
    <xdr:to>
      <xdr:col>4</xdr:col>
      <xdr:colOff>25400</xdr:colOff>
      <xdr:row>1</xdr:row>
      <xdr:rowOff>190500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5302250" y="762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4" name="Rectangle: Single Corner Snipped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73088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241" name="Spinner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10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198120</xdr:colOff>
          <xdr:row>40</xdr:row>
          <xdr:rowOff>30480</xdr:rowOff>
        </xdr:from>
        <xdr:to>
          <xdr:col>7</xdr:col>
          <xdr:colOff>441960</xdr:colOff>
          <xdr:row>42</xdr:row>
          <xdr:rowOff>7620</xdr:rowOff>
        </xdr:to>
        <xdr:sp macro="" textlink="">
          <xdr:nvSpPr>
            <xdr:cNvPr id="10242" name="Spinner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10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243" name="Spinner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10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244" name="Spinner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10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245" name="Spinner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10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246" name="Spinner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10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304800</xdr:colOff>
      <xdr:row>85</xdr:row>
      <xdr:rowOff>44450</xdr:rowOff>
    </xdr:from>
    <xdr:to>
      <xdr:col>0</xdr:col>
      <xdr:colOff>895350</xdr:colOff>
      <xdr:row>85</xdr:row>
      <xdr:rowOff>222250</xdr:rowOff>
    </xdr:to>
    <xdr:sp macro="" textlink="">
      <xdr:nvSpPr>
        <xdr:cNvPr id="5" name="Arrow: Curved Dow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304800" y="20034250"/>
          <a:ext cx="59055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129540</xdr:colOff>
          <xdr:row>12</xdr:row>
          <xdr:rowOff>342900</xdr:rowOff>
        </xdr:from>
        <xdr:to>
          <xdr:col>5</xdr:col>
          <xdr:colOff>304800</xdr:colOff>
          <xdr:row>14</xdr:row>
          <xdr:rowOff>76200</xdr:rowOff>
        </xdr:to>
        <xdr:sp macro="" textlink="">
          <xdr:nvSpPr>
            <xdr:cNvPr id="11265" name="Spinner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12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762000</xdr:colOff>
      <xdr:row>1</xdr:row>
      <xdr:rowOff>165100</xdr:rowOff>
    </xdr:to>
    <xdr:sp macro="" textlink="">
      <xdr:nvSpPr>
        <xdr:cNvPr id="7" name="Rectangle: Rounded Corners 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/>
      </xdr:nvSpPr>
      <xdr:spPr>
        <a:xfrm>
          <a:off x="3848100" y="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Custom 3">
      <a:majorFont>
        <a:latin typeface="Baskerville Old Face"/>
        <a:ea typeface=""/>
        <a:cs typeface=""/>
      </a:majorFont>
      <a:minorFont>
        <a:latin typeface="Baskerville Old Face"/>
        <a:ea typeface=""/>
        <a:cs typeface="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00000000-0008-0000-0800-000002000000}">
  <we:reference id="wa102957665" version="1.3.0.0" store="en-US" storeType="OMEX"/>
  <we:alternateReferences>
    <we:reference id="wa102957665" version="1.3.0.0" store="wa102957665" storeType="OMEX"/>
  </we:alternateReferences>
  <we:properties>
    <we:property name="opt_month" value="&quot;2021-02-01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3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12.xml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Relationship Id="rId9" Type="http://schemas.openxmlformats.org/officeDocument/2006/relationships/ctrlProp" Target="../ctrlProps/ctrlProp1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E6A4-9DBB-4D52-9BD8-DB1FC454F87E}">
  <sheetPr>
    <tabColor theme="9"/>
  </sheetPr>
  <dimension ref="A1:XFD35"/>
  <sheetViews>
    <sheetView workbookViewId="0">
      <selection activeCell="D5" sqref="D5"/>
    </sheetView>
  </sheetViews>
  <sheetFormatPr defaultColWidth="0" defaultRowHeight="14.4" zeroHeight="1" x14ac:dyDescent="0.3"/>
  <cols>
    <col min="1" max="1" width="8.77734375" style="734" customWidth="1"/>
    <col min="2" max="2" width="8.21875" style="717" customWidth="1"/>
    <col min="3" max="3" width="2.21875" style="717" customWidth="1"/>
    <col min="4" max="4" width="26.44140625" style="717" customWidth="1"/>
    <col min="5" max="5" width="65.5546875" style="717" bestFit="1" customWidth="1"/>
    <col min="6" max="6" width="8.109375" style="717" customWidth="1"/>
    <col min="7" max="16382" width="8.77734375" style="3" hidden="1"/>
    <col min="16383" max="16383" width="3.77734375" style="3" customWidth="1"/>
    <col min="16384" max="16384" width="4" style="3" customWidth="1"/>
  </cols>
  <sheetData>
    <row r="1" spans="1:6 16383:16384" s="716" customFormat="1" ht="15" thickBot="1" x14ac:dyDescent="0.35">
      <c r="A1" s="734"/>
      <c r="B1" s="734"/>
      <c r="C1" s="734"/>
      <c r="D1" s="734"/>
      <c r="E1" s="734"/>
      <c r="F1" s="734"/>
    </row>
    <row r="2" spans="1:6 16383:16384" s="709" customFormat="1" ht="19.8" thickBot="1" x14ac:dyDescent="0.4">
      <c r="A2" s="734"/>
      <c r="B2" s="718"/>
      <c r="C2" s="719"/>
      <c r="D2" s="720" t="s">
        <v>450</v>
      </c>
      <c r="E2" s="719"/>
      <c r="F2" s="721"/>
      <c r="XFC2" s="716"/>
      <c r="XFD2" s="716"/>
    </row>
    <row r="3" spans="1:6 16383:16384" s="709" customFormat="1" ht="18.600000000000001" thickTop="1" thickBot="1" x14ac:dyDescent="0.4">
      <c r="A3" s="734"/>
      <c r="B3" s="722"/>
      <c r="C3" s="894"/>
      <c r="D3" s="894" t="s">
        <v>451</v>
      </c>
      <c r="E3" s="894" t="s">
        <v>452</v>
      </c>
      <c r="F3" s="723"/>
      <c r="XFC3" s="716"/>
      <c r="XFD3" s="716"/>
    </row>
    <row r="4" spans="1:6 16383:16384" s="709" customFormat="1" ht="18" thickTop="1" x14ac:dyDescent="0.35">
      <c r="A4" s="734"/>
      <c r="B4" s="722"/>
      <c r="C4" s="724" t="s">
        <v>458</v>
      </c>
      <c r="E4" s="725"/>
      <c r="F4" s="723"/>
      <c r="XFC4" s="716"/>
      <c r="XFD4" s="716"/>
    </row>
    <row r="5" spans="1:6 16383:16384" s="709" customFormat="1" x14ac:dyDescent="0.3">
      <c r="A5" s="734"/>
      <c r="B5" s="722"/>
      <c r="D5" s="726" t="s">
        <v>459</v>
      </c>
      <c r="E5" s="727" t="s">
        <v>460</v>
      </c>
      <c r="F5" s="723"/>
      <c r="XFC5" s="716"/>
      <c r="XFD5" s="716"/>
    </row>
    <row r="6" spans="1:6 16383:16384" s="709" customFormat="1" x14ac:dyDescent="0.3">
      <c r="A6" s="734"/>
      <c r="B6" s="722"/>
      <c r="D6" s="726" t="s">
        <v>93</v>
      </c>
      <c r="E6" s="727" t="s">
        <v>460</v>
      </c>
      <c r="F6" s="723"/>
      <c r="XFC6" s="716"/>
      <c r="XFD6" s="716"/>
    </row>
    <row r="7" spans="1:6 16383:16384" s="709" customFormat="1" ht="15.6" x14ac:dyDescent="0.3">
      <c r="A7" s="734"/>
      <c r="B7" s="722"/>
      <c r="C7" s="728" t="s">
        <v>462</v>
      </c>
      <c r="F7" s="723"/>
      <c r="XFC7" s="716"/>
      <c r="XFD7" s="716"/>
    </row>
    <row r="8" spans="1:6 16383:16384" s="709" customFormat="1" x14ac:dyDescent="0.3">
      <c r="A8" s="734"/>
      <c r="B8" s="722"/>
      <c r="D8" s="730" t="s">
        <v>462</v>
      </c>
      <c r="E8" s="709" t="s">
        <v>453</v>
      </c>
      <c r="F8" s="723"/>
      <c r="XFC8" s="716"/>
      <c r="XFD8" s="716"/>
    </row>
    <row r="9" spans="1:6 16383:16384" s="709" customFormat="1" x14ac:dyDescent="0.3">
      <c r="A9" s="734"/>
      <c r="B9" s="722"/>
      <c r="D9" s="729" t="s">
        <v>455</v>
      </c>
      <c r="F9" s="723"/>
      <c r="XFC9" s="716"/>
      <c r="XFD9" s="716"/>
    </row>
    <row r="10" spans="1:6 16383:16384" s="709" customFormat="1" x14ac:dyDescent="0.3">
      <c r="A10" s="734"/>
      <c r="B10" s="722"/>
      <c r="D10" s="729" t="s">
        <v>464</v>
      </c>
      <c r="E10" s="709" t="s">
        <v>465</v>
      </c>
      <c r="F10" s="723"/>
      <c r="XFC10" s="716"/>
      <c r="XFD10" s="716"/>
    </row>
    <row r="11" spans="1:6 16383:16384" s="709" customFormat="1" ht="15.6" x14ac:dyDescent="0.3">
      <c r="A11" s="734"/>
      <c r="B11" s="722"/>
      <c r="C11" s="895" t="s">
        <v>461</v>
      </c>
      <c r="F11" s="723"/>
      <c r="XFC11" s="716"/>
      <c r="XFD11" s="716"/>
    </row>
    <row r="12" spans="1:6 16383:16384" s="709" customFormat="1" ht="15.6" x14ac:dyDescent="0.3">
      <c r="A12" s="734"/>
      <c r="B12" s="722"/>
      <c r="C12" s="895"/>
      <c r="D12" s="729" t="s">
        <v>518</v>
      </c>
      <c r="E12" s="709" t="s">
        <v>467</v>
      </c>
      <c r="F12" s="723"/>
      <c r="XFC12" s="716"/>
      <c r="XFD12" s="716"/>
    </row>
    <row r="13" spans="1:6 16383:16384" s="709" customFormat="1" x14ac:dyDescent="0.3">
      <c r="A13" s="734"/>
      <c r="B13" s="722"/>
      <c r="D13" s="729" t="s">
        <v>152</v>
      </c>
      <c r="E13" s="709" t="s">
        <v>463</v>
      </c>
      <c r="F13" s="723"/>
      <c r="XFC13" s="716"/>
      <c r="XFD13" s="716"/>
    </row>
    <row r="14" spans="1:6 16383:16384" s="709" customFormat="1" x14ac:dyDescent="0.3">
      <c r="A14" s="734"/>
      <c r="B14" s="722"/>
      <c r="D14" s="729" t="s">
        <v>322</v>
      </c>
      <c r="E14" s="709" t="s">
        <v>470</v>
      </c>
      <c r="F14" s="723"/>
      <c r="XFC14" s="716"/>
      <c r="XFD14" s="716"/>
    </row>
    <row r="15" spans="1:6 16383:16384" s="709" customFormat="1" x14ac:dyDescent="0.3">
      <c r="A15" s="734"/>
      <c r="B15" s="722"/>
      <c r="D15" s="729" t="s">
        <v>468</v>
      </c>
      <c r="E15" s="709" t="s">
        <v>469</v>
      </c>
      <c r="F15" s="723"/>
      <c r="XFC15" s="716"/>
      <c r="XFD15" s="716"/>
    </row>
    <row r="16" spans="1:6 16383:16384" s="709" customFormat="1" ht="15.6" x14ac:dyDescent="0.3">
      <c r="A16" s="734"/>
      <c r="B16" s="722"/>
      <c r="C16" s="896" t="s">
        <v>477</v>
      </c>
      <c r="D16" s="729"/>
      <c r="F16" s="723"/>
      <c r="XFC16" s="716"/>
      <c r="XFD16" s="716"/>
    </row>
    <row r="17" spans="1:6 16383:16384" s="709" customFormat="1" ht="15.6" x14ac:dyDescent="0.3">
      <c r="A17" s="734"/>
      <c r="B17" s="722"/>
      <c r="C17" s="896"/>
      <c r="D17" s="729" t="s">
        <v>478</v>
      </c>
      <c r="E17" s="709" t="s">
        <v>480</v>
      </c>
      <c r="F17" s="723"/>
      <c r="XFC17" s="716"/>
      <c r="XFD17" s="716"/>
    </row>
    <row r="18" spans="1:6 16383:16384" s="709" customFormat="1" ht="15.6" x14ac:dyDescent="0.3">
      <c r="A18" s="734"/>
      <c r="B18" s="722"/>
      <c r="C18" s="896"/>
      <c r="D18" s="729" t="s">
        <v>479</v>
      </c>
      <c r="E18" s="709" t="s">
        <v>481</v>
      </c>
      <c r="F18" s="723"/>
      <c r="XFC18" s="716"/>
      <c r="XFD18" s="716"/>
    </row>
    <row r="19" spans="1:6 16383:16384" s="709" customFormat="1" ht="15.6" x14ac:dyDescent="0.3">
      <c r="A19" s="734"/>
      <c r="B19" s="722"/>
      <c r="C19" s="897" t="s">
        <v>482</v>
      </c>
      <c r="D19" s="729"/>
      <c r="F19" s="723"/>
      <c r="XFC19" s="716"/>
      <c r="XFD19" s="716"/>
    </row>
    <row r="20" spans="1:6 16383:16384" s="709" customFormat="1" ht="15.6" x14ac:dyDescent="0.3">
      <c r="A20" s="734"/>
      <c r="B20" s="722"/>
      <c r="C20" s="897"/>
      <c r="D20" s="729" t="s">
        <v>519</v>
      </c>
      <c r="F20" s="723"/>
      <c r="XFC20" s="716"/>
      <c r="XFD20" s="716"/>
    </row>
    <row r="21" spans="1:6 16383:16384" s="709" customFormat="1" x14ac:dyDescent="0.3">
      <c r="A21" s="734"/>
      <c r="B21" s="722"/>
      <c r="D21" s="726" t="s">
        <v>456</v>
      </c>
      <c r="E21" s="709" t="s">
        <v>457</v>
      </c>
      <c r="F21" s="723"/>
      <c r="XFC21" s="716"/>
      <c r="XFD21" s="716"/>
    </row>
    <row r="22" spans="1:6 16383:16384" s="709" customFormat="1" x14ac:dyDescent="0.3">
      <c r="A22" s="734"/>
      <c r="B22" s="722"/>
      <c r="D22" s="726"/>
      <c r="F22" s="723"/>
      <c r="XFC22" s="716"/>
      <c r="XFD22" s="716"/>
    </row>
    <row r="23" spans="1:6 16383:16384" s="709" customFormat="1" ht="15.6" x14ac:dyDescent="0.3">
      <c r="A23" s="734"/>
      <c r="B23" s="722"/>
      <c r="C23" s="898" t="s">
        <v>471</v>
      </c>
      <c r="D23" s="729"/>
      <c r="F23" s="723"/>
      <c r="XFC23" s="716"/>
      <c r="XFD23" s="716"/>
    </row>
    <row r="24" spans="1:6 16383:16384" s="709" customFormat="1" x14ac:dyDescent="0.3">
      <c r="A24" s="734"/>
      <c r="B24" s="722"/>
      <c r="D24" s="729" t="s">
        <v>472</v>
      </c>
      <c r="E24" s="709" t="s">
        <v>473</v>
      </c>
      <c r="F24" s="723"/>
      <c r="XFC24" s="716"/>
      <c r="XFD24" s="716"/>
    </row>
    <row r="25" spans="1:6 16383:16384" s="709" customFormat="1" x14ac:dyDescent="0.3">
      <c r="A25" s="734"/>
      <c r="B25" s="722"/>
      <c r="D25" s="729" t="s">
        <v>474</v>
      </c>
      <c r="E25" s="709" t="s">
        <v>475</v>
      </c>
      <c r="F25" s="723"/>
      <c r="XFC25" s="716"/>
      <c r="XFD25" s="716"/>
    </row>
    <row r="26" spans="1:6 16383:16384" s="709" customFormat="1" ht="15.6" x14ac:dyDescent="0.3">
      <c r="A26" s="734"/>
      <c r="B26" s="722"/>
      <c r="C26" s="897" t="s">
        <v>476</v>
      </c>
      <c r="F26" s="723"/>
      <c r="XFC26" s="716"/>
      <c r="XFD26" s="716"/>
    </row>
    <row r="27" spans="1:6 16383:16384" s="709" customFormat="1" ht="15.6" x14ac:dyDescent="0.3">
      <c r="A27" s="734"/>
      <c r="B27" s="722"/>
      <c r="C27" s="897"/>
      <c r="D27" s="729" t="s">
        <v>321</v>
      </c>
      <c r="F27" s="723"/>
      <c r="XFC27" s="716"/>
      <c r="XFD27" s="716"/>
    </row>
    <row r="28" spans="1:6 16383:16384" s="709" customFormat="1" ht="15.6" x14ac:dyDescent="0.3">
      <c r="A28" s="734"/>
      <c r="B28" s="722"/>
      <c r="C28" s="897"/>
      <c r="D28" s="729" t="s">
        <v>466</v>
      </c>
      <c r="F28" s="723"/>
      <c r="XFC28" s="716"/>
      <c r="XFD28" s="716"/>
    </row>
    <row r="29" spans="1:6 16383:16384" s="709" customFormat="1" ht="15.6" x14ac:dyDescent="0.3">
      <c r="A29" s="734"/>
      <c r="B29" s="722"/>
      <c r="C29" s="897"/>
      <c r="D29" s="729" t="s">
        <v>152</v>
      </c>
      <c r="F29" s="723"/>
      <c r="XFC29" s="716"/>
      <c r="XFD29" s="716"/>
    </row>
    <row r="30" spans="1:6 16383:16384" s="709" customFormat="1" ht="15.6" x14ac:dyDescent="0.3">
      <c r="A30" s="734"/>
      <c r="B30" s="722"/>
      <c r="C30" s="897"/>
      <c r="D30" s="729" t="s">
        <v>322</v>
      </c>
      <c r="F30" s="723"/>
      <c r="XFC30" s="716"/>
      <c r="XFD30" s="716"/>
    </row>
    <row r="31" spans="1:6 16383:16384" s="709" customFormat="1" ht="15.6" x14ac:dyDescent="0.3">
      <c r="A31" s="734"/>
      <c r="B31" s="722"/>
      <c r="C31" s="897"/>
      <c r="D31" s="729" t="s">
        <v>468</v>
      </c>
      <c r="F31" s="723"/>
      <c r="XFC31" s="716"/>
      <c r="XFD31" s="716"/>
    </row>
    <row r="32" spans="1:6 16383:16384" s="709" customFormat="1" ht="15" thickBot="1" x14ac:dyDescent="0.35">
      <c r="A32" s="734"/>
      <c r="B32" s="731"/>
      <c r="C32" s="732"/>
      <c r="D32" s="732"/>
      <c r="E32" s="732"/>
      <c r="F32" s="733"/>
      <c r="XFC32" s="716"/>
      <c r="XFD32" s="716"/>
    </row>
    <row r="33" spans="2:6 16383:16384" x14ac:dyDescent="0.3">
      <c r="B33" s="716"/>
      <c r="C33" s="716"/>
      <c r="D33" s="716"/>
      <c r="E33" s="716"/>
      <c r="F33" s="716"/>
      <c r="XFC33" s="716"/>
      <c r="XFD33" s="716"/>
    </row>
    <row r="34" spans="2:6 16383:16384" x14ac:dyDescent="0.3">
      <c r="B34" s="716"/>
      <c r="C34" s="716"/>
      <c r="D34" s="716"/>
      <c r="E34" s="716"/>
      <c r="F34" s="716"/>
      <c r="XFC34" s="716"/>
      <c r="XFD34" s="716"/>
    </row>
    <row r="35" spans="2:6 16383:16384" x14ac:dyDescent="0.3">
      <c r="B35" s="716"/>
      <c r="C35" s="716"/>
      <c r="D35" s="716"/>
      <c r="E35" s="716"/>
      <c r="F35" s="716"/>
      <c r="XFC35" s="716"/>
      <c r="XFD35" s="716"/>
    </row>
  </sheetData>
  <hyperlinks>
    <hyperlink ref="D8" location="Outputs!A1" display="Modify outputs" xr:uid="{F64697F5-038B-4044-BE85-99C09AB91C12}"/>
    <hyperlink ref="D21" location="'Deal structure'!A1" display="Deal Stracture" xr:uid="{5F5A7703-2848-4C2E-8239-611E3B735148}"/>
    <hyperlink ref="D5" location="'Calculating offering price'!A1" display="Number inputs (Calculating offering prce)" xr:uid="{B81DB143-FDCC-4B4C-83E2-4BB7529E40F8}"/>
    <hyperlink ref="D6" location="'ROI Number insert'!A1" display="Number inputs (ROI Calculation)" xr:uid="{1933D022-2D7C-476D-BFE0-30BB434FCF09}"/>
    <hyperlink ref="D9" location="'Total Result'!A1" display="Total Result" xr:uid="{40D00808-204B-4824-96F2-FAF46FB96424}"/>
    <hyperlink ref="D13" location="'Total CF'!A1" display="Total CF" xr:uid="{ECF84EEF-8C28-416E-9723-1DB2E05073BD}"/>
    <hyperlink ref="D10" location="'Financial Statement'!A1" display="First year financial statement" xr:uid="{4517DCFE-B5B9-4A1D-B38F-E71004B2FA9C}"/>
    <hyperlink ref="D12" location="'ROI details'!A1" display="4 ways to win" xr:uid="{B3C701A1-96BE-403F-9618-95DE9F271CE6}"/>
    <hyperlink ref="D14" location="'PR Result'!A1" display="Principal Recapture" xr:uid="{801959FA-21FB-4B22-95DD-BA7B104B41F6}"/>
    <hyperlink ref="D15" location="'Principal Recapture'!A1" display="Mortgage payment schedule" xr:uid="{1B1DCC8C-FFF7-4F86-9631-A5CF2711F284}"/>
    <hyperlink ref="D24" location="'Calculating offering price ARV'!A1" display="Reno cost, rental revenue" xr:uid="{241C22BA-AE3B-4E7F-A47C-930DFB973EB1}"/>
    <hyperlink ref="D25" location="'ROI Number insert ARV'!A1" display="New mortgage after refinance" xr:uid="{EE7E726F-9DAF-4A95-BCA8-950A1E757694}"/>
    <hyperlink ref="D28" location="'ROI Detail ARV'!A1" display="4 ways to win" xr:uid="{C9AAC31F-3479-4EDA-83D8-B3ECB5FC6B12}"/>
    <hyperlink ref="D29" location="'Total CF'!A1" display="Total CF" xr:uid="{0A8B9140-F447-46E2-B44C-50D1A3DC99C3}"/>
    <hyperlink ref="D30" location="'PR ARV result'!A1" display="Principal Recapture" xr:uid="{C90BD960-24C5-47F1-B412-5F7199ED77EE}"/>
    <hyperlink ref="D31" location="'Principle Recapture ARV'!A1" display="Mortgage payment schedule" xr:uid="{49512BE8-4F94-4293-8278-B7B214EC6701}"/>
    <hyperlink ref="D17" location="'Mortgage Caculator'!A1" display="Mortgage payment calculator" xr:uid="{1EB982F1-4F78-4B9E-9D3D-5132A7F5C276}"/>
    <hyperlink ref="D18" location="'Debt payment Calculator'!A1" display="Debt payment calculator" xr:uid="{CEB17A5B-6F24-4FB5-883E-F7580236564D}"/>
    <hyperlink ref="D27" location="'Financial Statement ARV'!A1" display="Financial Statement" xr:uid="{F11A6EAC-EAD3-40E4-A38D-AE02990C345E}"/>
    <hyperlink ref="D20" location="'Capital Budgeting'!A1" display="Capital Budgeting" xr:uid="{01311676-415D-435F-9A3E-61E099C0F8B3}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4F36-9FB2-4C28-8A80-889C3C4C20B7}">
  <sheetPr codeName="Sheet9">
    <tabColor theme="2" tint="-0.249977111117893"/>
  </sheetPr>
  <dimension ref="A1:J118"/>
  <sheetViews>
    <sheetView topLeftCell="A10" workbookViewId="0">
      <selection activeCell="B30" sqref="B30"/>
    </sheetView>
  </sheetViews>
  <sheetFormatPr defaultColWidth="8.77734375" defaultRowHeight="14.4" x14ac:dyDescent="0.3"/>
  <cols>
    <col min="1" max="1" width="15.5546875" style="3" customWidth="1"/>
    <col min="2" max="2" width="49.44140625" style="362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9.77734375" style="3" hidden="1" customWidth="1"/>
    <col min="7" max="7" width="31" style="3" customWidth="1"/>
    <col min="8" max="8" width="15.33203125" style="3" customWidth="1"/>
    <col min="9" max="9" width="14.21875" style="3" customWidth="1"/>
    <col min="10" max="16384" width="8.77734375" style="3"/>
  </cols>
  <sheetData>
    <row r="1" spans="1:8" ht="19.5" customHeight="1" thickBot="1" x14ac:dyDescent="0.35">
      <c r="A1" s="5" t="s">
        <v>454</v>
      </c>
      <c r="B1" s="313" t="s">
        <v>0</v>
      </c>
      <c r="D1" s="4"/>
      <c r="H1" s="4"/>
    </row>
    <row r="2" spans="1:8" ht="24" thickBot="1" x14ac:dyDescent="0.35">
      <c r="B2" s="925" t="s">
        <v>1</v>
      </c>
      <c r="C2" s="926"/>
      <c r="F2" s="5"/>
    </row>
    <row r="3" spans="1:8" ht="31.05" customHeight="1" thickTop="1" thickBot="1" x14ac:dyDescent="0.35">
      <c r="B3" s="678" t="s">
        <v>2</v>
      </c>
      <c r="C3" s="649" t="s">
        <v>500</v>
      </c>
      <c r="F3" s="6" t="s">
        <v>4</v>
      </c>
    </row>
    <row r="4" spans="1:8" ht="16.2" thickTop="1" x14ac:dyDescent="0.3">
      <c r="B4" s="679" t="s">
        <v>5</v>
      </c>
      <c r="C4" s="806">
        <v>1588000</v>
      </c>
      <c r="F4" s="7" t="s">
        <v>6</v>
      </c>
      <c r="H4" s="4"/>
    </row>
    <row r="5" spans="1:8" ht="15.6" x14ac:dyDescent="0.3">
      <c r="B5" s="807" t="s">
        <v>7</v>
      </c>
      <c r="C5" s="809">
        <f>C59</f>
        <v>516823.52941176464</v>
      </c>
      <c r="D5" s="810" t="s">
        <v>511</v>
      </c>
      <c r="F5" s="3" t="s">
        <v>8</v>
      </c>
      <c r="H5" s="4"/>
    </row>
    <row r="6" spans="1:8" ht="13.5" customHeight="1" thickBot="1" x14ac:dyDescent="0.35">
      <c r="B6" s="680" t="s">
        <v>9</v>
      </c>
      <c r="C6" s="808">
        <v>1861</v>
      </c>
      <c r="F6" s="3" t="s">
        <v>10</v>
      </c>
      <c r="H6" s="4"/>
    </row>
    <row r="7" spans="1:8" ht="16.2" thickTop="1" x14ac:dyDescent="0.3">
      <c r="B7" s="680" t="s">
        <v>11</v>
      </c>
      <c r="C7" s="683">
        <f>C5*0.8</f>
        <v>413458.82352941175</v>
      </c>
      <c r="F7" s="3" t="s">
        <v>12</v>
      </c>
      <c r="H7" s="4"/>
    </row>
    <row r="8" spans="1:8" ht="15" customHeight="1" thickBot="1" x14ac:dyDescent="0.35">
      <c r="B8" s="680" t="s">
        <v>13</v>
      </c>
      <c r="C8" s="683">
        <f>C5*6%</f>
        <v>31009.411764705877</v>
      </c>
      <c r="D8" s="2"/>
      <c r="F8" s="3" t="s">
        <v>14</v>
      </c>
      <c r="H8" s="4"/>
    </row>
    <row r="9" spans="1:8" ht="16.8" thickTop="1" thickBot="1" x14ac:dyDescent="0.35">
      <c r="B9" s="681" t="s">
        <v>15</v>
      </c>
      <c r="C9" s="650">
        <v>0</v>
      </c>
      <c r="D9" s="4"/>
      <c r="F9" s="3" t="s">
        <v>16</v>
      </c>
      <c r="H9" s="4"/>
    </row>
    <row r="10" spans="1:8" ht="16.8" thickTop="1" thickBot="1" x14ac:dyDescent="0.35">
      <c r="B10" s="680" t="s">
        <v>17</v>
      </c>
      <c r="C10" s="683">
        <f>C37</f>
        <v>9670.5743952241846</v>
      </c>
      <c r="D10" s="4"/>
      <c r="F10" s="3" t="s">
        <v>3</v>
      </c>
      <c r="H10" s="4"/>
    </row>
    <row r="11" spans="1:8" ht="16.8" thickTop="1" thickBot="1" x14ac:dyDescent="0.35">
      <c r="B11" s="680" t="s">
        <v>18</v>
      </c>
      <c r="C11" s="651">
        <v>0</v>
      </c>
      <c r="D11" s="4"/>
      <c r="F11" s="3" t="s">
        <v>323</v>
      </c>
      <c r="H11" s="4"/>
    </row>
    <row r="12" spans="1:8" ht="16.8" thickTop="1" thickBot="1" x14ac:dyDescent="0.35">
      <c r="B12" s="680" t="s">
        <v>19</v>
      </c>
      <c r="C12" s="683">
        <f>C10*C11</f>
        <v>0</v>
      </c>
      <c r="D12" s="4"/>
      <c r="F12" s="3" t="s">
        <v>500</v>
      </c>
      <c r="H12" s="10"/>
    </row>
    <row r="13" spans="1:8" ht="16.8" thickTop="1" thickBot="1" x14ac:dyDescent="0.35">
      <c r="B13" s="680" t="s">
        <v>20</v>
      </c>
      <c r="C13" s="652">
        <v>0.2</v>
      </c>
      <c r="D13" s="4"/>
      <c r="H13" s="4"/>
    </row>
    <row r="14" spans="1:8" ht="16.8" thickTop="1" thickBot="1" x14ac:dyDescent="0.35">
      <c r="A14" s="196"/>
      <c r="B14" s="682" t="s">
        <v>214</v>
      </c>
      <c r="C14" s="684">
        <f>C7-C9-C12-C8</f>
        <v>382449.41176470584</v>
      </c>
      <c r="D14" s="4"/>
      <c r="H14" s="4"/>
    </row>
    <row r="15" spans="1:8" ht="16.2" thickBot="1" x14ac:dyDescent="0.35">
      <c r="B15" s="927" t="s">
        <v>21</v>
      </c>
      <c r="C15" s="928"/>
      <c r="D15" s="4"/>
      <c r="H15" s="4"/>
    </row>
    <row r="16" spans="1:8" ht="15.6" x14ac:dyDescent="0.3">
      <c r="B16" s="685" t="s">
        <v>22</v>
      </c>
      <c r="C16" s="686">
        <f>C14*C13</f>
        <v>76489.882352941175</v>
      </c>
      <c r="D16" s="4"/>
      <c r="H16" s="4"/>
    </row>
    <row r="17" spans="2:9" ht="15.6" x14ac:dyDescent="0.3">
      <c r="B17" s="687" t="s">
        <v>234</v>
      </c>
      <c r="C17" s="688">
        <f>C14*4.5%</f>
        <v>17210.223529411764</v>
      </c>
      <c r="D17" s="8" t="s">
        <v>23</v>
      </c>
      <c r="H17" s="4"/>
    </row>
    <row r="18" spans="2:9" ht="16.2" thickBot="1" x14ac:dyDescent="0.35">
      <c r="B18" s="687" t="s">
        <v>24</v>
      </c>
      <c r="C18" s="688">
        <f>C9+C16+C17</f>
        <v>93700.105882352946</v>
      </c>
      <c r="D18" s="4"/>
      <c r="H18" s="4"/>
    </row>
    <row r="19" spans="2:9" ht="16.05" customHeight="1" thickTop="1" thickBot="1" x14ac:dyDescent="0.35">
      <c r="B19" s="689" t="s">
        <v>232</v>
      </c>
      <c r="C19" s="650">
        <v>208051</v>
      </c>
      <c r="D19" s="933" t="s">
        <v>235</v>
      </c>
      <c r="E19" s="934"/>
      <c r="F19" s="934"/>
      <c r="G19" s="934"/>
      <c r="H19" s="934"/>
    </row>
    <row r="20" spans="2:9" ht="21.75" customHeight="1" thickBot="1" x14ac:dyDescent="0.35">
      <c r="B20" s="929" t="s">
        <v>7</v>
      </c>
      <c r="C20" s="930"/>
      <c r="D20" s="8"/>
      <c r="E20" s="8"/>
      <c r="F20" s="8"/>
      <c r="G20" s="4"/>
      <c r="H20" s="4"/>
    </row>
    <row r="21" spans="2:9" ht="27.45" customHeight="1" x14ac:dyDescent="0.3">
      <c r="B21" s="690" t="s">
        <v>242</v>
      </c>
      <c r="C21" s="691" t="e">
        <f>C46*C6</f>
        <v>#DIV/0!</v>
      </c>
      <c r="D21" s="935" t="s">
        <v>25</v>
      </c>
      <c r="E21" s="936"/>
      <c r="F21" s="936"/>
      <c r="G21" s="936"/>
      <c r="H21" s="936"/>
      <c r="I21" s="244"/>
    </row>
    <row r="22" spans="2:9" ht="18.75" customHeight="1" x14ac:dyDescent="0.3">
      <c r="B22" s="692" t="str">
        <f>B66</f>
        <v>Conservative CF Multiplier Evaluation</v>
      </c>
      <c r="C22" s="693">
        <f>C78</f>
        <v>549125</v>
      </c>
      <c r="F22" s="4"/>
      <c r="G22" s="4"/>
      <c r="H22" s="4"/>
    </row>
    <row r="23" spans="2:9" ht="16.2" thickBot="1" x14ac:dyDescent="0.35">
      <c r="B23" s="692" t="str">
        <f>B47</f>
        <v>CF Multiplier Evaluation</v>
      </c>
      <c r="C23" s="693">
        <f>C59</f>
        <v>516823.52941176464</v>
      </c>
      <c r="H23" s="4"/>
    </row>
    <row r="24" spans="2:9" ht="16.2" thickBot="1" x14ac:dyDescent="0.35">
      <c r="B24" s="931" t="s">
        <v>26</v>
      </c>
      <c r="C24" s="932"/>
      <c r="H24" s="4"/>
    </row>
    <row r="25" spans="2:9" ht="15.6" x14ac:dyDescent="0.3">
      <c r="B25" s="324" t="s">
        <v>27</v>
      </c>
      <c r="C25" s="243">
        <f>C14*(100%-C13)</f>
        <v>305959.5294117647</v>
      </c>
      <c r="D25" s="8" t="s">
        <v>28</v>
      </c>
      <c r="H25" s="4"/>
    </row>
    <row r="26" spans="2:9" ht="15.6" x14ac:dyDescent="0.3">
      <c r="B26" s="710" t="s">
        <v>29</v>
      </c>
      <c r="C26" s="311">
        <f>'Mortgage Caculator'!C11</f>
        <v>8179.9002911065363</v>
      </c>
      <c r="D26" s="2" t="s">
        <v>30</v>
      </c>
    </row>
    <row r="27" spans="2:9" ht="16.2" thickBot="1" x14ac:dyDescent="0.35">
      <c r="B27" s="326" t="s">
        <v>31</v>
      </c>
      <c r="C27" s="18">
        <f>C26*12</f>
        <v>98158.803493278436</v>
      </c>
      <c r="H27" s="4"/>
    </row>
    <row r="28" spans="2:9" ht="16.8" thickTop="1" thickBot="1" x14ac:dyDescent="0.35">
      <c r="B28" s="802" t="s">
        <v>32</v>
      </c>
      <c r="C28" s="805">
        <f>'ROI Number insert'!C5*'Calculating offering price'!I29</f>
        <v>3932.9457199999997</v>
      </c>
      <c r="D28" s="804" t="s">
        <v>211</v>
      </c>
      <c r="G28" s="798" t="str">
        <f>HYPERLINK("https://wowa.ca/taxes/" &amp; I28 &amp; "-property-tax", "Property tax rate web")</f>
        <v>Property tax rate web</v>
      </c>
      <c r="H28" s="799" t="s">
        <v>508</v>
      </c>
      <c r="I28" s="696" t="s">
        <v>509</v>
      </c>
    </row>
    <row r="29" spans="2:9" ht="16.8" thickTop="1" thickBot="1" x14ac:dyDescent="0.35">
      <c r="B29" s="328" t="s">
        <v>33</v>
      </c>
      <c r="C29" s="803">
        <f>C28/12</f>
        <v>327.74547666666666</v>
      </c>
      <c r="E29" s="15"/>
      <c r="F29" s="15"/>
      <c r="H29" s="800" t="s">
        <v>507</v>
      </c>
      <c r="I29" s="801">
        <v>2.8032399999999998E-3</v>
      </c>
    </row>
    <row r="30" spans="2:9" ht="27" customHeight="1" thickBot="1" x14ac:dyDescent="0.35">
      <c r="B30" s="329" t="s">
        <v>34</v>
      </c>
      <c r="C30" s="245">
        <f>'Debt payment Calculator'!C6</f>
        <v>0</v>
      </c>
      <c r="D30" s="937" t="s">
        <v>35</v>
      </c>
      <c r="E30" s="936"/>
      <c r="F30" s="936"/>
      <c r="G30" s="936"/>
      <c r="H30" s="936"/>
    </row>
    <row r="31" spans="2:9" ht="16.5" customHeight="1" thickTop="1" thickBot="1" x14ac:dyDescent="0.35">
      <c r="B31" s="330" t="s">
        <v>246</v>
      </c>
      <c r="C31" s="650">
        <v>0</v>
      </c>
      <c r="D31" s="282" t="s">
        <v>30</v>
      </c>
      <c r="E31" s="271"/>
      <c r="F31" s="271"/>
      <c r="G31" s="271"/>
      <c r="H31" s="271"/>
    </row>
    <row r="32" spans="2:9" ht="16.8" thickTop="1" thickBot="1" x14ac:dyDescent="0.35">
      <c r="B32" s="331" t="s">
        <v>36</v>
      </c>
      <c r="C32" s="653">
        <f>125*12</f>
        <v>1500</v>
      </c>
      <c r="F32" s="4"/>
      <c r="G32" s="4"/>
      <c r="H32" s="4"/>
    </row>
    <row r="33" spans="2:9" ht="13.5" customHeight="1" thickTop="1" thickBot="1" x14ac:dyDescent="0.35">
      <c r="B33" s="331" t="s">
        <v>37</v>
      </c>
      <c r="C33" s="16">
        <f>C7*0.38%</f>
        <v>1571.1435294117646</v>
      </c>
      <c r="D33" s="2" t="s">
        <v>38</v>
      </c>
      <c r="F33" s="4"/>
      <c r="G33" s="4"/>
      <c r="H33" s="4"/>
    </row>
    <row r="34" spans="2:9" ht="16.8" thickTop="1" thickBot="1" x14ac:dyDescent="0.35">
      <c r="B34" s="332" t="s">
        <v>39</v>
      </c>
      <c r="C34" s="653">
        <v>907</v>
      </c>
      <c r="F34" s="4"/>
      <c r="G34" s="4"/>
      <c r="H34" s="4"/>
    </row>
    <row r="35" spans="2:9" ht="16.2" thickTop="1" x14ac:dyDescent="0.3">
      <c r="B35" s="333" t="s">
        <v>40</v>
      </c>
      <c r="C35" s="17">
        <f>C34*12</f>
        <v>10884</v>
      </c>
      <c r="F35" s="4"/>
      <c r="G35" s="4"/>
      <c r="H35" s="4"/>
    </row>
    <row r="36" spans="2:9" ht="15.6" x14ac:dyDescent="0.3">
      <c r="B36" s="334" t="s">
        <v>41</v>
      </c>
      <c r="C36" s="18">
        <f>C27+C28+(C30*12)+C32+C33+C35</f>
        <v>116046.89274269021</v>
      </c>
      <c r="F36" s="4"/>
      <c r="G36" s="4"/>
      <c r="H36" s="4"/>
    </row>
    <row r="37" spans="2:9" ht="16.2" thickBot="1" x14ac:dyDescent="0.35">
      <c r="B37" s="335" t="s">
        <v>42</v>
      </c>
      <c r="C37" s="19">
        <f>C36/12</f>
        <v>9670.5743952241846</v>
      </c>
      <c r="F37" s="4"/>
      <c r="G37" s="4"/>
      <c r="H37" s="4"/>
    </row>
    <row r="38" spans="2:9" ht="18.600000000000001" thickBot="1" x14ac:dyDescent="0.4">
      <c r="B38" s="336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7"/>
      <c r="C39" s="246" t="s">
        <v>45</v>
      </c>
      <c r="D39" s="246" t="s">
        <v>46</v>
      </c>
      <c r="E39" s="247" t="s">
        <v>47</v>
      </c>
      <c r="F39" s="4"/>
      <c r="G39" s="4"/>
      <c r="H39" s="4"/>
    </row>
    <row r="40" spans="2:9" ht="16.2" thickBot="1" x14ac:dyDescent="0.35">
      <c r="B40" s="338" t="s">
        <v>48</v>
      </c>
      <c r="C40" s="20" t="str">
        <f>C3</f>
        <v>Commercial</v>
      </c>
      <c r="D40" s="20" t="str">
        <f>C3</f>
        <v>Commercial</v>
      </c>
      <c r="E40" s="248" t="str">
        <f>C3</f>
        <v>Commercial</v>
      </c>
      <c r="F40" s="4"/>
      <c r="G40" s="21" t="s">
        <v>49</v>
      </c>
      <c r="H40" s="22"/>
    </row>
    <row r="41" spans="2:9" ht="16.8" thickTop="1" thickBot="1" x14ac:dyDescent="0.35">
      <c r="B41" s="338" t="s">
        <v>51</v>
      </c>
      <c r="C41" s="654">
        <v>4</v>
      </c>
      <c r="D41" s="20">
        <f>C41</f>
        <v>4</v>
      </c>
      <c r="E41" s="248">
        <f>C41</f>
        <v>4</v>
      </c>
      <c r="F41" s="4"/>
      <c r="G41" s="4"/>
      <c r="H41" s="4"/>
    </row>
    <row r="42" spans="2:9" ht="16.8" thickTop="1" thickBot="1" x14ac:dyDescent="0.35">
      <c r="B42" s="338" t="s">
        <v>52</v>
      </c>
      <c r="C42" s="654">
        <v>3</v>
      </c>
      <c r="D42" s="20">
        <f>C42</f>
        <v>3</v>
      </c>
      <c r="E42" s="248">
        <f>C42</f>
        <v>3</v>
      </c>
      <c r="F42" s="4"/>
      <c r="G42" s="4"/>
      <c r="H42" s="4"/>
    </row>
    <row r="43" spans="2:9" ht="16.8" thickTop="1" thickBot="1" x14ac:dyDescent="0.35">
      <c r="B43" s="338" t="s">
        <v>9</v>
      </c>
      <c r="C43" s="654">
        <v>0</v>
      </c>
      <c r="D43" s="654">
        <v>0</v>
      </c>
      <c r="E43" s="654">
        <v>0</v>
      </c>
      <c r="F43" s="4"/>
      <c r="G43" s="4"/>
      <c r="H43" s="4"/>
    </row>
    <row r="44" spans="2:9" ht="28.95" customHeight="1" thickTop="1" thickBot="1" x14ac:dyDescent="0.35">
      <c r="B44" s="339" t="s">
        <v>53</v>
      </c>
      <c r="C44" s="650">
        <v>0</v>
      </c>
      <c r="D44" s="650">
        <v>0</v>
      </c>
      <c r="E44" s="650">
        <v>0</v>
      </c>
      <c r="F44" s="4"/>
      <c r="G44" s="934" t="s">
        <v>212</v>
      </c>
      <c r="H44" s="934"/>
      <c r="I44" s="934"/>
    </row>
    <row r="45" spans="2:9" ht="16.8" thickTop="1" thickBot="1" x14ac:dyDescent="0.35">
      <c r="B45" s="340" t="s">
        <v>54</v>
      </c>
      <c r="C45" s="252" t="e">
        <f>C44/C43</f>
        <v>#DIV/0!</v>
      </c>
      <c r="D45" s="249" t="e">
        <f>D44/D43</f>
        <v>#DIV/0!</v>
      </c>
      <c r="E45" s="250" t="e">
        <f>E44/E43</f>
        <v>#DIV/0!</v>
      </c>
      <c r="F45" s="4"/>
      <c r="G45" s="4"/>
      <c r="H45" s="4"/>
    </row>
    <row r="46" spans="2:9" ht="16.2" thickBot="1" x14ac:dyDescent="0.35">
      <c r="B46" s="341" t="s">
        <v>55</v>
      </c>
      <c r="C46" s="251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2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55"/>
      <c r="C48" s="656" t="s">
        <v>56</v>
      </c>
      <c r="D48" s="672" t="s">
        <v>57</v>
      </c>
      <c r="E48" s="673" t="s">
        <v>58</v>
      </c>
      <c r="G48" s="4"/>
      <c r="H48" s="4"/>
    </row>
    <row r="49" spans="2:10" ht="16.8" thickTop="1" thickBot="1" x14ac:dyDescent="0.35">
      <c r="B49" s="657" t="s">
        <v>59</v>
      </c>
      <c r="C49" s="653">
        <v>5300</v>
      </c>
      <c r="D49" s="674">
        <v>0</v>
      </c>
      <c r="E49" s="674">
        <v>0</v>
      </c>
      <c r="F49" s="8" t="s">
        <v>60</v>
      </c>
      <c r="G49" s="4"/>
      <c r="H49" s="4"/>
    </row>
    <row r="50" spans="2:10" ht="15" customHeight="1" thickTop="1" thickBot="1" x14ac:dyDescent="0.35">
      <c r="B50" s="658" t="s">
        <v>61</v>
      </c>
      <c r="C50" s="654">
        <v>1</v>
      </c>
      <c r="D50" s="23" t="s">
        <v>502</v>
      </c>
      <c r="E50" s="24"/>
      <c r="F50" s="24"/>
      <c r="G50" s="24"/>
      <c r="H50" s="24"/>
      <c r="I50" s="25"/>
      <c r="J50" s="25"/>
    </row>
    <row r="51" spans="2:10" ht="16.2" thickTop="1" x14ac:dyDescent="0.3">
      <c r="B51" s="658" t="s">
        <v>62</v>
      </c>
      <c r="C51" s="659">
        <f>C49*C50</f>
        <v>5300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58" t="s">
        <v>63</v>
      </c>
      <c r="C52" s="659">
        <f>C34</f>
        <v>907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58" t="s">
        <v>64</v>
      </c>
      <c r="C53" s="653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58" t="s">
        <v>65</v>
      </c>
      <c r="C54" s="653">
        <v>0</v>
      </c>
      <c r="D54" s="26"/>
      <c r="E54" s="694"/>
      <c r="F54" s="24"/>
      <c r="G54" s="24"/>
      <c r="H54" s="24"/>
      <c r="I54" s="25"/>
      <c r="J54" s="25"/>
    </row>
    <row r="55" spans="2:10" ht="16.8" thickTop="1" thickBot="1" x14ac:dyDescent="0.35">
      <c r="B55" s="658" t="s">
        <v>66</v>
      </c>
      <c r="C55" s="653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58" t="s">
        <v>67</v>
      </c>
      <c r="C56" s="653">
        <v>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58" t="s">
        <v>68</v>
      </c>
      <c r="C57" s="659">
        <f>SUM(D49,E49,C51,C53:C56)</f>
        <v>5300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60" t="s">
        <v>69</v>
      </c>
      <c r="C58" s="661">
        <f>C57-C52</f>
        <v>4393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62" t="s">
        <v>7</v>
      </c>
      <c r="C59" s="663">
        <f>C58/0.85%</f>
        <v>516823.52941176464</v>
      </c>
      <c r="D59" s="24" t="s">
        <v>501</v>
      </c>
      <c r="E59" s="24"/>
      <c r="F59" s="24"/>
      <c r="G59" s="24"/>
      <c r="H59" s="24"/>
      <c r="I59" s="25"/>
      <c r="J59" s="25"/>
    </row>
    <row r="60" spans="2:10" ht="15.6" x14ac:dyDescent="0.3">
      <c r="B60" s="662" t="s">
        <v>5</v>
      </c>
      <c r="C60" s="663">
        <f>C4</f>
        <v>1588000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64" t="s">
        <v>72</v>
      </c>
      <c r="C61" s="665">
        <f>C14*0.6%</f>
        <v>2294.6964705882351</v>
      </c>
      <c r="D61" s="924" t="s">
        <v>213</v>
      </c>
      <c r="E61" s="924"/>
      <c r="F61" s="924"/>
      <c r="G61" s="924"/>
      <c r="H61" s="924"/>
      <c r="I61" s="23"/>
      <c r="J61" s="23"/>
    </row>
    <row r="62" spans="2:10" s="32" customFormat="1" ht="15.6" x14ac:dyDescent="0.3">
      <c r="B62" s="666" t="s">
        <v>74</v>
      </c>
      <c r="C62" s="667">
        <f>(C60-C14)/C60</f>
        <v>0.75916283893910219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668" t="s">
        <v>76</v>
      </c>
      <c r="C63" s="669">
        <f>C60*0.6%+C52</f>
        <v>10435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670" t="s">
        <v>78</v>
      </c>
      <c r="C64" s="671">
        <f>(C60-C59)/C60</f>
        <v>0.67454437694473268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3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2" t="s">
        <v>278</v>
      </c>
      <c r="C66" s="4"/>
      <c r="D66" s="4"/>
      <c r="E66" s="4"/>
      <c r="G66" s="4"/>
      <c r="H66" s="4"/>
    </row>
    <row r="67" spans="2:9" ht="21" x14ac:dyDescent="0.4">
      <c r="B67" s="344"/>
      <c r="C67" s="264" t="s">
        <v>56</v>
      </c>
      <c r="D67" s="265" t="s">
        <v>57</v>
      </c>
      <c r="E67" s="253" t="s">
        <v>58</v>
      </c>
      <c r="G67" s="4"/>
      <c r="H67" s="4"/>
    </row>
    <row r="68" spans="2:9" ht="16.2" thickBot="1" x14ac:dyDescent="0.35">
      <c r="B68" s="345" t="s">
        <v>59</v>
      </c>
      <c r="C68" s="266">
        <f>C49</f>
        <v>5300</v>
      </c>
      <c r="D68" s="267">
        <f>D49</f>
        <v>0</v>
      </c>
      <c r="E68" s="263">
        <f>E49</f>
        <v>0</v>
      </c>
      <c r="G68" s="4"/>
      <c r="H68" s="4"/>
    </row>
    <row r="69" spans="2:9" ht="15.6" x14ac:dyDescent="0.3">
      <c r="B69" s="346" t="s">
        <v>61</v>
      </c>
      <c r="C69" s="254">
        <f>C50</f>
        <v>1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6" t="s">
        <v>62</v>
      </c>
      <c r="C70" s="255">
        <f>C68*C69</f>
        <v>5300</v>
      </c>
      <c r="D70" s="35"/>
      <c r="E70" s="35"/>
      <c r="F70" s="36"/>
      <c r="G70" s="35"/>
      <c r="H70" s="35"/>
      <c r="I70" s="36"/>
    </row>
    <row r="71" spans="2:9" ht="15.6" x14ac:dyDescent="0.3">
      <c r="B71" s="346" t="s">
        <v>63</v>
      </c>
      <c r="C71" s="255">
        <f>C52</f>
        <v>907</v>
      </c>
      <c r="D71" s="37"/>
      <c r="E71" s="38"/>
      <c r="F71" s="36"/>
      <c r="G71" s="35"/>
      <c r="H71" s="35"/>
      <c r="I71" s="36"/>
    </row>
    <row r="72" spans="2:9" ht="15.6" x14ac:dyDescent="0.3">
      <c r="B72" s="346" t="s">
        <v>64</v>
      </c>
      <c r="C72" s="255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6" t="s">
        <v>65</v>
      </c>
      <c r="C73" s="255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6" t="s">
        <v>66</v>
      </c>
      <c r="C74" s="255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6" t="s">
        <v>67</v>
      </c>
      <c r="C75" s="255">
        <f>C56</f>
        <v>0</v>
      </c>
      <c r="D75" s="37"/>
      <c r="E75" s="38"/>
      <c r="F75" s="36"/>
      <c r="G75" s="36"/>
      <c r="H75" s="36"/>
      <c r="I75" s="36"/>
    </row>
    <row r="76" spans="2:9" ht="15.6" x14ac:dyDescent="0.3">
      <c r="B76" s="346" t="s">
        <v>68</v>
      </c>
      <c r="C76" s="255">
        <f>SUM(D68,E68,C70,C72:C75)</f>
        <v>5300</v>
      </c>
      <c r="D76" s="37"/>
      <c r="E76" s="38"/>
      <c r="F76" s="36"/>
      <c r="G76" s="36"/>
      <c r="H76" s="36"/>
      <c r="I76" s="36"/>
    </row>
    <row r="77" spans="2:9" ht="15.6" x14ac:dyDescent="0.3">
      <c r="B77" s="347" t="s">
        <v>69</v>
      </c>
      <c r="C77" s="256">
        <f>C76-C71</f>
        <v>4393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8" t="s">
        <v>7</v>
      </c>
      <c r="C78" s="257">
        <f>C77/0.8%</f>
        <v>549125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9" t="s">
        <v>5</v>
      </c>
      <c r="C79" s="258">
        <f>C4</f>
        <v>1588000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50" t="s">
        <v>72</v>
      </c>
      <c r="C80" s="259">
        <f>C14*0.8%</f>
        <v>3059.595294117647</v>
      </c>
      <c r="D80" s="938" t="s">
        <v>73</v>
      </c>
      <c r="E80" s="938"/>
      <c r="F80" s="938"/>
      <c r="G80" s="938"/>
      <c r="H80" s="938"/>
      <c r="I80" s="938"/>
    </row>
    <row r="81" spans="2:9" ht="15.6" x14ac:dyDescent="0.3">
      <c r="B81" s="351" t="s">
        <v>74</v>
      </c>
      <c r="C81" s="260">
        <f>(C79-C14)/C79</f>
        <v>0.75916283893910219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2" t="s">
        <v>76</v>
      </c>
      <c r="C82" s="261">
        <f>C79*0.8%+C71</f>
        <v>13611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3" t="s">
        <v>78</v>
      </c>
      <c r="C83" s="262">
        <f>(C79-C78)/C79</f>
        <v>0.65420340050377834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4" t="s">
        <v>80</v>
      </c>
      <c r="C84" s="33"/>
      <c r="D84" s="4"/>
      <c r="E84" s="4"/>
    </row>
    <row r="85" spans="2:9" ht="21.6" thickBot="1" x14ac:dyDescent="0.45">
      <c r="B85" s="355" t="s">
        <v>233</v>
      </c>
      <c r="C85" s="33"/>
      <c r="D85" s="4"/>
      <c r="E85" s="4"/>
    </row>
    <row r="86" spans="2:9" ht="18" x14ac:dyDescent="0.35">
      <c r="B86" s="939" t="s">
        <v>81</v>
      </c>
      <c r="C86" s="940"/>
      <c r="D86" s="2" t="s">
        <v>224</v>
      </c>
    </row>
    <row r="87" spans="2:9" ht="16.2" thickBot="1" x14ac:dyDescent="0.35">
      <c r="B87" s="356" t="s">
        <v>82</v>
      </c>
      <c r="C87" s="382">
        <f>'ROI Number insert'!F6</f>
        <v>0.02</v>
      </c>
      <c r="D87" s="2" t="s">
        <v>223</v>
      </c>
    </row>
    <row r="88" spans="2:9" ht="16.8" thickTop="1" thickBot="1" x14ac:dyDescent="0.35">
      <c r="B88" s="356" t="s">
        <v>83</v>
      </c>
      <c r="C88" s="675">
        <v>5</v>
      </c>
      <c r="D88" s="2" t="s">
        <v>84</v>
      </c>
    </row>
    <row r="89" spans="2:9" ht="16.2" thickTop="1" x14ac:dyDescent="0.3">
      <c r="B89" s="356" t="s">
        <v>250</v>
      </c>
      <c r="C89" s="287">
        <f ca="1">TODAY()</f>
        <v>44974</v>
      </c>
      <c r="D89" s="2"/>
    </row>
    <row r="90" spans="2:9" ht="15.6" x14ac:dyDescent="0.3">
      <c r="B90" s="356" t="s">
        <v>251</v>
      </c>
      <c r="C90" s="287">
        <f ca="1">C89+C88*366</f>
        <v>46804</v>
      </c>
      <c r="D90" s="2"/>
    </row>
    <row r="91" spans="2:9" ht="15.6" x14ac:dyDescent="0.3">
      <c r="B91" s="356" t="s">
        <v>85</v>
      </c>
      <c r="C91" s="41">
        <f>C4</f>
        <v>1588000</v>
      </c>
      <c r="D91" s="286"/>
    </row>
    <row r="92" spans="2:9" ht="15.6" x14ac:dyDescent="0.3">
      <c r="B92" s="357" t="s">
        <v>86</v>
      </c>
      <c r="C92" s="42">
        <f>FV(C87,C88,,-C91,)</f>
        <v>1753280.3154816001</v>
      </c>
      <c r="D92" s="286"/>
    </row>
    <row r="93" spans="2:9" ht="16.2" thickBot="1" x14ac:dyDescent="0.35">
      <c r="B93" s="358" t="s">
        <v>87</v>
      </c>
      <c r="C93" s="43">
        <f>C92-'ROI Number insert'!F3</f>
        <v>203280.31548160012</v>
      </c>
    </row>
    <row r="94" spans="2:9" ht="15.6" x14ac:dyDescent="0.3">
      <c r="B94" s="359" t="s">
        <v>95</v>
      </c>
      <c r="C94" s="44">
        <f>'ROI Number insert'!F3</f>
        <v>1550000</v>
      </c>
    </row>
    <row r="95" spans="2:9" ht="15.6" x14ac:dyDescent="0.3">
      <c r="B95" s="360" t="s">
        <v>89</v>
      </c>
      <c r="C95" s="45">
        <f>FV(C87,C88,,-'ROI Number insert'!F3)</f>
        <v>1711325.24496</v>
      </c>
      <c r="D95" s="3" t="s">
        <v>90</v>
      </c>
    </row>
    <row r="96" spans="2:9" ht="16.2" thickBot="1" x14ac:dyDescent="0.35">
      <c r="B96" s="361" t="s">
        <v>91</v>
      </c>
      <c r="C96" s="46">
        <f>C95-C94</f>
        <v>161325.24496000004</v>
      </c>
      <c r="D96" s="3" t="s">
        <v>92</v>
      </c>
    </row>
    <row r="97" spans="2:4" ht="15" thickBot="1" x14ac:dyDescent="0.35"/>
    <row r="98" spans="2:4" ht="18.600000000000001" thickBot="1" x14ac:dyDescent="0.4">
      <c r="B98" s="941" t="s">
        <v>219</v>
      </c>
      <c r="C98" s="942"/>
    </row>
    <row r="99" spans="2:4" ht="16.8" thickTop="1" thickBot="1" x14ac:dyDescent="0.35">
      <c r="B99" s="363" t="s">
        <v>82</v>
      </c>
      <c r="C99" s="676">
        <v>1.4999999999999999E-2</v>
      </c>
      <c r="D99" s="3" t="s">
        <v>221</v>
      </c>
    </row>
    <row r="100" spans="2:4" ht="16.2" thickTop="1" x14ac:dyDescent="0.3">
      <c r="B100" s="363" t="s">
        <v>83</v>
      </c>
      <c r="C100" s="207">
        <v>10</v>
      </c>
    </row>
    <row r="101" spans="2:4" ht="15.6" x14ac:dyDescent="0.3">
      <c r="B101" s="363" t="s">
        <v>252</v>
      </c>
      <c r="C101" s="288">
        <f ca="1">C89+10*366</f>
        <v>48634</v>
      </c>
    </row>
    <row r="102" spans="2:4" ht="15.6" x14ac:dyDescent="0.3">
      <c r="B102" s="363" t="s">
        <v>85</v>
      </c>
      <c r="C102" s="47">
        <f>C91</f>
        <v>1588000</v>
      </c>
    </row>
    <row r="103" spans="2:4" ht="15.6" x14ac:dyDescent="0.3">
      <c r="B103" s="363" t="s">
        <v>86</v>
      </c>
      <c r="C103" s="47">
        <f>FV(C99,C100,,-C102)</f>
        <v>1842938.8301399359</v>
      </c>
    </row>
    <row r="104" spans="2:4" ht="16.2" thickBot="1" x14ac:dyDescent="0.35">
      <c r="B104" s="364" t="s">
        <v>87</v>
      </c>
      <c r="C104" s="48">
        <f>C103-'ROI Number insert'!F3</f>
        <v>292938.83013993595</v>
      </c>
    </row>
    <row r="105" spans="2:4" ht="15.6" x14ac:dyDescent="0.3">
      <c r="B105" s="365" t="s">
        <v>95</v>
      </c>
      <c r="C105" s="49">
        <f>C94</f>
        <v>1550000</v>
      </c>
    </row>
    <row r="106" spans="2:4" ht="15.6" x14ac:dyDescent="0.3">
      <c r="B106" s="363" t="s">
        <v>89</v>
      </c>
      <c r="C106" s="47">
        <f>FV(C99,C100,,-'ROI Number insert'!F3)</f>
        <v>1798838.2787889803</v>
      </c>
    </row>
    <row r="107" spans="2:4" ht="16.2" thickBot="1" x14ac:dyDescent="0.35">
      <c r="B107" s="364" t="s">
        <v>91</v>
      </c>
      <c r="C107" s="48">
        <f>C106-C105</f>
        <v>248838.27878898033</v>
      </c>
    </row>
    <row r="108" spans="2:4" ht="15" thickBot="1" x14ac:dyDescent="0.35"/>
    <row r="109" spans="2:4" ht="18.600000000000001" thickBot="1" x14ac:dyDescent="0.4">
      <c r="B109" s="922" t="s">
        <v>220</v>
      </c>
      <c r="C109" s="923"/>
    </row>
    <row r="110" spans="2:4" ht="16.8" thickTop="1" thickBot="1" x14ac:dyDescent="0.35">
      <c r="B110" s="366" t="s">
        <v>82</v>
      </c>
      <c r="C110" s="676">
        <v>0.02</v>
      </c>
      <c r="D110" s="3" t="s">
        <v>222</v>
      </c>
    </row>
    <row r="111" spans="2:4" ht="16.2" thickTop="1" x14ac:dyDescent="0.3">
      <c r="B111" s="366" t="s">
        <v>83</v>
      </c>
      <c r="C111" s="208">
        <v>15</v>
      </c>
    </row>
    <row r="112" spans="2:4" ht="15.6" x14ac:dyDescent="0.3">
      <c r="B112" s="366" t="s">
        <v>252</v>
      </c>
      <c r="C112" s="289">
        <f ca="1">C89+C111*366</f>
        <v>50464</v>
      </c>
    </row>
    <row r="113" spans="2:3" ht="15.6" x14ac:dyDescent="0.3">
      <c r="B113" s="366" t="s">
        <v>85</v>
      </c>
      <c r="C113" s="193">
        <f>C102</f>
        <v>1588000</v>
      </c>
    </row>
    <row r="114" spans="2:3" ht="15.6" x14ac:dyDescent="0.3">
      <c r="B114" s="366" t="s">
        <v>86</v>
      </c>
      <c r="C114" s="193">
        <f>FV(C110,C111,,-C113)</f>
        <v>2137238.9212587173</v>
      </c>
    </row>
    <row r="115" spans="2:3" ht="16.2" thickBot="1" x14ac:dyDescent="0.35">
      <c r="B115" s="367" t="s">
        <v>87</v>
      </c>
      <c r="C115" s="194">
        <f>C114-'ROI Number insert'!F3</f>
        <v>587238.92125871731</v>
      </c>
    </row>
    <row r="116" spans="2:3" ht="15.6" x14ac:dyDescent="0.3">
      <c r="B116" s="368" t="s">
        <v>95</v>
      </c>
      <c r="C116" s="195">
        <f>C94</f>
        <v>1550000</v>
      </c>
    </row>
    <row r="117" spans="2:3" ht="15.6" x14ac:dyDescent="0.3">
      <c r="B117" s="366" t="s">
        <v>89</v>
      </c>
      <c r="C117" s="193">
        <f>FV(C110,C111,,-'ROI Number insert'!F3)</f>
        <v>2086095.9244024004</v>
      </c>
    </row>
    <row r="118" spans="2:3" ht="16.2" thickBot="1" x14ac:dyDescent="0.35">
      <c r="B118" s="367" t="s">
        <v>91</v>
      </c>
      <c r="C118" s="194">
        <f>C117-C116</f>
        <v>536095.92440240039</v>
      </c>
    </row>
  </sheetData>
  <sheetProtection algorithmName="SHA-512" hashValue="IU7cBvFSMynHp4N/vALORpenILIbYUcnk7cdL8DyZTN+eKPrssu/ZJtDTkyTGUJCcr2G5LrMqja+P5irGj7Q5w==" saltValue="yGWzkvckOpKwguxyNsrQ3A==" spinCount="100000" sheet="1" objects="1" scenarios="1"/>
  <mergeCells count="13">
    <mergeCell ref="B109:C109"/>
    <mergeCell ref="D61:H61"/>
    <mergeCell ref="B2:C2"/>
    <mergeCell ref="B15:C15"/>
    <mergeCell ref="B20:C20"/>
    <mergeCell ref="B24:C24"/>
    <mergeCell ref="D19:H19"/>
    <mergeCell ref="D21:H21"/>
    <mergeCell ref="D30:H30"/>
    <mergeCell ref="D80:I80"/>
    <mergeCell ref="B86:C86"/>
    <mergeCell ref="B98:C98"/>
    <mergeCell ref="G44:I44"/>
  </mergeCells>
  <dataValidations count="1">
    <dataValidation type="list" allowBlank="1" showInputMessage="1" showErrorMessage="1" sqref="C3" xr:uid="{C7AEF464-C42D-4A13-9F70-BBFF3175FEAD}">
      <formula1>$F$4:$F$12</formula1>
    </dataValidation>
  </dataValidations>
  <hyperlinks>
    <hyperlink ref="B30" location="'Debt payment Calculator'!A1" display="Debt Service/Month" xr:uid="{5A28EE5F-C74A-4516-8296-5090E94D8CB1}"/>
    <hyperlink ref="A1" location="'Table of contents'!A1" display="Table of contents" xr:uid="{7D4F49EC-8ACC-4B8A-9D84-9CCCB32DAC7C}"/>
    <hyperlink ref="B26" location="'Mortgage Caculator'!A1" display="Mortgage payment/month" xr:uid="{43CA3B91-9227-46B6-84D5-8ECC703D596E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Spinner 7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Spinner 8">
              <controlPr defaultSize="0" autoPict="0">
                <anchor moveWithCells="1" sizeWithCells="1">
                  <from>
                    <xdr:col>6</xdr:col>
                    <xdr:colOff>1752600</xdr:colOff>
                    <xdr:row>40</xdr:row>
                    <xdr:rowOff>68580</xdr:rowOff>
                  </from>
                  <to>
                    <xdr:col>6</xdr:col>
                    <xdr:colOff>1996440</xdr:colOff>
                    <xdr:row>42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Spinner 9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Spinner 10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Spinner 11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Spinner 12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FA08-45DD-4599-98E4-D1D4208B323C}">
  <sheetPr codeName="Sheet11">
    <tabColor theme="2" tint="-0.249977111117893"/>
  </sheetPr>
  <dimension ref="A1:P249"/>
  <sheetViews>
    <sheetView workbookViewId="0">
      <selection activeCell="F9" sqref="F9"/>
    </sheetView>
  </sheetViews>
  <sheetFormatPr defaultColWidth="0" defaultRowHeight="15.6" zeroHeight="1" x14ac:dyDescent="0.3"/>
  <cols>
    <col min="1" max="1" width="2.109375" style="1" customWidth="1"/>
    <col min="2" max="2" width="18.88671875" style="1" customWidth="1"/>
    <col min="3" max="3" width="25.21875" customWidth="1"/>
    <col min="4" max="4" width="1.88671875" style="1" customWidth="1"/>
    <col min="5" max="5" width="40.109375" customWidth="1"/>
    <col min="6" max="6" width="15.21875" style="161" customWidth="1"/>
    <col min="7" max="7" width="17.33203125" customWidth="1"/>
    <col min="8" max="8" width="26.109375" style="162" customWidth="1"/>
    <col min="9" max="9" width="20.21875" customWidth="1"/>
    <col min="10" max="10" width="1.6640625" hidden="1" customWidth="1"/>
    <col min="11" max="11" width="18.77734375" customWidth="1"/>
    <col min="12" max="12" width="19.33203125" customWidth="1"/>
    <col min="13" max="13" width="18.44140625" customWidth="1"/>
    <col min="14" max="14" width="19.33203125" customWidth="1"/>
    <col min="15" max="15" width="14.109375" hidden="1" customWidth="1"/>
    <col min="16" max="16" width="13.21875" hidden="1" customWidth="1"/>
    <col min="17" max="16384" width="8.88671875" hidden="1"/>
  </cols>
  <sheetData>
    <row r="1" spans="1:14" ht="42" customHeight="1" thickBot="1" x14ac:dyDescent="0.35">
      <c r="A1" s="648" t="s">
        <v>454</v>
      </c>
      <c r="C1" s="1"/>
      <c r="E1" s="945" t="s">
        <v>93</v>
      </c>
      <c r="F1" s="945"/>
      <c r="G1" s="945"/>
      <c r="H1" s="945"/>
      <c r="I1" s="945"/>
      <c r="J1" s="1"/>
      <c r="K1" s="1"/>
      <c r="L1" s="1"/>
      <c r="M1" s="1"/>
    </row>
    <row r="2" spans="1:14" ht="17.25" customHeight="1" thickTop="1" thickBot="1" x14ac:dyDescent="0.35">
      <c r="B2" s="307" t="s">
        <v>270</v>
      </c>
      <c r="C2" s="695">
        <v>44973</v>
      </c>
      <c r="E2" s="707" t="s">
        <v>5</v>
      </c>
      <c r="F2" s="708">
        <f>'Calculating offering price'!C4</f>
        <v>1588000</v>
      </c>
      <c r="G2" s="52"/>
      <c r="H2" s="946" t="s">
        <v>94</v>
      </c>
      <c r="I2" s="947"/>
      <c r="J2" s="1"/>
      <c r="K2" s="1"/>
      <c r="L2" s="1"/>
      <c r="M2" s="1"/>
      <c r="N2" s="1"/>
    </row>
    <row r="3" spans="1:14" ht="16.8" thickTop="1" thickBot="1" x14ac:dyDescent="0.35">
      <c r="B3" s="308" t="s">
        <v>271</v>
      </c>
      <c r="C3" s="696">
        <v>10267800</v>
      </c>
      <c r="D3" s="310"/>
      <c r="E3" s="706" t="s">
        <v>95</v>
      </c>
      <c r="F3" s="653">
        <v>1550000</v>
      </c>
      <c r="G3" s="285" t="s">
        <v>248</v>
      </c>
      <c r="H3" s="793" t="s">
        <v>96</v>
      </c>
      <c r="I3" s="794" cm="1">
        <f t="array" ref="I3">_xlfn.IFS(F3&lt;200000, 1%, OR(F3&gt;200001, F3&lt;2000000), 2%, F3&gt;2000001, 3%)</f>
        <v>0.02</v>
      </c>
      <c r="J3" s="1"/>
      <c r="K3" s="795"/>
      <c r="L3" s="1"/>
      <c r="M3" s="1"/>
      <c r="N3" s="1"/>
    </row>
    <row r="4" spans="1:14" ht="30" thickTop="1" thickBot="1" x14ac:dyDescent="0.35">
      <c r="B4" s="308" t="s">
        <v>272</v>
      </c>
      <c r="C4" s="790" t="s">
        <v>510</v>
      </c>
      <c r="D4" s="304"/>
      <c r="E4" s="302" t="s">
        <v>97</v>
      </c>
      <c r="F4" s="651">
        <v>25</v>
      </c>
      <c r="G4" s="285" t="s">
        <v>249</v>
      </c>
      <c r="H4" s="53" t="s">
        <v>98</v>
      </c>
      <c r="I4" s="792">
        <f>F3*I3</f>
        <v>31000</v>
      </c>
      <c r="J4" s="1"/>
      <c r="K4" s="1"/>
      <c r="L4" s="1"/>
      <c r="M4" s="1"/>
      <c r="N4" s="1"/>
    </row>
    <row r="5" spans="1:14" ht="16.8" thickTop="1" thickBot="1" x14ac:dyDescent="0.35">
      <c r="B5" s="309" t="s">
        <v>274</v>
      </c>
      <c r="C5" s="697">
        <v>1403000</v>
      </c>
      <c r="D5" s="304"/>
      <c r="E5" s="303" t="s">
        <v>99</v>
      </c>
      <c r="F5" s="698">
        <v>6.25E-2</v>
      </c>
      <c r="G5" s="1"/>
      <c r="H5" s="53" t="s">
        <v>100</v>
      </c>
      <c r="I5" s="674">
        <v>1200</v>
      </c>
      <c r="J5" s="1"/>
      <c r="K5" s="1"/>
      <c r="L5" s="1"/>
      <c r="M5" s="1"/>
      <c r="N5" s="1"/>
    </row>
    <row r="6" spans="1:14" ht="16.8" thickTop="1" thickBot="1" x14ac:dyDescent="0.35">
      <c r="D6" s="306"/>
      <c r="E6" s="303" t="s">
        <v>101</v>
      </c>
      <c r="F6" s="698">
        <v>0.02</v>
      </c>
      <c r="G6" s="1"/>
      <c r="H6" s="53" t="s">
        <v>102</v>
      </c>
      <c r="I6" s="674">
        <v>1200</v>
      </c>
      <c r="J6" s="1"/>
      <c r="K6" s="1"/>
      <c r="L6" s="1"/>
      <c r="M6" s="1"/>
      <c r="N6" s="1"/>
    </row>
    <row r="7" spans="1:14" ht="16.8" thickTop="1" thickBot="1" x14ac:dyDescent="0.35">
      <c r="C7" s="1"/>
      <c r="E7" s="56" t="s">
        <v>238</v>
      </c>
      <c r="F7" s="698">
        <v>3.85E-2</v>
      </c>
      <c r="G7" s="1"/>
      <c r="H7" s="57" t="s">
        <v>103</v>
      </c>
      <c r="I7" s="744">
        <v>2500</v>
      </c>
      <c r="J7" s="1"/>
      <c r="K7" s="1"/>
      <c r="L7" s="1"/>
      <c r="M7" s="1"/>
      <c r="N7" s="1"/>
    </row>
    <row r="8" spans="1:14" ht="16.8" thickTop="1" thickBot="1" x14ac:dyDescent="0.35">
      <c r="C8" s="1"/>
      <c r="E8" s="55" t="s">
        <v>104</v>
      </c>
      <c r="F8" s="698">
        <v>0.02</v>
      </c>
      <c r="G8" s="1"/>
      <c r="H8" s="57" t="s">
        <v>105</v>
      </c>
      <c r="I8" s="745">
        <v>0</v>
      </c>
      <c r="J8" s="1"/>
      <c r="K8" s="1"/>
      <c r="L8" s="1"/>
      <c r="M8" s="1"/>
      <c r="N8" s="1"/>
    </row>
    <row r="9" spans="1:14" ht="16.8" thickTop="1" thickBot="1" x14ac:dyDescent="0.35">
      <c r="C9" s="1"/>
      <c r="E9" s="56" t="s">
        <v>20</v>
      </c>
      <c r="F9" s="58">
        <f>'Calculating offering price'!C13</f>
        <v>0.2</v>
      </c>
      <c r="G9" s="1"/>
      <c r="H9" s="59" t="s">
        <v>106</v>
      </c>
      <c r="I9" s="60">
        <f>F3*1%</f>
        <v>15500</v>
      </c>
      <c r="J9" s="1"/>
      <c r="K9" s="1"/>
      <c r="L9" s="1"/>
      <c r="M9" s="1"/>
      <c r="N9" s="1"/>
    </row>
    <row r="10" spans="1:14" ht="16.2" thickBot="1" x14ac:dyDescent="0.35">
      <c r="C10" s="1"/>
      <c r="E10" s="55" t="s">
        <v>107</v>
      </c>
      <c r="F10" s="61">
        <f>SUM(I4:I9)</f>
        <v>51400</v>
      </c>
      <c r="G10" s="1"/>
      <c r="H10" s="948" t="s">
        <v>26</v>
      </c>
      <c r="I10" s="949"/>
      <c r="J10" s="1"/>
      <c r="K10" s="1"/>
      <c r="L10" s="1"/>
      <c r="M10" s="1"/>
      <c r="N10" s="1"/>
    </row>
    <row r="11" spans="1:14" x14ac:dyDescent="0.3">
      <c r="C11" s="1"/>
      <c r="E11" s="55" t="s">
        <v>108</v>
      </c>
      <c r="F11" s="62">
        <f>F3*F9</f>
        <v>310000</v>
      </c>
      <c r="G11" s="1"/>
      <c r="H11" s="279" t="s">
        <v>27</v>
      </c>
      <c r="I11" s="280">
        <f>F12</f>
        <v>1240000</v>
      </c>
      <c r="J11" s="1"/>
      <c r="K11" s="1"/>
      <c r="L11" s="1"/>
      <c r="M11" s="1"/>
      <c r="N11" s="1"/>
    </row>
    <row r="12" spans="1:14" ht="16.2" thickBot="1" x14ac:dyDescent="0.35">
      <c r="C12" s="1"/>
      <c r="E12" s="63" t="s">
        <v>109</v>
      </c>
      <c r="F12" s="64">
        <f>F3-F11</f>
        <v>1240000</v>
      </c>
      <c r="G12" s="1"/>
      <c r="H12" s="198" t="s">
        <v>110</v>
      </c>
      <c r="I12" s="65">
        <f>'Calculating offering price'!C26</f>
        <v>8179.9002911065363</v>
      </c>
      <c r="J12" s="1"/>
      <c r="K12" s="1"/>
      <c r="L12" s="1"/>
      <c r="M12" s="1"/>
      <c r="N12" s="1"/>
    </row>
    <row r="13" spans="1:14" ht="31.2" x14ac:dyDescent="0.3">
      <c r="C13" s="1"/>
      <c r="E13" s="702" t="s">
        <v>15</v>
      </c>
      <c r="F13" s="737">
        <f>'Calculating offering price'!C9</f>
        <v>0</v>
      </c>
      <c r="G13" s="1"/>
      <c r="H13" s="67" t="s">
        <v>31</v>
      </c>
      <c r="I13" s="68">
        <f>I12*12</f>
        <v>98158.803493278436</v>
      </c>
      <c r="J13" s="1"/>
      <c r="K13" s="1"/>
      <c r="L13" s="1"/>
      <c r="M13" s="1"/>
      <c r="N13" s="1"/>
    </row>
    <row r="14" spans="1:14" x14ac:dyDescent="0.3">
      <c r="C14" s="1"/>
      <c r="E14" s="736" t="s">
        <v>215</v>
      </c>
      <c r="F14" s="739">
        <f>'Calculating offering price'!C11</f>
        <v>0</v>
      </c>
      <c r="G14" s="1"/>
      <c r="H14" s="70" t="s">
        <v>111</v>
      </c>
      <c r="I14" s="71">
        <f>'Calculating offering price'!C28</f>
        <v>3932.9457199999997</v>
      </c>
      <c r="J14" s="1"/>
      <c r="K14" s="1"/>
      <c r="L14" s="1"/>
      <c r="M14" s="1"/>
      <c r="N14" s="1"/>
    </row>
    <row r="15" spans="1:14" x14ac:dyDescent="0.3">
      <c r="C15" s="1"/>
      <c r="E15" s="703" t="s">
        <v>26</v>
      </c>
      <c r="F15" s="738">
        <f>F16*F14</f>
        <v>0</v>
      </c>
      <c r="G15" s="1"/>
      <c r="H15" s="70" t="s">
        <v>33</v>
      </c>
      <c r="I15" s="73">
        <f>I14/12</f>
        <v>327.74547666666666</v>
      </c>
      <c r="J15" s="1"/>
      <c r="K15" s="74"/>
      <c r="L15" s="74"/>
      <c r="M15" s="74"/>
      <c r="N15" s="74"/>
    </row>
    <row r="16" spans="1:14" ht="16.05" customHeight="1" thickBot="1" x14ac:dyDescent="0.35">
      <c r="C16" s="1"/>
      <c r="E16" s="704" t="s">
        <v>216</v>
      </c>
      <c r="F16" s="705">
        <f>I23</f>
        <v>9670.5743952241846</v>
      </c>
      <c r="G16" s="1"/>
      <c r="H16" s="275" t="s">
        <v>112</v>
      </c>
      <c r="I16" s="276">
        <f>'Calculating offering price'!C30</f>
        <v>0</v>
      </c>
      <c r="J16" s="1"/>
      <c r="K16" s="1"/>
      <c r="L16" s="1"/>
      <c r="M16" s="1"/>
      <c r="N16" s="74"/>
    </row>
    <row r="17" spans="1:14" s="79" customFormat="1" ht="16.8" thickTop="1" thickBot="1" x14ac:dyDescent="0.35">
      <c r="A17" s="76"/>
      <c r="B17" s="1"/>
      <c r="C17" s="76"/>
      <c r="D17" s="76"/>
      <c r="E17" s="700" t="s">
        <v>209</v>
      </c>
      <c r="F17" s="653">
        <v>2000000</v>
      </c>
      <c r="G17" s="76"/>
      <c r="H17" s="281" t="s">
        <v>246</v>
      </c>
      <c r="I17" s="283">
        <f>'Calculating offering price'!C31</f>
        <v>0</v>
      </c>
      <c r="J17" s="76"/>
      <c r="K17" s="76"/>
      <c r="L17" s="76"/>
      <c r="M17" s="76"/>
      <c r="N17" s="78"/>
    </row>
    <row r="18" spans="1:14" s="79" customFormat="1" ht="16.8" thickTop="1" thickBot="1" x14ac:dyDescent="0.35">
      <c r="A18" s="76"/>
      <c r="B18" s="1"/>
      <c r="C18" s="76"/>
      <c r="D18" s="76"/>
      <c r="E18" s="701" t="s">
        <v>313</v>
      </c>
      <c r="F18" s="653">
        <v>0</v>
      </c>
      <c r="G18" s="76"/>
      <c r="H18" s="277" t="s">
        <v>36</v>
      </c>
      <c r="I18" s="278">
        <f>'Calculating offering price'!C32</f>
        <v>1500</v>
      </c>
      <c r="J18" s="76"/>
      <c r="K18" s="76"/>
      <c r="L18" s="76"/>
      <c r="M18" s="76"/>
      <c r="N18" s="78"/>
    </row>
    <row r="19" spans="1:14" s="79" customFormat="1" x14ac:dyDescent="0.3">
      <c r="A19" s="76"/>
      <c r="B19" s="1"/>
      <c r="C19" s="76"/>
      <c r="D19" s="76"/>
      <c r="E19" s="371" t="s">
        <v>114</v>
      </c>
      <c r="F19" s="372">
        <f>F11+F13+F15+F10</f>
        <v>361400</v>
      </c>
      <c r="G19" s="76"/>
      <c r="H19" s="77" t="s">
        <v>37</v>
      </c>
      <c r="I19" s="75">
        <f>'Calculating offering price'!C33</f>
        <v>1571.1435294117646</v>
      </c>
      <c r="J19" s="76"/>
      <c r="K19" s="76"/>
      <c r="L19" s="76"/>
      <c r="M19" s="76"/>
      <c r="N19" s="78"/>
    </row>
    <row r="20" spans="1:14" s="79" customFormat="1" ht="16.2" thickBot="1" x14ac:dyDescent="0.35">
      <c r="A20" s="76"/>
      <c r="B20" s="1"/>
      <c r="C20" s="76"/>
      <c r="D20" s="76"/>
      <c r="E20" s="91" t="s">
        <v>115</v>
      </c>
      <c r="F20" s="92">
        <f>F11+F10</f>
        <v>361400</v>
      </c>
      <c r="G20" s="76"/>
      <c r="H20" s="80" t="s">
        <v>39</v>
      </c>
      <c r="I20" s="81">
        <f>'Calculating offering price'!C34</f>
        <v>907</v>
      </c>
      <c r="J20" s="76"/>
      <c r="K20" s="76"/>
      <c r="L20" s="76"/>
      <c r="M20" s="76"/>
      <c r="N20" s="78"/>
    </row>
    <row r="21" spans="1:14" s="79" customFormat="1" ht="21.6" thickBot="1" x14ac:dyDescent="0.35">
      <c r="A21" s="76"/>
      <c r="B21" s="1"/>
      <c r="C21" s="76"/>
      <c r="D21" s="76"/>
      <c r="E21" s="197" t="s">
        <v>116</v>
      </c>
      <c r="F21" s="197"/>
      <c r="G21" s="76"/>
      <c r="H21" s="82" t="s">
        <v>40</v>
      </c>
      <c r="I21" s="83">
        <f>I20*12</f>
        <v>10884</v>
      </c>
      <c r="J21" s="76"/>
      <c r="K21" s="1"/>
      <c r="L21" s="1"/>
      <c r="M21" s="76"/>
      <c r="N21" s="78"/>
    </row>
    <row r="22" spans="1:14" s="79" customFormat="1" ht="15.45" customHeight="1" thickBot="1" x14ac:dyDescent="0.35">
      <c r="A22" s="76"/>
      <c r="B22" s="76"/>
      <c r="C22" s="76"/>
      <c r="D22" s="76"/>
      <c r="E22" s="952" t="s">
        <v>117</v>
      </c>
      <c r="F22" s="953"/>
      <c r="G22" s="76"/>
      <c r="H22" s="84" t="s">
        <v>41</v>
      </c>
      <c r="I22" s="85">
        <f>I13+I14+I16+I18+I19+I21+I17</f>
        <v>116046.89274269021</v>
      </c>
      <c r="J22" s="76"/>
      <c r="K22" s="76"/>
      <c r="L22" s="76"/>
      <c r="M22" s="76"/>
      <c r="N22" s="86"/>
    </row>
    <row r="23" spans="1:14" ht="16.2" thickBot="1" x14ac:dyDescent="0.35">
      <c r="C23" s="1"/>
      <c r="E23" s="93" t="s">
        <v>118</v>
      </c>
      <c r="F23" s="94">
        <f>'Calculating offering price'!C57</f>
        <v>5300</v>
      </c>
      <c r="G23" s="1"/>
      <c r="H23" s="87" t="s">
        <v>42</v>
      </c>
      <c r="I23" s="88">
        <f>I22/12</f>
        <v>9670.5743952241846</v>
      </c>
      <c r="J23" s="1"/>
      <c r="K23" s="89"/>
      <c r="L23" s="1"/>
      <c r="M23" s="1"/>
      <c r="N23" s="89"/>
    </row>
    <row r="24" spans="1:14" ht="16.8" thickTop="1" thickBot="1" x14ac:dyDescent="0.35">
      <c r="C24" s="1"/>
      <c r="E24" s="95" t="s">
        <v>119</v>
      </c>
      <c r="F24" s="96">
        <f>F23*12</f>
        <v>63600</v>
      </c>
      <c r="G24" s="90"/>
      <c r="H24" s="268" t="s">
        <v>225</v>
      </c>
      <c r="I24" s="791" t="s">
        <v>231</v>
      </c>
      <c r="J24" s="1"/>
      <c r="K24" s="89"/>
      <c r="L24" s="1"/>
      <c r="M24" s="1"/>
      <c r="N24" s="89"/>
    </row>
    <row r="25" spans="1:14" ht="16.8" thickTop="1" thickBot="1" x14ac:dyDescent="0.35">
      <c r="C25" s="1"/>
      <c r="E25" s="97" t="s">
        <v>120</v>
      </c>
      <c r="F25" s="699">
        <v>0</v>
      </c>
      <c r="G25" s="90"/>
      <c r="J25" s="1" t="s">
        <v>226</v>
      </c>
      <c r="K25" s="89"/>
      <c r="L25" s="1"/>
      <c r="M25" s="1"/>
      <c r="N25" s="89"/>
    </row>
    <row r="26" spans="1:14" ht="16.2" thickTop="1" x14ac:dyDescent="0.3">
      <c r="C26" s="1"/>
      <c r="E26" s="98" t="s">
        <v>121</v>
      </c>
      <c r="F26" s="99">
        <f>F24*F25</f>
        <v>0</v>
      </c>
      <c r="G26" s="1"/>
      <c r="H26" s="52"/>
      <c r="I26" s="1"/>
      <c r="J26" s="1" t="s">
        <v>227</v>
      </c>
      <c r="K26" s="89"/>
      <c r="L26" s="1"/>
      <c r="M26" s="1"/>
      <c r="N26" s="89"/>
    </row>
    <row r="27" spans="1:14" ht="16.2" thickBot="1" x14ac:dyDescent="0.35">
      <c r="C27" s="1"/>
      <c r="E27" s="272" t="s">
        <v>240</v>
      </c>
      <c r="F27" s="100">
        <f>F24-F26</f>
        <v>63600</v>
      </c>
      <c r="G27" s="89"/>
      <c r="H27" s="52"/>
      <c r="I27" s="1"/>
      <c r="J27" s="1" t="s">
        <v>229</v>
      </c>
      <c r="K27" s="1"/>
      <c r="L27" s="1"/>
      <c r="M27" s="1"/>
      <c r="N27" s="1"/>
    </row>
    <row r="28" spans="1:14" ht="21.6" thickBot="1" x14ac:dyDescent="0.35">
      <c r="C28" s="1"/>
      <c r="E28" s="950" t="s">
        <v>187</v>
      </c>
      <c r="F28" s="951"/>
      <c r="G28" s="89"/>
      <c r="H28" s="1"/>
      <c r="I28" s="1"/>
      <c r="J28" s="1" t="s">
        <v>228</v>
      </c>
      <c r="K28" s="1"/>
      <c r="L28" s="1"/>
      <c r="M28" s="1"/>
      <c r="N28" s="1"/>
    </row>
    <row r="29" spans="1:14" x14ac:dyDescent="0.3">
      <c r="C29" s="1"/>
      <c r="E29" s="101" t="s">
        <v>122</v>
      </c>
      <c r="F29" s="102">
        <f>I12</f>
        <v>8179.9002911065363</v>
      </c>
      <c r="G29" s="1"/>
      <c r="H29" s="1"/>
      <c r="I29" s="1"/>
      <c r="J29" s="1" t="s">
        <v>230</v>
      </c>
      <c r="K29" s="1"/>
      <c r="L29" s="1"/>
      <c r="M29" s="1"/>
      <c r="N29" s="1"/>
    </row>
    <row r="30" spans="1:14" ht="16.2" thickBot="1" x14ac:dyDescent="0.35">
      <c r="C30" s="1"/>
      <c r="E30" s="103" t="s">
        <v>123</v>
      </c>
      <c r="F30" s="104">
        <f>F29*12</f>
        <v>98158.803493278436</v>
      </c>
      <c r="G30" s="1"/>
      <c r="H30" s="1"/>
      <c r="I30" s="1"/>
      <c r="J30" s="1" t="s">
        <v>231</v>
      </c>
      <c r="K30" s="1"/>
      <c r="L30" s="1"/>
      <c r="M30" s="1"/>
      <c r="N30" s="1"/>
    </row>
    <row r="31" spans="1:14" ht="24" thickBot="1" x14ac:dyDescent="0.35">
      <c r="C31" s="1"/>
      <c r="E31" s="943" t="s">
        <v>239</v>
      </c>
      <c r="F31" s="944"/>
      <c r="G31" s="1"/>
      <c r="H31" s="1"/>
      <c r="I31" s="1"/>
      <c r="J31" s="1"/>
      <c r="K31" s="1"/>
      <c r="L31" s="1"/>
      <c r="M31" s="1"/>
      <c r="N31" s="1"/>
    </row>
    <row r="32" spans="1:14" x14ac:dyDescent="0.3">
      <c r="C32" s="1"/>
      <c r="E32" s="105" t="s">
        <v>124</v>
      </c>
      <c r="F32" s="741">
        <f>I14</f>
        <v>3932.9457199999997</v>
      </c>
      <c r="G32" s="1"/>
      <c r="H32" s="1"/>
      <c r="I32" s="1"/>
      <c r="J32" s="1"/>
      <c r="K32" s="1"/>
      <c r="L32" s="1"/>
      <c r="M32" s="1"/>
      <c r="N32" s="1"/>
    </row>
    <row r="33" spans="3:14" x14ac:dyDescent="0.3">
      <c r="C33" s="1"/>
      <c r="E33" s="740" t="s">
        <v>125</v>
      </c>
      <c r="F33" s="743">
        <f>F23*8%</f>
        <v>424</v>
      </c>
      <c r="G33" s="1"/>
      <c r="H33" s="1"/>
      <c r="I33" s="1"/>
      <c r="J33" s="1"/>
      <c r="K33" s="1"/>
      <c r="L33" s="1"/>
      <c r="M33" s="1"/>
      <c r="N33" s="1"/>
    </row>
    <row r="34" spans="3:14" x14ac:dyDescent="0.3">
      <c r="C34" s="1"/>
      <c r="E34" s="107" t="s">
        <v>126</v>
      </c>
      <c r="F34" s="742">
        <f>F33*12</f>
        <v>5088</v>
      </c>
      <c r="G34" s="1"/>
      <c r="H34" s="1"/>
      <c r="I34" s="1"/>
      <c r="J34" s="1"/>
      <c r="K34" s="1"/>
      <c r="L34" s="1"/>
      <c r="M34" s="1"/>
      <c r="N34" s="1"/>
    </row>
    <row r="35" spans="3:14" x14ac:dyDescent="0.3">
      <c r="C35" s="1"/>
      <c r="E35" s="107" t="s">
        <v>37</v>
      </c>
      <c r="F35" s="108">
        <f>I19</f>
        <v>1571.1435294117646</v>
      </c>
      <c r="G35" s="1"/>
      <c r="H35" s="1"/>
      <c r="I35" s="1"/>
      <c r="J35" s="1"/>
      <c r="K35" s="1"/>
      <c r="L35" s="1"/>
      <c r="M35" s="1"/>
      <c r="N35" s="1"/>
    </row>
    <row r="36" spans="3:14" x14ac:dyDescent="0.3">
      <c r="C36" s="1"/>
      <c r="E36" s="109" t="s">
        <v>127</v>
      </c>
      <c r="F36" s="110">
        <f>I20</f>
        <v>907</v>
      </c>
      <c r="G36" s="1"/>
      <c r="H36" s="1"/>
      <c r="I36" s="1"/>
      <c r="J36" s="1"/>
      <c r="K36" s="1"/>
      <c r="L36" s="1"/>
      <c r="M36" s="1"/>
      <c r="N36" s="1"/>
    </row>
    <row r="37" spans="3:14" x14ac:dyDescent="0.3">
      <c r="C37" s="1"/>
      <c r="E37" s="107" t="s">
        <v>128</v>
      </c>
      <c r="F37" s="108">
        <f>F36*12</f>
        <v>10884</v>
      </c>
      <c r="G37" s="1"/>
      <c r="H37" s="52"/>
      <c r="I37" s="1"/>
      <c r="J37" s="1"/>
      <c r="K37" s="1"/>
      <c r="L37" s="1"/>
      <c r="M37" s="1"/>
      <c r="N37" s="1"/>
    </row>
    <row r="38" spans="3:14" ht="16.2" thickBot="1" x14ac:dyDescent="0.35">
      <c r="C38" s="1"/>
      <c r="E38" s="107" t="s">
        <v>129</v>
      </c>
      <c r="F38" s="108">
        <f>I18</f>
        <v>1500</v>
      </c>
      <c r="G38" s="1"/>
      <c r="H38" s="52"/>
      <c r="I38" s="1"/>
      <c r="J38" s="1"/>
      <c r="K38" s="1"/>
      <c r="L38" s="1"/>
      <c r="M38" s="1"/>
      <c r="N38" s="1"/>
    </row>
    <row r="39" spans="3:14" ht="16.8" thickTop="1" thickBot="1" x14ac:dyDescent="0.35">
      <c r="C39" s="1"/>
      <c r="E39" s="107" t="s">
        <v>130</v>
      </c>
      <c r="F39" s="653">
        <v>0</v>
      </c>
      <c r="G39" s="1"/>
      <c r="H39" s="52"/>
      <c r="I39" s="1"/>
      <c r="J39" s="1"/>
      <c r="K39" s="1"/>
      <c r="L39" s="1"/>
      <c r="M39" s="1"/>
      <c r="N39" s="1"/>
    </row>
    <row r="40" spans="3:14" ht="16.8" thickTop="1" thickBot="1" x14ac:dyDescent="0.35">
      <c r="C40" s="1"/>
      <c r="E40" s="107" t="s">
        <v>131</v>
      </c>
      <c r="F40" s="653">
        <v>0</v>
      </c>
      <c r="G40" s="1"/>
      <c r="H40" s="52"/>
      <c r="I40" s="1"/>
      <c r="J40" s="1"/>
      <c r="K40" s="1"/>
      <c r="L40" s="1"/>
      <c r="M40" s="1"/>
      <c r="N40" s="1"/>
    </row>
    <row r="41" spans="3:14" ht="16.2" thickTop="1" x14ac:dyDescent="0.3">
      <c r="C41" s="1"/>
      <c r="E41" s="107" t="s">
        <v>132</v>
      </c>
      <c r="F41" s="112">
        <f>F27*0.05</f>
        <v>3180</v>
      </c>
      <c r="G41" s="1"/>
      <c r="H41" s="52"/>
      <c r="I41" s="1"/>
      <c r="J41" s="1"/>
      <c r="K41" s="1"/>
      <c r="L41" s="1"/>
      <c r="M41" s="1"/>
      <c r="N41" s="1"/>
    </row>
    <row r="42" spans="3:14" ht="16.2" thickBot="1" x14ac:dyDescent="0.35">
      <c r="C42" s="1"/>
      <c r="E42" s="107" t="s">
        <v>133</v>
      </c>
      <c r="F42" s="108">
        <v>0</v>
      </c>
      <c r="G42" s="1"/>
      <c r="H42" s="52"/>
      <c r="I42" s="1"/>
      <c r="J42" s="1"/>
      <c r="K42" s="1"/>
      <c r="L42" s="1"/>
      <c r="M42" s="1"/>
      <c r="N42" s="1"/>
    </row>
    <row r="43" spans="3:14" ht="16.8" thickTop="1" thickBot="1" x14ac:dyDescent="0.35">
      <c r="C43" s="1"/>
      <c r="E43" s="113" t="s">
        <v>134</v>
      </c>
      <c r="F43" s="653">
        <v>0</v>
      </c>
      <c r="G43" s="1"/>
      <c r="H43" s="111"/>
      <c r="I43" s="1"/>
      <c r="J43" s="1"/>
      <c r="K43" s="1"/>
      <c r="L43" s="1"/>
      <c r="M43" s="1"/>
      <c r="N43" s="1"/>
    </row>
    <row r="44" spans="3:14" ht="16.2" thickBot="1" x14ac:dyDescent="0.35">
      <c r="C44" s="1"/>
      <c r="E44" s="273" t="s">
        <v>241</v>
      </c>
      <c r="F44" s="274">
        <f>F32+F34+F35+F37+F38+F39+F40+F41+F42+F43</f>
        <v>26156.089249411765</v>
      </c>
      <c r="G44" s="1"/>
      <c r="H44" s="111"/>
      <c r="I44" s="1"/>
      <c r="J44" s="1"/>
      <c r="K44" s="1"/>
      <c r="L44" s="1"/>
      <c r="M44" s="1"/>
      <c r="N44" s="1"/>
    </row>
    <row r="45" spans="3:14" x14ac:dyDescent="0.3">
      <c r="C45" s="1"/>
      <c r="E45" s="229" t="s">
        <v>135</v>
      </c>
      <c r="F45" s="230">
        <f>F27-F44</f>
        <v>37443.910750588235</v>
      </c>
      <c r="G45" s="1"/>
      <c r="H45" s="111"/>
      <c r="I45" s="1"/>
      <c r="J45" s="1"/>
      <c r="K45" s="1"/>
      <c r="L45" s="1"/>
      <c r="M45" s="1"/>
      <c r="N45" s="1"/>
    </row>
    <row r="46" spans="3:14" ht="16.2" thickBot="1" x14ac:dyDescent="0.35">
      <c r="C46" s="1"/>
      <c r="E46" s="231" t="s">
        <v>138</v>
      </c>
      <c r="F46" s="232">
        <f>F30</f>
        <v>98158.803493278436</v>
      </c>
      <c r="G46" s="1"/>
      <c r="H46" s="111"/>
      <c r="I46" s="1"/>
      <c r="J46" s="1"/>
      <c r="K46" s="1"/>
      <c r="L46" s="1"/>
      <c r="M46" s="1"/>
      <c r="N46" s="1"/>
    </row>
    <row r="47" spans="3:14" ht="16.2" thickBot="1" x14ac:dyDescent="0.35">
      <c r="C47" s="1"/>
      <c r="E47" s="114" t="s">
        <v>136</v>
      </c>
      <c r="F47" s="233">
        <f>F45-F46</f>
        <v>-60714.892742690201</v>
      </c>
      <c r="G47" s="1"/>
      <c r="H47" s="111"/>
      <c r="I47" s="1"/>
      <c r="J47" s="1"/>
      <c r="K47" s="1"/>
      <c r="L47" s="1"/>
      <c r="M47" s="1"/>
      <c r="N47" s="1"/>
    </row>
    <row r="48" spans="3:14" ht="16.2" thickBot="1" x14ac:dyDescent="0.35">
      <c r="C48" s="1"/>
      <c r="E48" s="115" t="s">
        <v>137</v>
      </c>
      <c r="F48" s="116">
        <f>F47/12</f>
        <v>-5059.5743952241837</v>
      </c>
      <c r="G48" s="1"/>
      <c r="H48" s="111"/>
      <c r="I48" s="1"/>
      <c r="J48" s="1"/>
      <c r="K48" s="1"/>
      <c r="L48" s="1"/>
      <c r="M48" s="1"/>
      <c r="N48" s="1"/>
    </row>
    <row r="49" spans="3:15" ht="16.2" thickBot="1" x14ac:dyDescent="0.35">
      <c r="C49" s="1"/>
      <c r="E49" s="1"/>
      <c r="F49" s="117"/>
      <c r="G49" s="1"/>
      <c r="H49" s="111"/>
      <c r="I49" s="89"/>
      <c r="J49" s="89"/>
      <c r="K49" s="89"/>
      <c r="L49" s="89"/>
      <c r="M49" s="1"/>
      <c r="N49" s="1"/>
    </row>
    <row r="50" spans="3:15" ht="16.2" thickBot="1" x14ac:dyDescent="0.35">
      <c r="C50" s="1"/>
      <c r="E50" s="118" t="s">
        <v>139</v>
      </c>
      <c r="F50" s="119">
        <f>3000+(F17-100000)*7%</f>
        <v>136000</v>
      </c>
      <c r="G50" s="1"/>
      <c r="H50" s="111"/>
      <c r="I50" s="1"/>
      <c r="J50" s="1"/>
      <c r="K50" s="1"/>
      <c r="L50" s="1"/>
      <c r="M50" s="1"/>
      <c r="N50" s="1"/>
    </row>
    <row r="51" spans="3:15" x14ac:dyDescent="0.3">
      <c r="C51" s="1"/>
      <c r="E51" s="1"/>
      <c r="F51" s="117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E52" s="1"/>
      <c r="F52" s="117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E53" s="1"/>
      <c r="F53" s="117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3">
      <c r="C54" s="1"/>
      <c r="E54" s="1"/>
      <c r="F54" s="117"/>
      <c r="G54" s="1"/>
      <c r="H54" s="1"/>
      <c r="I54" s="1"/>
      <c r="J54" s="1"/>
      <c r="K54" s="1"/>
      <c r="L54" s="1"/>
      <c r="M54" s="1"/>
      <c r="N54" s="1"/>
      <c r="O54" s="1"/>
    </row>
    <row r="55" spans="3:15" ht="21" customHeight="1" x14ac:dyDescent="0.3"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ht="14.4" x14ac:dyDescent="0.3"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15" ht="14.4" x14ac:dyDescent="0.3"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3:15" ht="14.4" x14ac:dyDescent="0.3"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ht="16.5" customHeight="1" x14ac:dyDescent="0.3"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3:15" ht="14.4" x14ac:dyDescent="0.3"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x14ac:dyDescent="0.3">
      <c r="C61" s="1"/>
      <c r="E61" s="1"/>
      <c r="F61" s="117"/>
      <c r="G61" s="1"/>
      <c r="H61" s="52"/>
      <c r="I61" s="1"/>
      <c r="J61" s="1"/>
      <c r="K61" s="1"/>
      <c r="L61" s="1"/>
      <c r="M61" s="1"/>
      <c r="N61" s="1"/>
      <c r="O61" s="1"/>
    </row>
    <row r="62" spans="3:15" x14ac:dyDescent="0.3">
      <c r="C62" s="1"/>
      <c r="G62" s="1"/>
      <c r="H62" s="52"/>
      <c r="I62" s="1"/>
      <c r="J62" s="1"/>
      <c r="K62" s="1"/>
      <c r="L62" s="1"/>
      <c r="M62" s="1"/>
      <c r="N62" s="1"/>
      <c r="O62" s="1"/>
    </row>
    <row r="63" spans="3:15" ht="14.4" x14ac:dyDescent="0.3"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ht="14.4" x14ac:dyDescent="0.3"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3:15" ht="14.4" x14ac:dyDescent="0.3"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3:15" ht="14.4" x14ac:dyDescent="0.3"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15" ht="14.4" x14ac:dyDescent="0.3"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3:15" ht="14.4" x14ac:dyDescent="0.3"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3:15" ht="14.4" x14ac:dyDescent="0.3"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ht="14.4" x14ac:dyDescent="0.3"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3:15" ht="14.4" x14ac:dyDescent="0.3"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3:15" ht="14.4" x14ac:dyDescent="0.3"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3:15" ht="14.4" x14ac:dyDescent="0.3"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3:15" ht="14.4" x14ac:dyDescent="0.3"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 ht="14.4" x14ac:dyDescent="0.3"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3:15" ht="14.4" x14ac:dyDescent="0.3"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3:15" ht="14.4" x14ac:dyDescent="0.3"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15" ht="14.4" x14ac:dyDescent="0.3"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3:15" ht="14.4" x14ac:dyDescent="0.3"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3:15" ht="14.4" x14ac:dyDescent="0.3"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3:15" ht="14.4" x14ac:dyDescent="0.3"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ht="14.4" x14ac:dyDescent="0.3"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ht="14.4" x14ac:dyDescent="0.3"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ht="14.4" x14ac:dyDescent="0.3"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x14ac:dyDescent="0.3">
      <c r="C85" s="1"/>
      <c r="E85" s="1"/>
      <c r="F85" s="117"/>
      <c r="G85" s="1"/>
      <c r="H85" s="52"/>
      <c r="I85" s="1"/>
      <c r="J85" s="1"/>
      <c r="K85" s="1"/>
      <c r="L85" s="1"/>
      <c r="M85" s="1"/>
      <c r="N85" s="1"/>
      <c r="O85" s="1"/>
    </row>
    <row r="86" spans="3:15" ht="14.4" x14ac:dyDescent="0.3"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ht="14.4" x14ac:dyDescent="0.3"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ht="14.4" x14ac:dyDescent="0.3"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ht="14.4" x14ac:dyDescent="0.3"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ht="14.4" x14ac:dyDescent="0.3"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ht="14.4" x14ac:dyDescent="0.3"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ht="14.4" x14ac:dyDescent="0.3"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3:15" ht="14.4" x14ac:dyDescent="0.3">
      <c r="C93" s="1"/>
      <c r="E93" s="1"/>
      <c r="F93" s="1"/>
      <c r="G93" s="1"/>
      <c r="H93" s="52"/>
      <c r="I93" s="1"/>
      <c r="J93" s="1"/>
      <c r="K93" s="1"/>
      <c r="L93" s="1"/>
      <c r="M93" s="1"/>
      <c r="N93" s="1"/>
      <c r="O93" s="1"/>
    </row>
    <row r="94" spans="3:15" ht="14.4" x14ac:dyDescent="0.3">
      <c r="C94" s="1"/>
      <c r="E94" s="1"/>
      <c r="F94" s="1"/>
      <c r="G94" s="1"/>
      <c r="H94" s="52"/>
      <c r="I94" s="1"/>
      <c r="J94" s="1"/>
      <c r="K94" s="1"/>
      <c r="L94" s="1"/>
      <c r="M94" s="1"/>
      <c r="N94" s="1"/>
      <c r="O94" s="1"/>
    </row>
    <row r="95" spans="3:15" ht="14.4" x14ac:dyDescent="0.3">
      <c r="C95" s="1"/>
      <c r="E95" s="1"/>
      <c r="F95" s="1"/>
      <c r="G95" s="1"/>
      <c r="H95" s="52"/>
      <c r="I95" s="1"/>
      <c r="J95" s="1"/>
      <c r="K95" s="1"/>
      <c r="L95" s="1"/>
      <c r="M95" s="1"/>
      <c r="N95" s="1"/>
      <c r="O95" s="1"/>
    </row>
    <row r="96" spans="3:15" ht="14.4" x14ac:dyDescent="0.3">
      <c r="C96" s="1"/>
      <c r="E96" s="1"/>
      <c r="F96" s="1"/>
      <c r="G96" s="127"/>
      <c r="H96" s="128"/>
      <c r="I96" s="1"/>
      <c r="J96" s="1"/>
      <c r="K96" s="1"/>
      <c r="L96" s="1"/>
      <c r="M96" s="1"/>
      <c r="N96" s="1"/>
      <c r="O96" s="1"/>
    </row>
    <row r="97" spans="3:15" ht="14.4" x14ac:dyDescent="0.3">
      <c r="C97" s="1"/>
      <c r="E97" s="1"/>
      <c r="F97" s="1"/>
      <c r="G97" s="127"/>
      <c r="H97" s="128"/>
      <c r="I97" s="1"/>
      <c r="J97" s="1"/>
      <c r="K97" s="1"/>
      <c r="L97" s="1"/>
      <c r="M97" s="1"/>
      <c r="N97" s="1"/>
      <c r="O97" s="1"/>
    </row>
    <row r="98" spans="3:15" ht="14.4" x14ac:dyDescent="0.3">
      <c r="C98" s="1"/>
      <c r="E98" s="1"/>
      <c r="F98" s="1"/>
      <c r="G98" s="1"/>
      <c r="H98" s="52"/>
      <c r="I98" s="1"/>
      <c r="J98" s="1"/>
      <c r="K98" s="1"/>
      <c r="L98" s="1"/>
      <c r="M98" s="1"/>
      <c r="N98" s="1"/>
      <c r="O98" s="1"/>
    </row>
    <row r="99" spans="3:15" ht="14.4" x14ac:dyDescent="0.3">
      <c r="C99" s="1"/>
      <c r="E99" s="1"/>
      <c r="F99" s="1"/>
      <c r="G99" s="1"/>
      <c r="H99" s="52"/>
      <c r="I99" s="1"/>
      <c r="J99" s="1"/>
      <c r="K99" s="1"/>
      <c r="L99" s="1"/>
      <c r="M99" s="1"/>
      <c r="N99" s="1"/>
      <c r="O99" s="1"/>
    </row>
    <row r="100" spans="3:15" ht="14.4" x14ac:dyDescent="0.3">
      <c r="C100" s="1"/>
      <c r="E100" s="1"/>
      <c r="F100" s="1"/>
      <c r="G100" s="1"/>
      <c r="H100" s="52"/>
      <c r="I100" s="1"/>
      <c r="J100" s="1"/>
      <c r="K100" s="1"/>
      <c r="L100" s="1"/>
      <c r="M100" s="1"/>
      <c r="N100" s="1"/>
      <c r="O100" s="1"/>
    </row>
    <row r="101" spans="3:15" ht="14.4" x14ac:dyDescent="0.3">
      <c r="C101" s="1"/>
      <c r="E101" s="1"/>
      <c r="F101" s="1"/>
      <c r="G101" s="1"/>
      <c r="H101" s="52"/>
      <c r="I101" s="1"/>
      <c r="J101" s="1"/>
      <c r="K101" s="1"/>
      <c r="L101" s="1"/>
      <c r="M101" s="1"/>
      <c r="N101" s="1"/>
      <c r="O101" s="1"/>
    </row>
    <row r="102" spans="3:15" ht="14.4" x14ac:dyDescent="0.3">
      <c r="C102" s="1"/>
      <c r="E102" s="1"/>
      <c r="F102" s="1"/>
      <c r="G102" s="1"/>
      <c r="H102" s="52"/>
      <c r="I102" s="1"/>
      <c r="J102" s="1"/>
      <c r="K102" s="1"/>
      <c r="L102" s="1"/>
      <c r="M102" s="1"/>
      <c r="N102" s="1"/>
      <c r="O102" s="1"/>
    </row>
    <row r="103" spans="3:15" ht="14.4" x14ac:dyDescent="0.3">
      <c r="C103" s="1"/>
      <c r="E103" s="1"/>
      <c r="F103" s="1"/>
      <c r="G103" s="1"/>
      <c r="H103" s="52"/>
      <c r="I103" s="1"/>
      <c r="J103" s="1"/>
      <c r="K103" s="1"/>
      <c r="L103" s="1"/>
      <c r="M103" s="1"/>
      <c r="N103" s="1"/>
      <c r="O103" s="1"/>
    </row>
    <row r="104" spans="3:15" ht="14.4" x14ac:dyDescent="0.3">
      <c r="C104" s="1"/>
      <c r="E104" s="1"/>
      <c r="F104" s="1"/>
      <c r="G104" s="1"/>
      <c r="H104" s="52"/>
      <c r="I104" s="1"/>
      <c r="J104" s="1"/>
      <c r="K104" s="1"/>
      <c r="L104" s="1"/>
      <c r="M104" s="1"/>
      <c r="N104" s="1"/>
      <c r="O104" s="1"/>
    </row>
    <row r="105" spans="3:15" ht="14.4" x14ac:dyDescent="0.3">
      <c r="C105" s="1"/>
      <c r="E105" s="1"/>
      <c r="F105" s="1"/>
      <c r="G105" s="1"/>
      <c r="H105" s="52"/>
      <c r="I105" s="1"/>
      <c r="J105" s="1"/>
      <c r="K105" s="1"/>
      <c r="L105" s="1"/>
      <c r="M105" s="1"/>
      <c r="N105" s="1"/>
      <c r="O105" s="1"/>
    </row>
    <row r="106" spans="3:15" ht="14.4" x14ac:dyDescent="0.3">
      <c r="C106" s="1"/>
      <c r="E106" s="1"/>
      <c r="F106" s="1"/>
      <c r="G106" s="1"/>
      <c r="H106" s="52"/>
      <c r="I106" s="1"/>
      <c r="J106" s="1"/>
      <c r="K106" s="1"/>
      <c r="L106" s="1"/>
      <c r="M106" s="1"/>
      <c r="N106" s="1"/>
      <c r="O106" s="1"/>
    </row>
    <row r="107" spans="3:15" ht="14.4" x14ac:dyDescent="0.3">
      <c r="C107" s="1"/>
      <c r="E107" s="1"/>
      <c r="F107" s="1"/>
      <c r="G107" s="1"/>
      <c r="H107" s="52"/>
      <c r="I107" s="1"/>
      <c r="J107" s="1"/>
      <c r="K107" s="1"/>
      <c r="L107" s="1"/>
      <c r="M107" s="1"/>
      <c r="N107" s="1"/>
      <c r="O107" s="1"/>
    </row>
    <row r="108" spans="3:15" ht="14.4" x14ac:dyDescent="0.3">
      <c r="C108" s="1"/>
      <c r="E108" s="1"/>
      <c r="F108" s="1"/>
      <c r="G108" s="1"/>
      <c r="H108" s="52"/>
      <c r="I108" s="1"/>
      <c r="J108" s="1"/>
      <c r="K108" s="1"/>
      <c r="L108" s="1"/>
      <c r="M108" s="1"/>
      <c r="N108" s="1"/>
      <c r="O108" s="1"/>
    </row>
    <row r="109" spans="3:15" ht="14.4" x14ac:dyDescent="0.3">
      <c r="C109" s="1"/>
      <c r="E109" s="1"/>
      <c r="F109" s="1"/>
      <c r="G109" s="1"/>
      <c r="H109" s="52"/>
      <c r="I109" s="1"/>
      <c r="J109" s="1"/>
      <c r="K109" s="1"/>
      <c r="L109" s="1"/>
      <c r="M109" s="1"/>
      <c r="N109" s="1"/>
      <c r="O109" s="1"/>
    </row>
    <row r="110" spans="3:15" ht="14.4" x14ac:dyDescent="0.3">
      <c r="C110" s="1"/>
      <c r="E110" s="1"/>
      <c r="F110" s="1"/>
      <c r="G110" s="1"/>
      <c r="H110" s="52"/>
      <c r="I110" s="1"/>
      <c r="J110" s="1"/>
      <c r="K110" s="1"/>
      <c r="L110" s="1"/>
      <c r="M110" s="1"/>
      <c r="N110" s="1"/>
      <c r="O110" s="1"/>
    </row>
    <row r="111" spans="3:15" ht="14.4" x14ac:dyDescent="0.3">
      <c r="C111" s="1"/>
      <c r="E111" s="1"/>
      <c r="F111" s="1"/>
      <c r="G111" s="1"/>
      <c r="H111" s="52"/>
      <c r="I111" s="1"/>
      <c r="J111" s="1"/>
      <c r="K111" s="1"/>
      <c r="L111" s="1"/>
      <c r="M111" s="1"/>
      <c r="N111" s="1"/>
      <c r="O111" s="1"/>
    </row>
    <row r="112" spans="3:15" ht="14.4" x14ac:dyDescent="0.3">
      <c r="C112" s="1"/>
      <c r="E112" s="1"/>
      <c r="F112" s="1"/>
      <c r="G112" s="1"/>
      <c r="H112" s="52"/>
      <c r="I112" s="1"/>
      <c r="J112" s="1"/>
      <c r="K112" s="1"/>
      <c r="L112" s="1"/>
      <c r="M112" s="1"/>
      <c r="N112" s="1"/>
      <c r="O112" s="1"/>
    </row>
    <row r="113" spans="3:15" ht="14.4" x14ac:dyDescent="0.3">
      <c r="C113" s="1"/>
      <c r="E113" s="1"/>
      <c r="F113" s="1"/>
      <c r="G113" s="1"/>
      <c r="H113" s="52"/>
      <c r="I113" s="1"/>
      <c r="J113" s="1"/>
      <c r="K113" s="1"/>
      <c r="L113" s="1"/>
      <c r="M113" s="1"/>
      <c r="N113" s="1"/>
      <c r="O113" s="1"/>
    </row>
    <row r="114" spans="3:15" ht="14.4" x14ac:dyDescent="0.3">
      <c r="C114" s="1"/>
      <c r="E114" s="1"/>
      <c r="F114" s="1"/>
      <c r="G114" s="1"/>
      <c r="H114" s="52"/>
      <c r="I114" s="1"/>
      <c r="J114" s="1"/>
      <c r="K114" s="1"/>
      <c r="L114" s="1"/>
      <c r="M114" s="1"/>
      <c r="N114" s="1"/>
      <c r="O114" s="1"/>
    </row>
    <row r="115" spans="3:15" ht="14.4" x14ac:dyDescent="0.3">
      <c r="C115" s="1"/>
      <c r="E115" s="1"/>
      <c r="F115" s="1"/>
      <c r="G115" s="1"/>
      <c r="H115" s="52"/>
      <c r="I115" s="1"/>
      <c r="J115" s="1"/>
      <c r="K115" s="1"/>
      <c r="L115" s="1"/>
      <c r="M115" s="1"/>
      <c r="N115" s="1"/>
      <c r="O115" s="1"/>
    </row>
    <row r="116" spans="3:15" ht="14.4" x14ac:dyDescent="0.3">
      <c r="C116" s="1"/>
      <c r="E116" s="1"/>
      <c r="F116" s="1"/>
      <c r="G116" s="1"/>
      <c r="H116" s="52"/>
      <c r="I116" s="1"/>
      <c r="J116" s="1"/>
      <c r="K116" s="1"/>
      <c r="L116" s="1"/>
      <c r="M116" s="1"/>
      <c r="N116" s="1"/>
      <c r="O116" s="1"/>
    </row>
    <row r="117" spans="3:15" ht="14.4" x14ac:dyDescent="0.3">
      <c r="C117" s="1"/>
      <c r="E117" s="1"/>
      <c r="F117" s="1"/>
      <c r="G117" s="1"/>
      <c r="H117" s="52"/>
      <c r="I117" s="1"/>
      <c r="J117" s="1"/>
      <c r="K117" s="1"/>
      <c r="L117" s="1"/>
      <c r="M117" s="1"/>
      <c r="N117" s="1"/>
      <c r="O117" s="1"/>
    </row>
    <row r="118" spans="3:15" ht="14.4" x14ac:dyDescent="0.3">
      <c r="C118" s="1"/>
      <c r="E118" s="1"/>
      <c r="F118" s="1"/>
      <c r="G118" s="1"/>
      <c r="H118" s="52"/>
      <c r="I118" s="1"/>
      <c r="J118" s="1"/>
      <c r="K118" s="1"/>
      <c r="L118" s="1"/>
      <c r="M118" s="1"/>
      <c r="N118" s="1"/>
      <c r="O118" s="1"/>
    </row>
    <row r="119" spans="3:15" ht="14.4" x14ac:dyDescent="0.3">
      <c r="C119" s="1"/>
      <c r="E119" s="1"/>
      <c r="F119" s="1"/>
      <c r="G119" s="1"/>
      <c r="H119" s="52"/>
      <c r="I119" s="1"/>
      <c r="J119" s="1"/>
      <c r="K119" s="1"/>
      <c r="L119" s="1"/>
      <c r="M119" s="1"/>
      <c r="N119" s="1"/>
      <c r="O119" s="1"/>
    </row>
    <row r="120" spans="3:15" ht="14.4" x14ac:dyDescent="0.3">
      <c r="C120" s="1"/>
      <c r="E120" s="1"/>
      <c r="F120" s="1"/>
      <c r="G120" s="1"/>
      <c r="H120" s="52"/>
      <c r="I120" s="1"/>
      <c r="J120" s="1"/>
      <c r="K120" s="1"/>
      <c r="L120" s="1"/>
      <c r="M120" s="1"/>
      <c r="N120" s="1"/>
      <c r="O120" s="1"/>
    </row>
    <row r="121" spans="3:15" x14ac:dyDescent="0.3">
      <c r="C121" s="1"/>
      <c r="E121" s="1"/>
      <c r="F121" s="117"/>
      <c r="G121" s="1"/>
      <c r="H121" s="52"/>
      <c r="I121" s="1"/>
      <c r="J121" s="1"/>
      <c r="K121" s="1"/>
      <c r="L121" s="1"/>
      <c r="M121" s="1"/>
      <c r="N121" s="1"/>
      <c r="O121" s="1"/>
    </row>
    <row r="122" spans="3:15" ht="14.4" x14ac:dyDescent="0.3">
      <c r="C122" s="1"/>
      <c r="E122" s="1"/>
      <c r="F122" s="1"/>
      <c r="G122" s="1"/>
      <c r="H122" s="52"/>
      <c r="I122" s="1"/>
      <c r="J122" s="1"/>
      <c r="K122" s="1"/>
      <c r="L122" s="1"/>
      <c r="M122" s="1"/>
      <c r="N122" s="1"/>
      <c r="O122" s="1"/>
    </row>
    <row r="123" spans="3:15" ht="14.4" x14ac:dyDescent="0.3">
      <c r="C123" s="1"/>
      <c r="E123" s="1"/>
      <c r="F123" s="1"/>
      <c r="G123" s="1"/>
      <c r="H123" s="52"/>
      <c r="I123" s="1"/>
      <c r="J123" s="1"/>
      <c r="K123" s="1"/>
      <c r="L123" s="1"/>
      <c r="M123" s="1"/>
      <c r="N123" s="1"/>
      <c r="O123" s="1"/>
    </row>
    <row r="124" spans="3:15" ht="14.4" x14ac:dyDescent="0.3">
      <c r="C124" s="1"/>
      <c r="E124" s="1"/>
      <c r="F124" s="1"/>
      <c r="G124" s="1"/>
      <c r="H124" s="52"/>
      <c r="I124" s="1"/>
      <c r="J124" s="1"/>
      <c r="K124" s="1"/>
      <c r="L124" s="1"/>
      <c r="M124" s="1"/>
      <c r="N124" s="1"/>
      <c r="O124" s="1"/>
    </row>
    <row r="125" spans="3:15" ht="14.4" x14ac:dyDescent="0.3">
      <c r="C125" s="1"/>
      <c r="E125" s="1"/>
      <c r="F125" s="1"/>
      <c r="G125" s="1"/>
      <c r="H125" s="52"/>
      <c r="I125" s="1"/>
      <c r="J125" s="1"/>
      <c r="K125" s="1"/>
      <c r="L125" s="1"/>
      <c r="M125" s="1"/>
      <c r="N125" s="1"/>
      <c r="O125" s="1"/>
    </row>
    <row r="126" spans="3:15" ht="14.4" hidden="1" x14ac:dyDescent="0.3">
      <c r="C126" s="1"/>
      <c r="E126" s="1"/>
      <c r="F126" s="1"/>
      <c r="G126" s="1"/>
      <c r="H126" s="52"/>
      <c r="I126" s="1"/>
      <c r="J126" s="1"/>
      <c r="K126" s="1"/>
      <c r="L126" s="1"/>
      <c r="M126" s="1"/>
      <c r="N126" s="1"/>
      <c r="O126" s="1"/>
    </row>
    <row r="127" spans="3:15" ht="14.4" hidden="1" x14ac:dyDescent="0.3">
      <c r="C127" s="1"/>
      <c r="E127" s="1"/>
      <c r="F127" s="1"/>
      <c r="G127" s="1"/>
      <c r="H127" s="52"/>
      <c r="I127" s="1"/>
      <c r="J127" s="1"/>
      <c r="K127" s="1"/>
      <c r="L127" s="1"/>
      <c r="M127" s="1"/>
      <c r="N127" s="1"/>
      <c r="O127" s="1"/>
    </row>
    <row r="128" spans="3:15" ht="14.4" hidden="1" x14ac:dyDescent="0.3">
      <c r="C128" s="1"/>
      <c r="E128" s="1"/>
      <c r="F128" s="1"/>
      <c r="G128" s="1"/>
      <c r="H128" s="52"/>
      <c r="I128" s="1"/>
      <c r="J128" s="1"/>
      <c r="K128" s="1"/>
      <c r="L128" s="1"/>
      <c r="M128" s="1"/>
      <c r="N128" s="1"/>
      <c r="O128" s="1"/>
    </row>
    <row r="129" spans="3:12" ht="14.4" hidden="1" x14ac:dyDescent="0.3">
      <c r="C129" s="1"/>
      <c r="E129" s="1"/>
      <c r="F129" s="1"/>
      <c r="G129" s="1"/>
      <c r="H129" s="52"/>
      <c r="I129" s="1"/>
      <c r="J129" s="1"/>
      <c r="K129" s="1"/>
      <c r="L129" s="1"/>
    </row>
    <row r="130" spans="3:12" ht="14.4" hidden="1" x14ac:dyDescent="0.3">
      <c r="C130" s="1"/>
      <c r="E130" s="1"/>
      <c r="F130" s="1"/>
      <c r="G130" s="1"/>
      <c r="H130" s="52"/>
      <c r="I130" s="1"/>
    </row>
    <row r="131" spans="3:12" ht="14.4" hidden="1" x14ac:dyDescent="0.3">
      <c r="C131" s="1"/>
      <c r="E131" s="1"/>
      <c r="F131" s="1"/>
      <c r="G131" s="1"/>
      <c r="H131" s="52"/>
      <c r="I131" s="1"/>
      <c r="J131" s="1"/>
      <c r="K131" s="1"/>
    </row>
    <row r="132" spans="3:12" ht="14.4" hidden="1" x14ac:dyDescent="0.3">
      <c r="C132" s="1"/>
      <c r="E132" s="1"/>
      <c r="F132" s="1"/>
      <c r="G132" s="1"/>
      <c r="H132" s="52"/>
      <c r="I132" s="1"/>
      <c r="J132" s="1"/>
      <c r="K132" s="1"/>
    </row>
    <row r="133" spans="3:12" ht="14.4" hidden="1" x14ac:dyDescent="0.3">
      <c r="C133" s="1"/>
      <c r="E133" s="1"/>
      <c r="F133" s="1"/>
      <c r="G133" s="1"/>
      <c r="H133" s="52"/>
      <c r="I133" s="1"/>
      <c r="J133" s="1"/>
      <c r="K133" s="1"/>
    </row>
    <row r="134" spans="3:12" ht="14.4" hidden="1" x14ac:dyDescent="0.3">
      <c r="C134" s="1"/>
      <c r="E134" s="1"/>
      <c r="F134" s="1"/>
      <c r="G134" s="1"/>
      <c r="H134" s="52"/>
      <c r="I134" s="1"/>
      <c r="J134" s="1"/>
      <c r="K134" s="1"/>
    </row>
    <row r="135" spans="3:12" ht="14.4" hidden="1" x14ac:dyDescent="0.3">
      <c r="C135" s="1"/>
      <c r="E135" s="1"/>
      <c r="F135" s="1"/>
      <c r="G135" s="1"/>
      <c r="H135" s="52"/>
      <c r="I135" s="1"/>
      <c r="J135" s="1"/>
      <c r="K135" s="1"/>
    </row>
    <row r="136" spans="3:12" ht="14.4" hidden="1" x14ac:dyDescent="0.3">
      <c r="C136" s="1"/>
      <c r="E136" s="1"/>
      <c r="F136" s="1"/>
      <c r="G136" s="1"/>
      <c r="H136" s="52"/>
      <c r="I136" s="1"/>
      <c r="J136" s="1"/>
      <c r="K136" s="1"/>
    </row>
    <row r="137" spans="3:12" ht="14.4" hidden="1" x14ac:dyDescent="0.3">
      <c r="C137" s="1"/>
      <c r="E137" s="1"/>
      <c r="F137" s="1"/>
      <c r="G137" s="1"/>
      <c r="H137" s="52"/>
      <c r="I137" s="1"/>
      <c r="J137" s="1"/>
      <c r="K137" s="1"/>
    </row>
    <row r="138" spans="3:12" ht="14.4" hidden="1" x14ac:dyDescent="0.3">
      <c r="C138" s="1"/>
      <c r="E138" s="1"/>
      <c r="F138" s="1"/>
      <c r="G138" s="1"/>
      <c r="H138" s="52"/>
      <c r="I138" s="1"/>
      <c r="J138" s="1"/>
      <c r="K138" s="1"/>
    </row>
    <row r="139" spans="3:12" ht="14.4" hidden="1" x14ac:dyDescent="0.3">
      <c r="C139" s="1"/>
      <c r="E139" s="1"/>
      <c r="F139" s="1"/>
      <c r="G139" s="1"/>
      <c r="H139" s="52"/>
      <c r="I139" s="1"/>
      <c r="J139" s="1"/>
      <c r="K139" s="1"/>
    </row>
    <row r="140" spans="3:12" ht="14.4" hidden="1" x14ac:dyDescent="0.3">
      <c r="C140" s="1"/>
      <c r="E140" s="1"/>
      <c r="F140" s="1"/>
      <c r="G140" s="1"/>
      <c r="H140" s="52"/>
      <c r="I140" s="1"/>
      <c r="J140" s="1"/>
      <c r="K140" s="1"/>
    </row>
    <row r="141" spans="3:12" ht="14.4" hidden="1" x14ac:dyDescent="0.3">
      <c r="C141" s="1"/>
      <c r="E141" s="1"/>
      <c r="F141" s="1"/>
      <c r="G141" s="1"/>
      <c r="H141" s="52"/>
      <c r="I141" s="1"/>
      <c r="J141" s="1"/>
      <c r="K141" s="1"/>
    </row>
    <row r="142" spans="3:12" hidden="1" x14ac:dyDescent="0.3">
      <c r="C142" s="1"/>
      <c r="E142" s="1"/>
      <c r="F142" s="117"/>
      <c r="G142" s="1"/>
      <c r="H142" s="52"/>
      <c r="I142" s="1"/>
      <c r="J142" s="1"/>
      <c r="K142" s="1"/>
    </row>
    <row r="143" spans="3:12" hidden="1" x14ac:dyDescent="0.3">
      <c r="C143" s="1"/>
      <c r="E143" s="1"/>
      <c r="F143" s="117"/>
      <c r="G143" s="1"/>
      <c r="H143" s="52"/>
      <c r="I143" s="1"/>
      <c r="J143" s="1"/>
      <c r="K143" s="1"/>
    </row>
    <row r="144" spans="3:12" hidden="1" x14ac:dyDescent="0.3">
      <c r="C144" s="1"/>
      <c r="E144" s="1"/>
      <c r="F144" s="117"/>
      <c r="G144" s="1"/>
      <c r="H144" s="52"/>
      <c r="I144" s="1"/>
      <c r="J144" s="1"/>
      <c r="K144" s="1"/>
    </row>
    <row r="145" spans="3:11" hidden="1" x14ac:dyDescent="0.3">
      <c r="C145" s="1"/>
      <c r="E145" s="1"/>
      <c r="F145" s="117"/>
      <c r="G145" s="1"/>
      <c r="H145" s="52"/>
      <c r="I145" s="1"/>
      <c r="J145" s="1"/>
      <c r="K145" s="1"/>
    </row>
    <row r="146" spans="3:11" hidden="1" x14ac:dyDescent="0.3">
      <c r="C146" s="1"/>
      <c r="E146" s="1"/>
      <c r="F146" s="117"/>
      <c r="G146" s="1"/>
      <c r="H146" s="52"/>
      <c r="I146" s="1"/>
      <c r="J146" s="1"/>
      <c r="K146" s="1"/>
    </row>
    <row r="147" spans="3:11" hidden="1" x14ac:dyDescent="0.3">
      <c r="C147" s="1"/>
      <c r="E147" s="1"/>
      <c r="F147" s="117"/>
      <c r="G147" s="1"/>
      <c r="H147" s="52"/>
      <c r="I147" s="1"/>
      <c r="J147" s="1"/>
      <c r="K147" s="1"/>
    </row>
    <row r="148" spans="3:11" hidden="1" x14ac:dyDescent="0.3">
      <c r="C148" s="158"/>
      <c r="E148" s="158"/>
      <c r="F148" s="159"/>
      <c r="G148" s="158"/>
      <c r="H148" s="160"/>
      <c r="I148" s="158"/>
      <c r="J148" s="158"/>
      <c r="K148" s="158"/>
    </row>
    <row r="149" spans="3:11" hidden="1" x14ac:dyDescent="0.3">
      <c r="C149" s="158"/>
      <c r="E149" s="158"/>
      <c r="F149" s="159"/>
      <c r="G149" s="158"/>
      <c r="H149" s="160"/>
      <c r="I149" s="158"/>
      <c r="J149" s="158"/>
      <c r="K149" s="158"/>
    </row>
    <row r="150" spans="3:11" hidden="1" x14ac:dyDescent="0.3">
      <c r="C150" s="158"/>
      <c r="E150" s="158"/>
      <c r="F150" s="159"/>
      <c r="G150" s="158"/>
      <c r="H150" s="160"/>
      <c r="I150" s="158"/>
      <c r="J150" s="158"/>
      <c r="K150" s="158"/>
    </row>
    <row r="151" spans="3:11" hidden="1" x14ac:dyDescent="0.3">
      <c r="C151" s="158"/>
      <c r="E151" s="158"/>
      <c r="F151" s="159"/>
      <c r="G151" s="158"/>
      <c r="H151" s="160"/>
      <c r="I151" s="158"/>
      <c r="J151" s="158"/>
      <c r="K151" s="158"/>
    </row>
    <row r="152" spans="3:11" hidden="1" x14ac:dyDescent="0.3">
      <c r="C152" s="158"/>
      <c r="E152" s="158"/>
      <c r="F152" s="159"/>
      <c r="G152" s="158"/>
      <c r="H152" s="160"/>
      <c r="I152" s="158"/>
      <c r="J152" s="158"/>
      <c r="K152" s="158"/>
    </row>
    <row r="153" spans="3:11" hidden="1" x14ac:dyDescent="0.3">
      <c r="C153" s="158"/>
      <c r="E153" s="158"/>
      <c r="F153" s="159"/>
      <c r="G153" s="158"/>
      <c r="H153" s="160"/>
      <c r="I153" s="158"/>
      <c r="J153" s="158"/>
      <c r="K153" s="158"/>
    </row>
    <row r="154" spans="3:11" hidden="1" x14ac:dyDescent="0.3">
      <c r="C154" s="158"/>
      <c r="E154" s="158"/>
      <c r="F154" s="159"/>
      <c r="G154" s="158"/>
      <c r="H154" s="160"/>
      <c r="I154" s="158"/>
      <c r="J154" s="158"/>
      <c r="K154" s="158"/>
    </row>
    <row r="155" spans="3:11" hidden="1" x14ac:dyDescent="0.3">
      <c r="C155" s="158"/>
      <c r="E155" s="158"/>
      <c r="F155" s="159"/>
      <c r="G155" s="158"/>
      <c r="H155" s="160"/>
      <c r="I155" s="158"/>
      <c r="J155" s="158"/>
      <c r="K155" s="158"/>
    </row>
    <row r="156" spans="3:11" hidden="1" x14ac:dyDescent="0.3">
      <c r="C156" s="158"/>
      <c r="E156" s="158"/>
      <c r="F156" s="159"/>
      <c r="G156" s="158"/>
      <c r="H156" s="160"/>
      <c r="I156" s="158"/>
      <c r="J156" s="158"/>
      <c r="K156" s="158"/>
    </row>
    <row r="157" spans="3:11" hidden="1" x14ac:dyDescent="0.3">
      <c r="C157" s="158"/>
      <c r="E157" s="158"/>
      <c r="F157" s="159"/>
      <c r="G157" s="158"/>
      <c r="H157" s="160"/>
      <c r="I157" s="158"/>
      <c r="J157" s="158"/>
      <c r="K157" s="158"/>
    </row>
    <row r="158" spans="3:11" hidden="1" x14ac:dyDescent="0.3">
      <c r="C158" s="158"/>
      <c r="E158" s="158"/>
      <c r="F158" s="159"/>
      <c r="G158" s="158"/>
      <c r="H158" s="160"/>
      <c r="I158" s="158"/>
      <c r="J158" s="158"/>
      <c r="K158" s="158"/>
    </row>
    <row r="159" spans="3:11" hidden="1" x14ac:dyDescent="0.3">
      <c r="C159" s="158"/>
      <c r="E159" s="158"/>
      <c r="F159" s="159"/>
      <c r="G159" s="158"/>
      <c r="H159" s="160"/>
      <c r="I159" s="158"/>
      <c r="J159" s="158"/>
      <c r="K159" s="158"/>
    </row>
    <row r="160" spans="3:11" hidden="1" x14ac:dyDescent="0.3">
      <c r="C160" s="158"/>
      <c r="E160" s="158"/>
      <c r="F160" s="159"/>
      <c r="G160" s="158"/>
      <c r="H160" s="160"/>
      <c r="I160" s="158"/>
      <c r="J160" s="158"/>
      <c r="K160" s="158"/>
    </row>
    <row r="161" spans="3:11" hidden="1" x14ac:dyDescent="0.3">
      <c r="C161" s="158"/>
      <c r="E161" s="158"/>
      <c r="F161" s="159"/>
      <c r="G161" s="158"/>
      <c r="H161" s="160"/>
      <c r="I161" s="158"/>
      <c r="J161" s="158"/>
      <c r="K161" s="158"/>
    </row>
    <row r="162" spans="3:11" hidden="1" x14ac:dyDescent="0.3">
      <c r="C162" s="158"/>
      <c r="E162" s="158"/>
      <c r="F162" s="159"/>
      <c r="G162" s="158"/>
      <c r="H162" s="160"/>
      <c r="I162" s="158"/>
      <c r="J162" s="158"/>
      <c r="K162" s="158"/>
    </row>
    <row r="163" spans="3:11" hidden="1" x14ac:dyDescent="0.3">
      <c r="C163" s="158"/>
      <c r="E163" s="158"/>
      <c r="F163" s="159"/>
      <c r="G163" s="158"/>
      <c r="H163" s="160"/>
      <c r="I163" s="158"/>
      <c r="J163" s="158"/>
      <c r="K163" s="158"/>
    </row>
    <row r="164" spans="3:11" hidden="1" x14ac:dyDescent="0.3">
      <c r="C164" s="158"/>
      <c r="E164" s="158"/>
      <c r="F164" s="159"/>
      <c r="G164" s="158"/>
      <c r="H164" s="160"/>
      <c r="I164" s="158"/>
      <c r="J164" s="158"/>
      <c r="K164" s="158"/>
    </row>
    <row r="165" spans="3:11" hidden="1" x14ac:dyDescent="0.3">
      <c r="C165" s="158"/>
      <c r="E165" s="158"/>
      <c r="F165" s="159"/>
      <c r="G165" s="158"/>
      <c r="H165" s="160"/>
      <c r="I165" s="158"/>
      <c r="J165" s="158"/>
      <c r="K165" s="158"/>
    </row>
    <row r="166" spans="3:11" hidden="1" x14ac:dyDescent="0.3">
      <c r="C166" s="158"/>
      <c r="E166" s="158"/>
      <c r="F166" s="159"/>
      <c r="G166" s="158"/>
      <c r="H166" s="160"/>
      <c r="I166" s="158"/>
      <c r="J166" s="158"/>
      <c r="K166" s="158"/>
    </row>
    <row r="167" spans="3:11" hidden="1" x14ac:dyDescent="0.3">
      <c r="C167" s="158"/>
      <c r="E167" s="158"/>
      <c r="F167" s="159"/>
      <c r="G167" s="158"/>
      <c r="H167" s="160"/>
      <c r="I167" s="158"/>
      <c r="J167" s="158"/>
      <c r="K167" s="158"/>
    </row>
    <row r="168" spans="3:11" hidden="1" x14ac:dyDescent="0.3">
      <c r="C168" s="158"/>
      <c r="E168" s="158"/>
      <c r="F168" s="159"/>
      <c r="G168" s="158"/>
      <c r="H168" s="160"/>
      <c r="I168" s="158"/>
      <c r="J168" s="158"/>
      <c r="K168" s="158"/>
    </row>
    <row r="169" spans="3:11" hidden="1" x14ac:dyDescent="0.3">
      <c r="C169" s="158"/>
      <c r="E169" s="158"/>
      <c r="F169" s="159"/>
      <c r="G169" s="158"/>
      <c r="H169" s="160"/>
      <c r="I169" s="158"/>
      <c r="J169" s="158"/>
      <c r="K169" s="158"/>
    </row>
    <row r="170" spans="3:11" hidden="1" x14ac:dyDescent="0.3">
      <c r="C170" s="158"/>
      <c r="E170" s="158"/>
      <c r="F170" s="159"/>
      <c r="G170" s="158"/>
      <c r="H170" s="160"/>
      <c r="I170" s="158"/>
      <c r="J170" s="158"/>
      <c r="K170" s="158"/>
    </row>
    <row r="171" spans="3:11" hidden="1" x14ac:dyDescent="0.3">
      <c r="C171" s="158"/>
      <c r="E171" s="158"/>
      <c r="F171" s="159"/>
      <c r="G171" s="158"/>
      <c r="H171" s="160"/>
      <c r="I171" s="158"/>
      <c r="J171" s="158"/>
      <c r="K171" s="158"/>
    </row>
    <row r="172" spans="3:11" hidden="1" x14ac:dyDescent="0.3">
      <c r="C172" s="158"/>
      <c r="E172" s="158"/>
      <c r="F172" s="159"/>
      <c r="G172" s="158"/>
      <c r="H172" s="160"/>
      <c r="I172" s="158"/>
      <c r="J172" s="158"/>
      <c r="K172" s="158"/>
    </row>
    <row r="173" spans="3:11" hidden="1" x14ac:dyDescent="0.3">
      <c r="C173" s="158"/>
      <c r="E173" s="158"/>
      <c r="F173" s="159"/>
      <c r="G173" s="158"/>
      <c r="H173" s="160"/>
      <c r="I173" s="158"/>
      <c r="J173" s="158"/>
      <c r="K173" s="158"/>
    </row>
    <row r="174" spans="3:11" hidden="1" x14ac:dyDescent="0.3">
      <c r="C174" s="158"/>
      <c r="E174" s="158"/>
      <c r="F174" s="159"/>
      <c r="G174" s="158"/>
      <c r="H174" s="160"/>
      <c r="I174" s="158"/>
      <c r="J174" s="158"/>
      <c r="K174" s="158"/>
    </row>
    <row r="175" spans="3:11" hidden="1" x14ac:dyDescent="0.3">
      <c r="C175" s="158"/>
      <c r="E175" s="158"/>
      <c r="F175" s="159"/>
      <c r="G175" s="158"/>
      <c r="H175" s="160"/>
      <c r="I175" s="158"/>
      <c r="J175" s="158"/>
      <c r="K175" s="158"/>
    </row>
    <row r="176" spans="3:11" hidden="1" x14ac:dyDescent="0.3">
      <c r="C176" s="158"/>
      <c r="E176" s="158"/>
      <c r="F176" s="159"/>
      <c r="G176" s="158"/>
      <c r="H176" s="160"/>
      <c r="I176" s="158"/>
      <c r="J176" s="158"/>
      <c r="K176" s="158"/>
    </row>
    <row r="177" spans="3:11" hidden="1" x14ac:dyDescent="0.3">
      <c r="C177" s="158"/>
      <c r="E177" s="158"/>
      <c r="F177" s="159"/>
      <c r="G177" s="158"/>
      <c r="H177" s="160"/>
      <c r="I177" s="158"/>
      <c r="J177" s="158"/>
      <c r="K177" s="158"/>
    </row>
    <row r="178" spans="3:11" hidden="1" x14ac:dyDescent="0.3">
      <c r="C178" s="158"/>
      <c r="E178" s="158"/>
      <c r="F178" s="159"/>
      <c r="G178" s="158"/>
      <c r="H178" s="160"/>
      <c r="I178" s="158"/>
      <c r="J178" s="158"/>
      <c r="K178" s="158"/>
    </row>
    <row r="179" spans="3:11" hidden="1" x14ac:dyDescent="0.3">
      <c r="C179" s="158"/>
      <c r="E179" s="158"/>
      <c r="F179" s="159"/>
      <c r="G179" s="158"/>
      <c r="H179" s="160"/>
      <c r="I179" s="158"/>
      <c r="J179" s="158"/>
      <c r="K179" s="158"/>
    </row>
    <row r="180" spans="3:11" hidden="1" x14ac:dyDescent="0.3">
      <c r="C180" s="158"/>
      <c r="E180" s="158"/>
      <c r="F180" s="159"/>
      <c r="G180" s="158"/>
      <c r="H180" s="160"/>
      <c r="I180" s="158"/>
      <c r="J180" s="158"/>
      <c r="K180" s="158"/>
    </row>
    <row r="181" spans="3:11" hidden="1" x14ac:dyDescent="0.3">
      <c r="C181" s="158"/>
      <c r="E181" s="158"/>
      <c r="F181" s="159"/>
      <c r="G181" s="158"/>
      <c r="H181" s="160"/>
      <c r="I181" s="158"/>
      <c r="J181" s="158"/>
      <c r="K181" s="158"/>
    </row>
    <row r="182" spans="3:11" hidden="1" x14ac:dyDescent="0.3">
      <c r="C182" s="158"/>
      <c r="E182" s="158"/>
      <c r="F182" s="159"/>
      <c r="G182" s="158"/>
      <c r="H182" s="160"/>
      <c r="I182" s="158"/>
      <c r="J182" s="158"/>
      <c r="K182" s="158"/>
    </row>
    <row r="183" spans="3:11" hidden="1" x14ac:dyDescent="0.3">
      <c r="C183" s="158"/>
      <c r="E183" s="158"/>
      <c r="F183" s="159"/>
      <c r="G183" s="158"/>
      <c r="H183" s="160"/>
      <c r="I183" s="158"/>
      <c r="J183" s="158"/>
      <c r="K183" s="158"/>
    </row>
    <row r="184" spans="3:11" hidden="1" x14ac:dyDescent="0.3">
      <c r="C184" s="158"/>
      <c r="E184" s="158"/>
      <c r="F184" s="159"/>
      <c r="G184" s="158"/>
      <c r="H184" s="160"/>
      <c r="I184" s="158"/>
      <c r="J184" s="158"/>
      <c r="K184" s="158"/>
    </row>
    <row r="185" spans="3:11" hidden="1" x14ac:dyDescent="0.3">
      <c r="C185" s="158"/>
      <c r="E185" s="158"/>
      <c r="F185" s="159"/>
      <c r="G185" s="158"/>
      <c r="H185" s="160"/>
      <c r="I185" s="158"/>
      <c r="J185" s="158"/>
      <c r="K185" s="158"/>
    </row>
    <row r="186" spans="3:11" hidden="1" x14ac:dyDescent="0.3">
      <c r="C186" s="158"/>
      <c r="E186" s="158"/>
      <c r="F186" s="159"/>
      <c r="G186" s="158"/>
      <c r="H186" s="160"/>
      <c r="I186" s="158"/>
      <c r="J186" s="158"/>
      <c r="K186" s="158"/>
    </row>
    <row r="187" spans="3:11" hidden="1" x14ac:dyDescent="0.3">
      <c r="C187" s="158"/>
      <c r="E187" s="158"/>
      <c r="F187" s="159"/>
      <c r="G187" s="158"/>
      <c r="H187" s="160"/>
      <c r="I187" s="158"/>
      <c r="J187" s="158"/>
      <c r="K187" s="158"/>
    </row>
    <row r="188" spans="3:11" hidden="1" x14ac:dyDescent="0.3">
      <c r="C188" s="158"/>
      <c r="E188" s="158"/>
      <c r="F188" s="159"/>
      <c r="G188" s="158"/>
      <c r="H188" s="160"/>
      <c r="I188" s="158"/>
      <c r="J188" s="158"/>
      <c r="K188" s="158"/>
    </row>
    <row r="189" spans="3:11" hidden="1" x14ac:dyDescent="0.3">
      <c r="C189" s="158"/>
      <c r="E189" s="158"/>
      <c r="F189" s="159"/>
      <c r="G189" s="158"/>
      <c r="H189" s="160"/>
      <c r="I189" s="158"/>
      <c r="J189" s="158"/>
      <c r="K189" s="158"/>
    </row>
    <row r="190" spans="3:11" hidden="1" x14ac:dyDescent="0.3">
      <c r="C190" s="158"/>
      <c r="E190" s="158"/>
      <c r="F190" s="159"/>
      <c r="G190" s="158"/>
      <c r="H190" s="160"/>
      <c r="I190" s="158"/>
      <c r="J190" s="158"/>
      <c r="K190" s="158"/>
    </row>
    <row r="191" spans="3:11" hidden="1" x14ac:dyDescent="0.3">
      <c r="C191" s="158"/>
      <c r="E191" s="158"/>
      <c r="F191" s="159"/>
      <c r="G191" s="158"/>
      <c r="H191" s="160"/>
      <c r="I191" s="158"/>
      <c r="J191" s="158"/>
      <c r="K191" s="158"/>
    </row>
    <row r="192" spans="3:11" hidden="1" x14ac:dyDescent="0.3">
      <c r="C192" s="158"/>
      <c r="E192" s="158"/>
      <c r="F192" s="159"/>
      <c r="G192" s="158"/>
      <c r="H192" s="160"/>
      <c r="I192" s="158"/>
      <c r="J192" s="158"/>
      <c r="K192" s="158"/>
    </row>
    <row r="193" spans="3:11" hidden="1" x14ac:dyDescent="0.3">
      <c r="C193" s="158"/>
      <c r="E193" s="158"/>
      <c r="F193" s="159"/>
      <c r="G193" s="158"/>
      <c r="H193" s="160"/>
      <c r="I193" s="158"/>
      <c r="J193" s="158"/>
      <c r="K193" s="158"/>
    </row>
    <row r="194" spans="3:11" hidden="1" x14ac:dyDescent="0.3">
      <c r="C194" s="158"/>
      <c r="E194" s="158"/>
      <c r="F194" s="159"/>
      <c r="G194" s="158"/>
      <c r="H194" s="160"/>
      <c r="I194" s="158"/>
      <c r="J194" s="158"/>
      <c r="K194" s="158"/>
    </row>
    <row r="195" spans="3:11" hidden="1" x14ac:dyDescent="0.3">
      <c r="C195" s="158"/>
      <c r="E195" s="158"/>
      <c r="F195" s="159"/>
      <c r="G195" s="158"/>
      <c r="H195" s="160"/>
      <c r="I195" s="158"/>
      <c r="J195" s="158"/>
      <c r="K195" s="158"/>
    </row>
    <row r="196" spans="3:11" hidden="1" x14ac:dyDescent="0.3">
      <c r="C196" s="158"/>
      <c r="E196" s="158"/>
      <c r="F196" s="159"/>
      <c r="G196" s="158"/>
      <c r="H196" s="160"/>
      <c r="I196" s="158"/>
      <c r="J196" s="158"/>
      <c r="K196" s="158"/>
    </row>
    <row r="197" spans="3:11" hidden="1" x14ac:dyDescent="0.3">
      <c r="C197" s="158"/>
      <c r="E197" s="158"/>
      <c r="F197" s="159"/>
      <c r="G197" s="158"/>
      <c r="H197" s="160"/>
      <c r="I197" s="158"/>
      <c r="J197" s="158"/>
      <c r="K197" s="158"/>
    </row>
    <row r="198" spans="3:11" hidden="1" x14ac:dyDescent="0.3">
      <c r="C198" s="158"/>
      <c r="E198" s="158"/>
      <c r="F198" s="159"/>
      <c r="G198" s="158"/>
      <c r="H198" s="160"/>
      <c r="I198" s="158"/>
      <c r="J198" s="158"/>
      <c r="K198" s="158"/>
    </row>
    <row r="199" spans="3:11" hidden="1" x14ac:dyDescent="0.3">
      <c r="C199" s="158"/>
      <c r="E199" s="158"/>
      <c r="F199" s="159"/>
      <c r="G199" s="158"/>
      <c r="H199" s="160"/>
      <c r="I199" s="158"/>
      <c r="J199" s="158"/>
      <c r="K199" s="158"/>
    </row>
    <row r="200" spans="3:11" hidden="1" x14ac:dyDescent="0.3">
      <c r="C200" s="158"/>
      <c r="E200" s="158"/>
      <c r="F200" s="159"/>
      <c r="G200" s="158"/>
      <c r="H200" s="160"/>
      <c r="I200" s="158"/>
      <c r="J200" s="158"/>
      <c r="K200" s="158"/>
    </row>
    <row r="201" spans="3:11" hidden="1" x14ac:dyDescent="0.3">
      <c r="C201" s="158"/>
      <c r="E201" s="158"/>
      <c r="F201" s="159"/>
      <c r="G201" s="158"/>
      <c r="H201" s="160"/>
      <c r="I201" s="158"/>
      <c r="J201" s="158"/>
      <c r="K201" s="158"/>
    </row>
    <row r="202" spans="3:11" hidden="1" x14ac:dyDescent="0.3">
      <c r="C202" s="158"/>
      <c r="E202" s="158"/>
      <c r="F202" s="159"/>
      <c r="G202" s="158"/>
      <c r="H202" s="160"/>
      <c r="I202" s="158"/>
      <c r="J202" s="158"/>
      <c r="K202" s="158"/>
    </row>
    <row r="203" spans="3:11" hidden="1" x14ac:dyDescent="0.3">
      <c r="C203" s="158"/>
      <c r="E203" s="158"/>
      <c r="F203" s="159"/>
      <c r="G203" s="158"/>
      <c r="H203" s="160"/>
      <c r="I203" s="158"/>
      <c r="J203" s="158"/>
      <c r="K203" s="158"/>
    </row>
    <row r="204" spans="3:11" hidden="1" x14ac:dyDescent="0.3">
      <c r="C204" s="158"/>
      <c r="E204" s="158"/>
      <c r="F204" s="159"/>
      <c r="G204" s="158"/>
      <c r="H204" s="160"/>
      <c r="I204" s="158"/>
      <c r="J204" s="158"/>
      <c r="K204" s="158"/>
    </row>
    <row r="205" spans="3:11" hidden="1" x14ac:dyDescent="0.3">
      <c r="C205" s="158"/>
      <c r="E205" s="158"/>
      <c r="F205" s="159"/>
      <c r="G205" s="158"/>
      <c r="H205" s="160"/>
      <c r="I205" s="158"/>
      <c r="J205" s="158"/>
      <c r="K205" s="158"/>
    </row>
    <row r="206" spans="3:11" hidden="1" x14ac:dyDescent="0.3">
      <c r="C206" s="158"/>
      <c r="E206" s="158"/>
      <c r="F206" s="159"/>
      <c r="G206" s="158"/>
      <c r="H206" s="160"/>
      <c r="I206" s="158"/>
      <c r="J206" s="158"/>
      <c r="K206" s="158"/>
    </row>
    <row r="207" spans="3:11" hidden="1" x14ac:dyDescent="0.3">
      <c r="C207" s="158"/>
      <c r="E207" s="158"/>
      <c r="F207" s="159"/>
      <c r="G207" s="158"/>
      <c r="H207" s="160"/>
      <c r="I207" s="158"/>
      <c r="J207" s="158"/>
      <c r="K207" s="158"/>
    </row>
    <row r="208" spans="3:11" hidden="1" x14ac:dyDescent="0.3">
      <c r="C208" s="158"/>
      <c r="E208" s="158"/>
      <c r="F208" s="159"/>
      <c r="G208" s="158"/>
      <c r="H208" s="160"/>
      <c r="I208" s="158"/>
      <c r="J208" s="158"/>
      <c r="K208" s="158"/>
    </row>
    <row r="209" spans="3:11" hidden="1" x14ac:dyDescent="0.3">
      <c r="C209" s="158"/>
      <c r="E209" s="158"/>
      <c r="F209" s="159"/>
      <c r="G209" s="158"/>
      <c r="H209" s="160"/>
      <c r="I209" s="158"/>
      <c r="J209" s="158"/>
      <c r="K209" s="158"/>
    </row>
    <row r="210" spans="3:11" hidden="1" x14ac:dyDescent="0.3">
      <c r="C210" s="158"/>
      <c r="E210" s="158"/>
      <c r="F210" s="159"/>
      <c r="G210" s="158"/>
      <c r="H210" s="160"/>
      <c r="I210" s="158"/>
      <c r="J210" s="158"/>
      <c r="K210" s="158"/>
    </row>
    <row r="211" spans="3:11" hidden="1" x14ac:dyDescent="0.3">
      <c r="C211" s="158"/>
      <c r="E211" s="158"/>
      <c r="F211" s="159"/>
      <c r="G211" s="158"/>
      <c r="H211" s="160"/>
      <c r="I211" s="158"/>
      <c r="J211" s="158"/>
      <c r="K211" s="158"/>
    </row>
    <row r="212" spans="3:11" hidden="1" x14ac:dyDescent="0.3">
      <c r="C212" s="158"/>
      <c r="E212" s="158"/>
      <c r="F212" s="159"/>
      <c r="G212" s="158"/>
      <c r="H212" s="160"/>
      <c r="I212" s="158"/>
      <c r="J212" s="158"/>
      <c r="K212" s="158"/>
    </row>
    <row r="213" spans="3:11" hidden="1" x14ac:dyDescent="0.3">
      <c r="C213" s="158"/>
      <c r="E213" s="158"/>
      <c r="F213" s="159"/>
      <c r="G213" s="158"/>
      <c r="H213" s="160"/>
      <c r="I213" s="158"/>
      <c r="J213" s="158"/>
      <c r="K213" s="158"/>
    </row>
    <row r="214" spans="3:11" hidden="1" x14ac:dyDescent="0.3">
      <c r="C214" s="158"/>
      <c r="E214" s="158"/>
      <c r="F214" s="159"/>
      <c r="G214" s="158"/>
      <c r="H214" s="160"/>
      <c r="I214" s="158"/>
      <c r="J214" s="158"/>
      <c r="K214" s="158"/>
    </row>
    <row r="215" spans="3:11" hidden="1" x14ac:dyDescent="0.3">
      <c r="C215" s="158"/>
      <c r="E215" s="158"/>
      <c r="F215" s="159"/>
      <c r="G215" s="158"/>
      <c r="H215" s="160"/>
      <c r="I215" s="158"/>
      <c r="J215" s="158"/>
      <c r="K215" s="158"/>
    </row>
    <row r="216" spans="3:11" hidden="1" x14ac:dyDescent="0.3">
      <c r="C216" s="158"/>
      <c r="E216" s="158"/>
      <c r="F216" s="159"/>
      <c r="G216" s="158"/>
      <c r="H216" s="160"/>
      <c r="I216" s="158"/>
      <c r="J216" s="158"/>
      <c r="K216" s="158"/>
    </row>
    <row r="217" spans="3:11" hidden="1" x14ac:dyDescent="0.3">
      <c r="C217" s="158"/>
      <c r="E217" s="158"/>
      <c r="F217" s="159"/>
      <c r="G217" s="158"/>
      <c r="H217" s="160"/>
      <c r="I217" s="158"/>
      <c r="J217" s="158"/>
      <c r="K217" s="158"/>
    </row>
    <row r="218" spans="3:11" hidden="1" x14ac:dyDescent="0.3">
      <c r="C218" s="158"/>
      <c r="E218" s="158"/>
      <c r="F218" s="159"/>
      <c r="G218" s="158"/>
      <c r="H218" s="160"/>
      <c r="I218" s="158"/>
      <c r="J218" s="158"/>
      <c r="K218" s="158"/>
    </row>
    <row r="219" spans="3:11" hidden="1" x14ac:dyDescent="0.3">
      <c r="C219" s="158"/>
      <c r="E219" s="158"/>
      <c r="F219" s="159"/>
      <c r="G219" s="158"/>
      <c r="H219" s="160"/>
      <c r="I219" s="158"/>
      <c r="J219" s="158"/>
      <c r="K219" s="158"/>
    </row>
    <row r="220" spans="3:11" hidden="1" x14ac:dyDescent="0.3">
      <c r="C220" s="158"/>
      <c r="E220" s="158"/>
      <c r="F220" s="159"/>
      <c r="G220" s="158"/>
      <c r="H220" s="160"/>
      <c r="I220" s="158"/>
      <c r="J220" s="158"/>
      <c r="K220" s="158"/>
    </row>
    <row r="221" spans="3:11" hidden="1" x14ac:dyDescent="0.3">
      <c r="C221" s="158"/>
      <c r="E221" s="158"/>
      <c r="F221" s="159"/>
      <c r="G221" s="158"/>
      <c r="H221" s="160"/>
      <c r="I221" s="158"/>
      <c r="J221" s="158"/>
      <c r="K221" s="158"/>
    </row>
    <row r="222" spans="3:11" hidden="1" x14ac:dyDescent="0.3">
      <c r="C222" s="158"/>
      <c r="E222" s="158"/>
      <c r="F222" s="159"/>
      <c r="G222" s="158"/>
      <c r="H222" s="160"/>
      <c r="I222" s="158"/>
      <c r="J222" s="158"/>
      <c r="K222" s="158"/>
    </row>
    <row r="223" spans="3:11" hidden="1" x14ac:dyDescent="0.3">
      <c r="C223" s="158"/>
      <c r="E223" s="158"/>
      <c r="F223" s="159"/>
      <c r="G223" s="158"/>
      <c r="H223" s="160"/>
      <c r="I223" s="158"/>
      <c r="J223" s="158"/>
      <c r="K223" s="158"/>
    </row>
    <row r="224" spans="3:11" hidden="1" x14ac:dyDescent="0.3">
      <c r="C224" s="158"/>
      <c r="E224" s="158"/>
      <c r="F224" s="159"/>
      <c r="G224" s="158"/>
      <c r="H224" s="160"/>
      <c r="I224" s="158"/>
      <c r="J224" s="158"/>
      <c r="K224" s="158"/>
    </row>
    <row r="225" spans="3:11" hidden="1" x14ac:dyDescent="0.3">
      <c r="C225" s="158"/>
      <c r="E225" s="158"/>
      <c r="F225" s="159"/>
      <c r="G225" s="158"/>
      <c r="H225" s="160"/>
      <c r="I225" s="158"/>
      <c r="J225" s="158"/>
      <c r="K225" s="158"/>
    </row>
    <row r="226" spans="3:11" hidden="1" x14ac:dyDescent="0.3">
      <c r="C226" s="158"/>
      <c r="E226" s="158"/>
      <c r="F226" s="159"/>
      <c r="G226" s="158"/>
      <c r="H226" s="160"/>
      <c r="I226" s="158"/>
      <c r="J226" s="158"/>
      <c r="K226" s="158"/>
    </row>
    <row r="227" spans="3:11" hidden="1" x14ac:dyDescent="0.3">
      <c r="C227" s="158"/>
      <c r="E227" s="158"/>
      <c r="F227" s="159"/>
      <c r="G227" s="158"/>
      <c r="H227" s="160"/>
      <c r="I227" s="158"/>
      <c r="J227" s="158"/>
      <c r="K227" s="158"/>
    </row>
    <row r="228" spans="3:11" hidden="1" x14ac:dyDescent="0.3">
      <c r="C228" s="158"/>
      <c r="E228" s="158"/>
      <c r="F228" s="159"/>
      <c r="G228" s="158"/>
      <c r="H228" s="160"/>
      <c r="I228" s="158"/>
      <c r="J228" s="158"/>
      <c r="K228" s="158"/>
    </row>
    <row r="229" spans="3:11" hidden="1" x14ac:dyDescent="0.3">
      <c r="C229" s="158"/>
      <c r="E229" s="158"/>
      <c r="F229" s="159"/>
      <c r="G229" s="158"/>
      <c r="H229" s="160"/>
      <c r="I229" s="158"/>
      <c r="J229" s="158"/>
      <c r="K229" s="158"/>
    </row>
    <row r="230" spans="3:11" hidden="1" x14ac:dyDescent="0.3">
      <c r="C230" s="158"/>
      <c r="E230" s="158"/>
      <c r="F230" s="159"/>
      <c r="G230" s="158"/>
      <c r="H230" s="160"/>
      <c r="I230" s="158"/>
      <c r="J230" s="158"/>
      <c r="K230" s="158"/>
    </row>
    <row r="231" spans="3:11" hidden="1" x14ac:dyDescent="0.3">
      <c r="C231" s="158"/>
      <c r="E231" s="158"/>
      <c r="F231" s="159"/>
      <c r="G231" s="158"/>
      <c r="H231" s="160"/>
      <c r="I231" s="158"/>
      <c r="J231" s="158"/>
      <c r="K231" s="158"/>
    </row>
    <row r="232" spans="3:11" hidden="1" x14ac:dyDescent="0.3">
      <c r="C232" s="158"/>
      <c r="E232" s="158"/>
      <c r="F232" s="159"/>
      <c r="G232" s="158"/>
      <c r="H232" s="160"/>
      <c r="I232" s="158"/>
      <c r="J232" s="158"/>
      <c r="K232" s="158"/>
    </row>
    <row r="233" spans="3:11" hidden="1" x14ac:dyDescent="0.3">
      <c r="C233" s="158"/>
      <c r="E233" s="158"/>
      <c r="F233" s="159"/>
      <c r="G233" s="158"/>
      <c r="H233" s="160"/>
      <c r="I233" s="158"/>
      <c r="J233" s="158"/>
      <c r="K233" s="158"/>
    </row>
    <row r="234" spans="3:11" hidden="1" x14ac:dyDescent="0.3">
      <c r="C234" s="158"/>
      <c r="E234" s="158"/>
      <c r="F234" s="159"/>
      <c r="G234" s="158"/>
      <c r="H234" s="160"/>
      <c r="I234" s="158"/>
      <c r="J234" s="158"/>
      <c r="K234" s="158"/>
    </row>
    <row r="235" spans="3:11" hidden="1" x14ac:dyDescent="0.3">
      <c r="C235" s="158"/>
      <c r="E235" s="158"/>
      <c r="F235" s="159"/>
      <c r="G235" s="158"/>
      <c r="H235" s="160"/>
      <c r="I235" s="158"/>
      <c r="J235" s="158"/>
      <c r="K235" s="158"/>
    </row>
    <row r="236" spans="3:11" hidden="1" x14ac:dyDescent="0.3">
      <c r="C236" s="158"/>
      <c r="E236" s="158"/>
      <c r="F236" s="159"/>
      <c r="G236" s="158"/>
      <c r="H236" s="160"/>
      <c r="I236" s="158"/>
      <c r="J236" s="158"/>
      <c r="K236" s="158"/>
    </row>
    <row r="237" spans="3:11" hidden="1" x14ac:dyDescent="0.3">
      <c r="C237" s="158"/>
      <c r="E237" s="158"/>
      <c r="F237" s="159"/>
      <c r="G237" s="158"/>
      <c r="H237" s="160"/>
      <c r="I237" s="158"/>
      <c r="J237" s="158"/>
      <c r="K237" s="158"/>
    </row>
    <row r="238" spans="3:11" hidden="1" x14ac:dyDescent="0.3">
      <c r="C238" s="158"/>
      <c r="E238" s="158"/>
      <c r="F238" s="159"/>
      <c r="G238" s="158"/>
      <c r="H238" s="160"/>
      <c r="I238" s="158"/>
      <c r="J238" s="158"/>
      <c r="K238" s="158"/>
    </row>
    <row r="239" spans="3:11" hidden="1" x14ac:dyDescent="0.3">
      <c r="C239" s="158"/>
      <c r="E239" s="158"/>
      <c r="F239" s="159"/>
      <c r="G239" s="158"/>
      <c r="H239" s="160"/>
      <c r="I239" s="158"/>
      <c r="J239" s="158"/>
      <c r="K239" s="158"/>
    </row>
    <row r="240" spans="3:11" hidden="1" x14ac:dyDescent="0.3">
      <c r="C240" s="158"/>
      <c r="E240" s="158"/>
      <c r="F240" s="159"/>
      <c r="G240" s="158"/>
      <c r="H240" s="160"/>
      <c r="I240" s="158"/>
      <c r="J240" s="158"/>
      <c r="K240" s="158"/>
    </row>
    <row r="241" spans="3:11" hidden="1" x14ac:dyDescent="0.3">
      <c r="C241" s="158"/>
      <c r="E241" s="158"/>
      <c r="F241" s="159"/>
      <c r="G241" s="158"/>
      <c r="H241" s="160"/>
      <c r="I241" s="158"/>
      <c r="J241" s="158"/>
      <c r="K241" s="158"/>
    </row>
    <row r="242" spans="3:11" hidden="1" x14ac:dyDescent="0.3">
      <c r="C242" s="158"/>
      <c r="E242" s="158"/>
      <c r="F242" s="159"/>
      <c r="G242" s="158"/>
      <c r="H242" s="160"/>
      <c r="I242" s="158"/>
      <c r="J242" s="158"/>
      <c r="K242" s="158"/>
    </row>
    <row r="243" spans="3:11" hidden="1" x14ac:dyDescent="0.3">
      <c r="C243" s="158"/>
      <c r="E243" s="158"/>
      <c r="F243" s="159"/>
      <c r="G243" s="158"/>
      <c r="H243" s="160"/>
      <c r="I243" s="158"/>
      <c r="J243" s="158"/>
      <c r="K243" s="158"/>
    </row>
    <row r="244" spans="3:11" hidden="1" x14ac:dyDescent="0.3">
      <c r="C244" s="158"/>
      <c r="E244" s="158"/>
      <c r="F244" s="159"/>
      <c r="G244" s="158"/>
      <c r="H244" s="160"/>
      <c r="I244" s="158"/>
      <c r="J244" s="158"/>
      <c r="K244" s="158"/>
    </row>
    <row r="245" spans="3:11" hidden="1" x14ac:dyDescent="0.3">
      <c r="C245" s="158"/>
      <c r="E245" s="158"/>
      <c r="F245" s="159"/>
      <c r="G245" s="158"/>
      <c r="H245" s="160"/>
      <c r="I245" s="158"/>
      <c r="J245" s="158"/>
      <c r="K245" s="158"/>
    </row>
    <row r="246" spans="3:11" hidden="1" x14ac:dyDescent="0.3">
      <c r="C246" s="158"/>
      <c r="E246" s="158"/>
      <c r="F246" s="159"/>
      <c r="G246" s="158"/>
      <c r="H246" s="160"/>
      <c r="I246" s="158"/>
      <c r="J246" s="158"/>
      <c r="K246" s="158"/>
    </row>
    <row r="247" spans="3:11" hidden="1" x14ac:dyDescent="0.3">
      <c r="C247" s="158"/>
      <c r="E247" s="158"/>
      <c r="F247" s="159"/>
      <c r="G247" s="158"/>
      <c r="H247" s="160"/>
      <c r="I247" s="158"/>
      <c r="J247" s="158"/>
      <c r="K247" s="158"/>
    </row>
    <row r="248" spans="3:11" hidden="1" x14ac:dyDescent="0.3">
      <c r="C248" s="158"/>
      <c r="E248" s="158"/>
      <c r="F248" s="159"/>
      <c r="G248" s="158"/>
      <c r="H248" s="160"/>
      <c r="I248" s="158"/>
      <c r="J248" s="158"/>
      <c r="K248" s="158"/>
    </row>
    <row r="249" spans="3:11" hidden="1" x14ac:dyDescent="0.3">
      <c r="C249" s="158"/>
      <c r="E249" s="158"/>
      <c r="F249" s="159"/>
      <c r="G249" s="158"/>
      <c r="H249" s="160"/>
      <c r="I249" s="158"/>
      <c r="J249" s="158"/>
      <c r="K249" s="158"/>
    </row>
  </sheetData>
  <sheetProtection algorithmName="SHA-512" hashValue="N9Ps8W4sHyRRld83u/tyFpnY3JO7zUkwUUeMfnwDZokXkul79yFlzEtf4SZufjV/3euGgxG0UHk/HgVGyS9GsA==" saltValue="muUS5z9qEgDkm9Vm4neTQg==" spinCount="100000" sheet="1" objects="1" scenarios="1"/>
  <protectedRanges>
    <protectedRange sqref="C2:C5" name="Range1"/>
  </protectedRanges>
  <mergeCells count="6">
    <mergeCell ref="E31:F31"/>
    <mergeCell ref="E1:I1"/>
    <mergeCell ref="H2:I2"/>
    <mergeCell ref="H10:I10"/>
    <mergeCell ref="E28:F28"/>
    <mergeCell ref="E22:F22"/>
  </mergeCells>
  <dataValidations disablePrompts="1" count="1">
    <dataValidation type="list" allowBlank="1" showInputMessage="1" showErrorMessage="1" sqref="I24" xr:uid="{1CACAA07-647F-4001-9CEF-404339B9D094}">
      <formula1>$J$25:$J$30</formula1>
    </dataValidation>
  </dataValidations>
  <hyperlinks>
    <hyperlink ref="A1" location="'Table of contents'!A1" display="Table of contents" xr:uid="{84AAE97A-C8D5-4FD9-BD6A-2729AA7133C9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A9C8-1A99-4D2E-892F-07C78ECBBB42}">
  <sheetPr>
    <tabColor theme="4"/>
  </sheetPr>
  <dimension ref="A1:AQ32"/>
  <sheetViews>
    <sheetView workbookViewId="0">
      <selection activeCell="C18" sqref="C18"/>
    </sheetView>
  </sheetViews>
  <sheetFormatPr defaultColWidth="8.77734375" defaultRowHeight="14.4" x14ac:dyDescent="0.3"/>
  <cols>
    <col min="1" max="1" width="41.44140625" style="1" customWidth="1"/>
    <col min="2" max="2" width="20.5546875" style="1" bestFit="1" customWidth="1"/>
    <col min="3" max="3" width="14.21875" style="1" bestFit="1" customWidth="1"/>
    <col min="4" max="4" width="15.88671875" style="1" customWidth="1"/>
    <col min="5" max="5" width="15" style="1" customWidth="1"/>
    <col min="6" max="6" width="14.21875" style="1" bestFit="1" customWidth="1"/>
    <col min="7" max="16384" width="8.77734375" style="1"/>
  </cols>
  <sheetData>
    <row r="1" spans="1:43" x14ac:dyDescent="0.3">
      <c r="A1" s="628" t="s">
        <v>454</v>
      </c>
      <c r="W1" s="628" t="s">
        <v>499</v>
      </c>
      <c r="AQ1" s="628" t="s">
        <v>499</v>
      </c>
    </row>
    <row r="2" spans="1:43" ht="15.6" x14ac:dyDescent="0.3">
      <c r="A2" s="768" t="s">
        <v>271</v>
      </c>
      <c r="B2" s="295">
        <f>'ROI Number insert'!C3</f>
        <v>10267800</v>
      </c>
    </row>
    <row r="3" spans="1:43" ht="15.6" x14ac:dyDescent="0.3">
      <c r="A3" s="768" t="s">
        <v>272</v>
      </c>
      <c r="B3" s="424" t="str">
        <f>'ROI Number insert'!C4</f>
        <v>3601 13308 Central Avenue, Surrey</v>
      </c>
    </row>
    <row r="4" spans="1:43" ht="15.6" x14ac:dyDescent="0.3">
      <c r="A4" s="769" t="s">
        <v>268</v>
      </c>
      <c r="B4" s="296">
        <f ca="1">TODAY()-'ROI Number insert'!C2</f>
        <v>1</v>
      </c>
    </row>
    <row r="5" spans="1:43" ht="15.6" x14ac:dyDescent="0.3">
      <c r="A5" s="768" t="s">
        <v>5</v>
      </c>
      <c r="B5" s="127">
        <f>'Calculating offering price'!C4</f>
        <v>1588000</v>
      </c>
    </row>
    <row r="6" spans="1:43" ht="15.6" x14ac:dyDescent="0.3">
      <c r="A6" s="769" t="s">
        <v>95</v>
      </c>
      <c r="B6" s="770">
        <f>'ROI Number insert'!F3</f>
        <v>1550000</v>
      </c>
    </row>
    <row r="7" spans="1:43" ht="15.6" x14ac:dyDescent="0.3">
      <c r="A7" s="177" t="s">
        <v>21</v>
      </c>
      <c r="B7" s="127">
        <f>IF('Calculating offering price'!C19&gt;'Total Result'!C21,'Calculating offering price'!C19,IF('Calculating offering price'!C19&lt;='Total Result'!C21,'Total Result'!C21))</f>
        <v>361400</v>
      </c>
    </row>
    <row r="8" spans="1:43" x14ac:dyDescent="0.3">
      <c r="A8" s="772" t="s">
        <v>179</v>
      </c>
      <c r="B8" s="297">
        <f>_xlfn.XLOOKUP(A8,'Total Result'!B17:B20,'Total Result'!C17:C20)</f>
        <v>0</v>
      </c>
    </row>
    <row r="9" spans="1:43" ht="15.6" x14ac:dyDescent="0.3">
      <c r="A9" s="771" t="s">
        <v>493</v>
      </c>
      <c r="B9" s="127">
        <f>SUM('ROI details'!H24:H28)</f>
        <v>1737400</v>
      </c>
    </row>
    <row r="10" spans="1:43" ht="15.6" x14ac:dyDescent="0.3">
      <c r="A10" s="771" t="s">
        <v>496</v>
      </c>
      <c r="B10" s="415">
        <f>'Total Result'!C12</f>
        <v>1.9546366783441855</v>
      </c>
      <c r="C10" s="811" t="s">
        <v>512</v>
      </c>
    </row>
    <row r="11" spans="1:43" ht="15.6" x14ac:dyDescent="0.3">
      <c r="A11" s="771" t="s">
        <v>497</v>
      </c>
      <c r="B11" s="787">
        <f>'Total Result'!C13</f>
        <v>-5.952411075345446</v>
      </c>
      <c r="C11" s="1" t="s">
        <v>498</v>
      </c>
    </row>
    <row r="12" spans="1:43" ht="15.6" x14ac:dyDescent="0.3">
      <c r="A12" s="796" t="s">
        <v>217</v>
      </c>
      <c r="B12" s="797">
        <f>'Total Result'!C7</f>
        <v>2.4157361774573054E-2</v>
      </c>
    </row>
    <row r="13" spans="1:43" ht="15.6" x14ac:dyDescent="0.3">
      <c r="A13" s="753" t="s">
        <v>503</v>
      </c>
      <c r="B13" s="292">
        <f>'Calculating offering price'!C59</f>
        <v>516823.52941176464</v>
      </c>
    </row>
    <row r="14" spans="1:43" ht="15.6" x14ac:dyDescent="0.3">
      <c r="A14" s="753" t="s">
        <v>504</v>
      </c>
      <c r="B14" s="415">
        <f>IF(B13&lt;B5, (B13-B5)/B5, "Great Value!")</f>
        <v>-0.67454437694473268</v>
      </c>
    </row>
    <row r="15" spans="1:43" ht="15.6" x14ac:dyDescent="0.3">
      <c r="A15" s="753" t="s">
        <v>505</v>
      </c>
      <c r="B15" s="292">
        <f>'Calculating offering price'!C63</f>
        <v>10435</v>
      </c>
      <c r="C15" s="811" t="s">
        <v>513</v>
      </c>
    </row>
    <row r="16" spans="1:43" ht="15.6" x14ac:dyDescent="0.3">
      <c r="A16" s="753" t="s">
        <v>506</v>
      </c>
      <c r="B16" s="292">
        <f>'Calculating offering price'!C57</f>
        <v>5300</v>
      </c>
      <c r="C16" s="811" t="s">
        <v>514</v>
      </c>
    </row>
    <row r="17" spans="1:7" ht="15.6" x14ac:dyDescent="0.3">
      <c r="A17" s="856" t="s">
        <v>516</v>
      </c>
      <c r="B17" s="127">
        <f>'ROI details'!H37</f>
        <v>832086.90556862752</v>
      </c>
      <c r="C17" s="628" t="s">
        <v>517</v>
      </c>
    </row>
    <row r="18" spans="1:7" ht="16.2" thickBot="1" x14ac:dyDescent="0.35">
      <c r="A18" s="856"/>
      <c r="B18" s="127"/>
      <c r="C18" s="628"/>
    </row>
    <row r="19" spans="1:7" ht="15" thickBot="1" x14ac:dyDescent="0.35">
      <c r="B19" s="746" t="s">
        <v>483</v>
      </c>
      <c r="C19" s="747" t="s">
        <v>486</v>
      </c>
      <c r="D19" s="747" t="s">
        <v>484</v>
      </c>
      <c r="E19" s="748" t="s">
        <v>485</v>
      </c>
      <c r="F19" s="677"/>
    </row>
    <row r="20" spans="1:7" ht="16.2" thickBot="1" x14ac:dyDescent="0.35">
      <c r="A20" s="754" t="s">
        <v>487</v>
      </c>
      <c r="B20" s="749">
        <v>1</v>
      </c>
      <c r="C20" s="750" cm="1">
        <f t="array" ref="C20">INDEX('Total CF'!C3:C37,Outputs!$B$20)</f>
        <v>-60714.892742690201</v>
      </c>
      <c r="D20" s="751" cm="1">
        <f t="array" ref="D20">INDEX('Total CF'!D3:D37,Outputs!$B$20)</f>
        <v>-0.16799914981375264</v>
      </c>
      <c r="E20" s="752" cm="1">
        <f t="array" ref="E20">INDEX('Total CF'!E3:E37,Outputs!$B$20)</f>
        <v>-5059.5743952241837</v>
      </c>
    </row>
    <row r="21" spans="1:7" ht="15" thickBot="1" x14ac:dyDescent="0.35"/>
    <row r="22" spans="1:7" s="52" customFormat="1" ht="46.8" customHeight="1" thickBot="1" x14ac:dyDescent="0.35">
      <c r="B22" s="756" t="s">
        <v>490</v>
      </c>
      <c r="C22" s="757" t="s">
        <v>161</v>
      </c>
      <c r="D22" s="757" t="s">
        <v>488</v>
      </c>
      <c r="E22" s="757" t="s">
        <v>489</v>
      </c>
      <c r="F22" s="757" t="s">
        <v>445</v>
      </c>
      <c r="G22" s="758" t="s">
        <v>446</v>
      </c>
    </row>
    <row r="23" spans="1:7" ht="16.2" thickBot="1" x14ac:dyDescent="0.35">
      <c r="A23" s="764" t="s">
        <v>491</v>
      </c>
      <c r="B23" s="759">
        <v>1</v>
      </c>
      <c r="C23" s="760">
        <f>'PR Result'!C4</f>
        <v>8179.9002911065363</v>
      </c>
      <c r="D23" s="761" cm="1">
        <f t="array" ref="D23">INDEX('PR Result'!C5:C34,Outputs!B23)</f>
        <v>21260.987652538617</v>
      </c>
      <c r="E23" s="761" cm="1">
        <f t="array" ref="E23">INDEX('PR Result'!E5:E34,Outputs!$B$23)</f>
        <v>76897.81584073983</v>
      </c>
      <c r="F23" s="762" cm="1">
        <f t="array" ref="F23">INDEX('PR Result'!F5:F34,Outputs!$B$23)</f>
        <v>0.21659786892160407</v>
      </c>
      <c r="G23" s="763" cm="1">
        <f t="array" ref="G23">INDEX('PR Result'!G5:G34,Outputs!$B$23)</f>
        <v>5.8829517577583333E-2</v>
      </c>
    </row>
    <row r="24" spans="1:7" ht="16.2" thickBot="1" x14ac:dyDescent="0.35">
      <c r="A24" s="755"/>
      <c r="C24" s="773"/>
      <c r="D24" s="774"/>
      <c r="E24" s="774"/>
      <c r="F24" s="775"/>
      <c r="G24" s="775"/>
    </row>
    <row r="25" spans="1:7" s="52" customFormat="1" ht="33.6" customHeight="1" thickBot="1" x14ac:dyDescent="0.35">
      <c r="A25" s="776"/>
      <c r="B25" s="778" t="s">
        <v>494</v>
      </c>
      <c r="C25" s="779" t="s">
        <v>140</v>
      </c>
      <c r="D25" s="780" t="s">
        <v>7</v>
      </c>
      <c r="E25" s="780" t="s">
        <v>87</v>
      </c>
      <c r="F25" s="781" t="s">
        <v>446</v>
      </c>
      <c r="G25" s="777"/>
    </row>
    <row r="26" spans="1:7" ht="16.8" customHeight="1" thickBot="1" x14ac:dyDescent="0.35">
      <c r="A26" s="784" t="s">
        <v>495</v>
      </c>
      <c r="B26" s="782">
        <f>'ROI Number insert'!F6</f>
        <v>0.02</v>
      </c>
      <c r="C26" s="783">
        <v>1</v>
      </c>
      <c r="D26" s="785">
        <f>FV(B26,C26,,-B6)</f>
        <v>1581000</v>
      </c>
      <c r="E26" s="785">
        <f>D26-B6</f>
        <v>31000</v>
      </c>
      <c r="F26" s="786">
        <f>E26/B7</f>
        <v>8.5777531820697292E-2</v>
      </c>
    </row>
    <row r="27" spans="1:7" ht="16.2" thickBot="1" x14ac:dyDescent="0.35">
      <c r="A27" s="753"/>
      <c r="B27" s="415"/>
    </row>
    <row r="28" spans="1:7" ht="15.6" x14ac:dyDescent="0.3">
      <c r="A28" s="755" t="s">
        <v>492</v>
      </c>
      <c r="B28" s="766" t="s">
        <v>141</v>
      </c>
      <c r="C28" s="767">
        <f>'Total Result'!C47</f>
        <v>-0.16799914981375264</v>
      </c>
    </row>
    <row r="29" spans="1:7" ht="15.6" x14ac:dyDescent="0.3">
      <c r="B29" s="459" t="s">
        <v>142</v>
      </c>
      <c r="C29" s="509">
        <f>'Total Result'!C48</f>
        <v>5.8829517577583333E-2</v>
      </c>
    </row>
    <row r="30" spans="1:7" ht="15.6" x14ac:dyDescent="0.3">
      <c r="B30" s="459" t="s">
        <v>143</v>
      </c>
      <c r="C30" s="509">
        <f>'Total Result'!C49</f>
        <v>8.5777531820697292E-2</v>
      </c>
    </row>
    <row r="31" spans="1:7" ht="16.2" thickBot="1" x14ac:dyDescent="0.35">
      <c r="B31" s="510" t="s">
        <v>206</v>
      </c>
      <c r="C31" s="511">
        <f>'Total Result'!C50</f>
        <v>0.72661870503597126</v>
      </c>
    </row>
    <row r="32" spans="1:7" ht="16.2" thickBot="1" x14ac:dyDescent="0.35">
      <c r="B32" s="512" t="s">
        <v>449</v>
      </c>
      <c r="C32" s="513">
        <f>'Total Result'!C51</f>
        <v>0.70322660462049924</v>
      </c>
    </row>
  </sheetData>
  <hyperlinks>
    <hyperlink ref="A1" location="'Table of contents'!A1" display="Table of contents" xr:uid="{AF63A0BB-21BA-4412-BB84-50191B96EC1C}"/>
    <hyperlink ref="W1" location="Outputs!A21" display="Back" xr:uid="{46BB899B-0994-40F2-8E5E-B545A8DD7226}"/>
    <hyperlink ref="AQ1" location="Outputs!A21" display="Back" xr:uid="{69D18FBF-F4D3-4FF2-A6FC-18CDC2552088}"/>
    <hyperlink ref="C17" location="'ROI details'!H36" display="Input Desired Cap Rate. Click here to jump inset cell. " xr:uid="{EBEF33C8-718E-4070-A535-219E73FDB689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5" r:id="rId4" name="Spinner 3">
              <controlPr defaultSize="0" autoPict="0">
                <anchor moveWithCells="1" sizeWithCells="1">
                  <from>
                    <xdr:col>5</xdr:col>
                    <xdr:colOff>99060</xdr:colOff>
                    <xdr:row>18</xdr:row>
                    <xdr:rowOff>38100</xdr:rowOff>
                  </from>
                  <to>
                    <xdr:col>5</xdr:col>
                    <xdr:colOff>259080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5" name="Spinner 4">
              <controlPr defaultSize="0" autoPict="0">
                <anchor moveWithCells="1" sizeWithCells="1">
                  <from>
                    <xdr:col>7</xdr:col>
                    <xdr:colOff>190500</xdr:colOff>
                    <xdr:row>21</xdr:row>
                    <xdr:rowOff>144780</xdr:rowOff>
                  </from>
                  <to>
                    <xdr:col>7</xdr:col>
                    <xdr:colOff>358140</xdr:colOff>
                    <xdr:row>22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6" name="Spinner 7">
              <controlPr defaultSize="0" autoPict="0">
                <anchor moveWithCells="1" sizeWithCells="1">
                  <from>
                    <xdr:col>6</xdr:col>
                    <xdr:colOff>251460</xdr:colOff>
                    <xdr:row>24</xdr:row>
                    <xdr:rowOff>60960</xdr:rowOff>
                  </from>
                  <to>
                    <xdr:col>6</xdr:col>
                    <xdr:colOff>449580</xdr:colOff>
                    <xdr:row>25</xdr:row>
                    <xdr:rowOff>198120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0749D7F-EA94-4419-AA5B-4413C75C66CE}">
          <x14:formula1>
            <xm:f>'Total Result'!$B$17:$B$20</xm:f>
          </x14:formula1>
          <xm:sqref>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A8F8-45A4-41D6-BBBB-523D9BFBD008}">
  <sheetPr codeName="Sheet1">
    <tabColor theme="4"/>
  </sheetPr>
  <dimension ref="A1:H75"/>
  <sheetViews>
    <sheetView workbookViewId="0">
      <selection activeCell="C7" sqref="C7"/>
    </sheetView>
  </sheetViews>
  <sheetFormatPr defaultColWidth="8.77734375" defaultRowHeight="13.8" x14ac:dyDescent="0.25"/>
  <cols>
    <col min="1" max="1" width="39.6640625" style="429" customWidth="1"/>
    <col min="2" max="2" width="33" style="430" customWidth="1"/>
    <col min="3" max="3" width="17.6640625" style="429" customWidth="1"/>
    <col min="4" max="4" width="15.6640625" style="429" customWidth="1"/>
    <col min="5" max="5" width="17.6640625" style="429" customWidth="1"/>
    <col min="6" max="6" width="12.77734375" style="429" customWidth="1"/>
    <col min="7" max="7" width="26.109375" style="429" customWidth="1"/>
    <col min="8" max="8" width="12.77734375" style="429" customWidth="1"/>
    <col min="9" max="9" width="28.21875" style="429" customWidth="1"/>
    <col min="10" max="10" width="18.33203125" style="429" customWidth="1"/>
    <col min="11" max="16384" width="8.77734375" style="429"/>
  </cols>
  <sheetData>
    <row r="1" spans="1:7" ht="15" thickBot="1" x14ac:dyDescent="0.35">
      <c r="A1" s="628" t="s">
        <v>454</v>
      </c>
      <c r="B1" s="430" t="s">
        <v>269</v>
      </c>
      <c r="C1" s="431">
        <f ca="1">TODAY()</f>
        <v>44974</v>
      </c>
      <c r="G1" s="1"/>
    </row>
    <row r="2" spans="1:7" ht="14.4" x14ac:dyDescent="0.3">
      <c r="B2" s="432" t="s">
        <v>271</v>
      </c>
      <c r="C2" s="433">
        <f>'ROI Number insert'!C3</f>
        <v>10267800</v>
      </c>
      <c r="G2" s="1"/>
    </row>
    <row r="3" spans="1:7" ht="28.2" x14ac:dyDescent="0.3">
      <c r="B3" s="854" t="s">
        <v>272</v>
      </c>
      <c r="C3" s="853" t="str">
        <f>'ROI Number insert'!C4</f>
        <v>3601 13308 Central Avenue, Surrey</v>
      </c>
      <c r="G3" s="1"/>
    </row>
    <row r="4" spans="1:7" ht="15" thickBot="1" x14ac:dyDescent="0.35">
      <c r="B4" s="434" t="s">
        <v>273</v>
      </c>
      <c r="C4" s="435">
        <f>'ROI Number insert'!C5</f>
        <v>1403000</v>
      </c>
      <c r="G4" s="1"/>
    </row>
    <row r="5" spans="1:7" ht="16.2" thickBot="1" x14ac:dyDescent="0.35">
      <c r="C5" s="436" t="s">
        <v>309</v>
      </c>
      <c r="D5" s="437" t="s">
        <v>310</v>
      </c>
      <c r="E5" s="437" t="s">
        <v>311</v>
      </c>
      <c r="G5" s="1"/>
    </row>
    <row r="6" spans="1:7" ht="16.2" thickBot="1" x14ac:dyDescent="0.35">
      <c r="B6" s="438" t="s">
        <v>21</v>
      </c>
      <c r="C6" s="439">
        <f>IF('Calculating offering price'!C19&gt;'Total Result'!C21,'Calculating offering price'!C19,IF('Calculating offering price'!C19&lt;='Total Result'!C21,'Total Result'!C21))</f>
        <v>361400</v>
      </c>
      <c r="D6" s="439">
        <f>IF(E57&gt;0,0,-E57)</f>
        <v>1601400</v>
      </c>
      <c r="E6" s="439"/>
      <c r="G6" s="1"/>
    </row>
    <row r="7" spans="1:7" ht="16.2" thickBot="1" x14ac:dyDescent="0.35">
      <c r="B7" s="440" t="s">
        <v>217</v>
      </c>
      <c r="C7" s="441">
        <f>'ROI details'!H35</f>
        <v>2.4157361774573054E-2</v>
      </c>
      <c r="D7" s="441" t="e">
        <f>'ROI Detail ARV'!H35</f>
        <v>#DIV/0!</v>
      </c>
      <c r="E7" s="442" t="e">
        <f t="shared" ref="E7:E13" si="0">D7-C7</f>
        <v>#DIV/0!</v>
      </c>
      <c r="F7" s="443"/>
      <c r="G7" s="1"/>
    </row>
    <row r="8" spans="1:7" ht="16.2" thickBot="1" x14ac:dyDescent="0.35">
      <c r="A8" s="444" t="s">
        <v>280</v>
      </c>
      <c r="B8" s="440" t="s">
        <v>279</v>
      </c>
      <c r="C8" s="445">
        <f>10*'ROI details'!H34</f>
        <v>374439.10750588233</v>
      </c>
      <c r="D8" s="445">
        <f>10*'ROI Detail ARV'!H34</f>
        <v>-178880.89249411767</v>
      </c>
      <c r="E8" s="439">
        <f t="shared" si="0"/>
        <v>-553320</v>
      </c>
      <c r="F8" s="443"/>
      <c r="G8" s="1"/>
    </row>
    <row r="9" spans="1:7" ht="16.2" thickBot="1" x14ac:dyDescent="0.35">
      <c r="A9" s="444"/>
      <c r="B9" s="440" t="s">
        <v>330</v>
      </c>
      <c r="C9" s="445">
        <f>IF((C26-C8)&lt;0,0,(C26-C8))</f>
        <v>1175560.8924941176</v>
      </c>
      <c r="D9" s="445"/>
      <c r="E9" s="439"/>
      <c r="F9" s="443"/>
      <c r="G9" s="1"/>
    </row>
    <row r="10" spans="1:7" ht="16.2" thickBot="1" x14ac:dyDescent="0.35">
      <c r="A10" s="444" t="s">
        <v>329</v>
      </c>
      <c r="B10" s="440" t="s">
        <v>328</v>
      </c>
      <c r="C10" s="446">
        <f>C9/C26</f>
        <v>0.75842638225426939</v>
      </c>
      <c r="D10" s="445"/>
      <c r="E10" s="439"/>
      <c r="F10" s="443"/>
      <c r="G10" s="1"/>
    </row>
    <row r="11" spans="1:7" ht="16.2" thickBot="1" x14ac:dyDescent="0.35">
      <c r="A11" s="444"/>
      <c r="B11" s="440" t="s">
        <v>268</v>
      </c>
      <c r="C11" s="447">
        <f ca="1">C1-'ROI Number insert'!C2</f>
        <v>1</v>
      </c>
      <c r="D11" s="447">
        <f ca="1">C11</f>
        <v>1</v>
      </c>
      <c r="E11" s="439"/>
      <c r="F11" s="443"/>
      <c r="G11" s="1"/>
    </row>
    <row r="12" spans="1:7" ht="16.2" thickBot="1" x14ac:dyDescent="0.35">
      <c r="A12" s="444" t="s">
        <v>307</v>
      </c>
      <c r="B12" s="448" t="s">
        <v>306</v>
      </c>
      <c r="C12" s="449">
        <f>('Financial Statement'!C7+'Financial Statement'!C20+'Financial Statement'!C21)/'Financial Statement'!C3</f>
        <v>1.9546366783441855</v>
      </c>
      <c r="D12" s="449" t="e">
        <f>('Financial Statement ARV'!C7+'Financial Statement ARV'!C20+'Financial Statement ARV'!C21)/'Financial Statement ARV'!C3</f>
        <v>#NUM!</v>
      </c>
      <c r="E12" s="442" t="e">
        <f t="shared" si="0"/>
        <v>#NUM!</v>
      </c>
      <c r="F12" s="443"/>
      <c r="G12" s="1"/>
    </row>
    <row r="13" spans="1:7" ht="16.2" thickBot="1" x14ac:dyDescent="0.35">
      <c r="A13" s="444" t="s">
        <v>308</v>
      </c>
      <c r="B13" s="448" t="s">
        <v>314</v>
      </c>
      <c r="C13" s="450">
        <f>C21/'Financial Statement'!C22</f>
        <v>-5.952411075345446</v>
      </c>
      <c r="D13" s="450" t="e">
        <f>D6/'Financial Statement ARV'!C22</f>
        <v>#NUM!</v>
      </c>
      <c r="E13" s="451" t="e">
        <f t="shared" si="0"/>
        <v>#NUM!</v>
      </c>
      <c r="F13" s="443"/>
      <c r="G13" s="1"/>
    </row>
    <row r="14" spans="1:7" ht="16.2" thickBot="1" x14ac:dyDescent="0.35">
      <c r="A14" s="444" t="s">
        <v>317</v>
      </c>
      <c r="B14" s="452" t="s">
        <v>275</v>
      </c>
      <c r="C14" s="453">
        <f>('ROI Number insert'!F2-'ROI Number insert'!F3)/'ROI Number insert'!F2</f>
        <v>2.3929471032745592E-2</v>
      </c>
      <c r="D14" s="454"/>
      <c r="E14" s="455"/>
      <c r="G14" s="1"/>
    </row>
    <row r="15" spans="1:7" ht="15" thickBot="1" x14ac:dyDescent="0.35">
      <c r="G15" s="1"/>
    </row>
    <row r="16" spans="1:7" ht="15" thickBot="1" x14ac:dyDescent="0.35">
      <c r="B16" s="954" t="s">
        <v>178</v>
      </c>
      <c r="C16" s="955"/>
      <c r="D16" s="956"/>
      <c r="G16" s="1"/>
    </row>
    <row r="17" spans="2:7" ht="15.6" x14ac:dyDescent="0.3">
      <c r="B17" s="456" t="s">
        <v>160</v>
      </c>
      <c r="C17" s="457">
        <f>'ROI Number insert'!F11</f>
        <v>310000</v>
      </c>
      <c r="D17" s="458">
        <f>C17</f>
        <v>310000</v>
      </c>
      <c r="G17" s="1"/>
    </row>
    <row r="18" spans="2:7" ht="15.6" x14ac:dyDescent="0.3">
      <c r="B18" s="459" t="s">
        <v>94</v>
      </c>
      <c r="C18" s="460">
        <f>'ROI Number insert'!F10</f>
        <v>51400</v>
      </c>
      <c r="D18" s="461">
        <f>C18</f>
        <v>51400</v>
      </c>
    </row>
    <row r="19" spans="2:7" ht="15.6" x14ac:dyDescent="0.3">
      <c r="B19" s="459" t="s">
        <v>179</v>
      </c>
      <c r="C19" s="460">
        <f>'ROI Number insert'!F13</f>
        <v>0</v>
      </c>
      <c r="D19" s="461">
        <f>'ROI Number insert ARV'!E13</f>
        <v>0</v>
      </c>
    </row>
    <row r="20" spans="2:7" ht="15.6" x14ac:dyDescent="0.3">
      <c r="B20" s="459" t="s">
        <v>315</v>
      </c>
      <c r="C20" s="460">
        <f>'ROI Number insert'!F15</f>
        <v>0</v>
      </c>
      <c r="D20" s="461" t="e">
        <f>'ROI Number insert ARV'!E15</f>
        <v>#NUM!</v>
      </c>
    </row>
    <row r="21" spans="2:7" ht="16.2" thickBot="1" x14ac:dyDescent="0.35">
      <c r="B21" s="462" t="s">
        <v>180</v>
      </c>
      <c r="C21" s="463">
        <f>SUM(C17:C20)</f>
        <v>361400</v>
      </c>
      <c r="D21" s="464" t="e">
        <f>SUM(D17:D20)</f>
        <v>#NUM!</v>
      </c>
    </row>
    <row r="22" spans="2:7" ht="14.4" thickBot="1" x14ac:dyDescent="0.3"/>
    <row r="23" spans="2:7" ht="15.6" x14ac:dyDescent="0.3">
      <c r="B23" s="465" t="s">
        <v>181</v>
      </c>
      <c r="C23" s="466" t="str">
        <f>'ROI Number insert'!I24</f>
        <v>More than 15 Years</v>
      </c>
    </row>
    <row r="24" spans="2:7" ht="15.6" x14ac:dyDescent="0.3">
      <c r="B24" s="467" t="s">
        <v>182</v>
      </c>
      <c r="C24" s="468">
        <f>'Calculating offering price'!C5</f>
        <v>516823.52941176464</v>
      </c>
      <c r="D24" s="429" t="s">
        <v>346</v>
      </c>
    </row>
    <row r="25" spans="2:7" ht="15.6" x14ac:dyDescent="0.3">
      <c r="B25" s="467" t="s">
        <v>183</v>
      </c>
      <c r="C25" s="469">
        <f>'Calculating offering price'!C4</f>
        <v>1588000</v>
      </c>
    </row>
    <row r="26" spans="2:7" ht="15.6" x14ac:dyDescent="0.3">
      <c r="B26" s="470" t="s">
        <v>276</v>
      </c>
      <c r="C26" s="471">
        <f>'ROI Number insert'!F3</f>
        <v>1550000</v>
      </c>
    </row>
    <row r="27" spans="2:7" ht="15.6" x14ac:dyDescent="0.3">
      <c r="B27" s="470" t="s">
        <v>316</v>
      </c>
      <c r="C27" s="471">
        <f>'ROI Number insert'!F18</f>
        <v>0</v>
      </c>
    </row>
    <row r="28" spans="2:7" ht="16.2" thickBot="1" x14ac:dyDescent="0.35">
      <c r="B28" s="472" t="s">
        <v>184</v>
      </c>
      <c r="C28" s="473">
        <f>'Calculating offering price'!C14</f>
        <v>382449.41176470584</v>
      </c>
      <c r="D28" s="429" t="s">
        <v>347</v>
      </c>
    </row>
    <row r="29" spans="2:7" ht="14.4" thickBot="1" x14ac:dyDescent="0.3"/>
    <row r="30" spans="2:7" ht="16.2" thickBot="1" x14ac:dyDescent="0.35">
      <c r="B30" s="474" t="s">
        <v>185</v>
      </c>
      <c r="C30" s="475">
        <f>'ROI Number insert'!F27</f>
        <v>63600</v>
      </c>
      <c r="D30" s="475">
        <f>'Financial Statement ARV'!C3</f>
        <v>0</v>
      </c>
      <c r="E30" s="476">
        <f>D30-C30</f>
        <v>-63600</v>
      </c>
    </row>
    <row r="31" spans="2:7" ht="15.6" x14ac:dyDescent="0.3">
      <c r="B31" s="477" t="s">
        <v>186</v>
      </c>
      <c r="C31" s="478">
        <f>'Calculating offering price'!C28</f>
        <v>3932.9457199999997</v>
      </c>
      <c r="D31" s="478">
        <f>'Financial Statement ARV'!C18</f>
        <v>3932.9457199999997</v>
      </c>
      <c r="E31" s="479">
        <f t="shared" ref="E31:E39" si="1">D31-C31</f>
        <v>0</v>
      </c>
    </row>
    <row r="32" spans="2:7" ht="15.6" x14ac:dyDescent="0.3">
      <c r="B32" s="480" t="s">
        <v>188</v>
      </c>
      <c r="C32" s="481">
        <f>SUM('Financial Statement'!C8:C18)-'Financial Statement'!C18-'Financial Statement'!C15-'Financial Statement'!C8</f>
        <v>19043.143529411765</v>
      </c>
      <c r="D32" s="481">
        <f>SUM('Financial Statement ARV'!C8:C18)-'Financial Statement ARV'!C18-'Financial Statement'!C15-'Financial Statement ARV'!C8</f>
        <v>13955.143529411765</v>
      </c>
      <c r="E32" s="482">
        <f t="shared" si="1"/>
        <v>-5088</v>
      </c>
    </row>
    <row r="33" spans="2:5" ht="15.6" x14ac:dyDescent="0.3">
      <c r="B33" s="480" t="s">
        <v>189</v>
      </c>
      <c r="C33" s="481">
        <f>'ROI Number insert'!F41</f>
        <v>3180</v>
      </c>
      <c r="D33" s="481">
        <f>'ROI Number insert ARV'!E41</f>
        <v>0</v>
      </c>
      <c r="E33" s="482">
        <f t="shared" si="1"/>
        <v>-3180</v>
      </c>
    </row>
    <row r="34" spans="2:5" ht="16.2" thickBot="1" x14ac:dyDescent="0.35">
      <c r="B34" s="483" t="s">
        <v>190</v>
      </c>
      <c r="C34" s="484">
        <f>'ROI Number insert'!F42</f>
        <v>0</v>
      </c>
      <c r="D34" s="484">
        <f>'ROI Number insert ARV'!E42</f>
        <v>0</v>
      </c>
      <c r="E34" s="485">
        <f t="shared" si="1"/>
        <v>0</v>
      </c>
    </row>
    <row r="35" spans="2:5" ht="16.2" thickBot="1" x14ac:dyDescent="0.35">
      <c r="B35" s="474" t="s">
        <v>191</v>
      </c>
      <c r="C35" s="475">
        <f>C30-SUM(C31:C34)</f>
        <v>37443.910750588235</v>
      </c>
      <c r="D35" s="475">
        <f t="shared" ref="D35" si="2">D30-SUM(D31:D34)</f>
        <v>-17888.089249411765</v>
      </c>
      <c r="E35" s="476">
        <f t="shared" si="1"/>
        <v>-55332</v>
      </c>
    </row>
    <row r="36" spans="2:5" ht="15.6" x14ac:dyDescent="0.3">
      <c r="B36" s="486" t="s">
        <v>187</v>
      </c>
      <c r="C36" s="487">
        <f>'Calculating offering price'!C27</f>
        <v>98158.803493278436</v>
      </c>
      <c r="D36" s="487" t="e">
        <f>'Calculating offering price ARV'!C27</f>
        <v>#NUM!</v>
      </c>
      <c r="E36" s="488" t="e">
        <f t="shared" si="1"/>
        <v>#NUM!</v>
      </c>
    </row>
    <row r="37" spans="2:5" ht="16.2" thickBot="1" x14ac:dyDescent="0.35">
      <c r="B37" s="489" t="s">
        <v>247</v>
      </c>
      <c r="C37" s="490">
        <f>'ROI Number insert'!I17</f>
        <v>0</v>
      </c>
      <c r="D37" s="490">
        <f>'Calculating offering price ARV'!C31</f>
        <v>0</v>
      </c>
      <c r="E37" s="491">
        <f t="shared" si="1"/>
        <v>0</v>
      </c>
    </row>
    <row r="38" spans="2:5" ht="15.6" x14ac:dyDescent="0.3">
      <c r="B38" s="492" t="s">
        <v>243</v>
      </c>
      <c r="C38" s="493">
        <f>C35-C36-C37</f>
        <v>-60714.892742690201</v>
      </c>
      <c r="D38" s="493" t="e">
        <f>D35-D36-D37</f>
        <v>#NUM!</v>
      </c>
      <c r="E38" s="494" t="e">
        <f t="shared" si="1"/>
        <v>#NUM!</v>
      </c>
    </row>
    <row r="39" spans="2:5" ht="16.2" thickBot="1" x14ac:dyDescent="0.35">
      <c r="B39" s="495" t="s">
        <v>137</v>
      </c>
      <c r="C39" s="496">
        <f>C38/12</f>
        <v>-5059.5743952241837</v>
      </c>
      <c r="D39" s="496" t="e">
        <f>D38/12</f>
        <v>#NUM!</v>
      </c>
      <c r="E39" s="497" t="e">
        <f t="shared" si="1"/>
        <v>#NUM!</v>
      </c>
    </row>
    <row r="40" spans="2:5" ht="16.2" thickBot="1" x14ac:dyDescent="0.3">
      <c r="B40" s="498" t="s">
        <v>206</v>
      </c>
    </row>
    <row r="41" spans="2:5" ht="15.6" x14ac:dyDescent="0.3">
      <c r="B41" s="499" t="s">
        <v>325</v>
      </c>
      <c r="C41" s="500">
        <f>'ROI Number insert ARV'!E3-'ROI Number insert'!F3</f>
        <v>-1550000</v>
      </c>
    </row>
    <row r="42" spans="2:5" ht="15.6" x14ac:dyDescent="0.3">
      <c r="B42" s="501" t="s">
        <v>326</v>
      </c>
      <c r="C42" s="502" t="e">
        <f>D19+D20</f>
        <v>#NUM!</v>
      </c>
    </row>
    <row r="43" spans="2:5" ht="15.6" x14ac:dyDescent="0.3">
      <c r="B43" s="501" t="s">
        <v>327</v>
      </c>
      <c r="C43" s="503" t="e">
        <f>C41-C42</f>
        <v>#NUM!</v>
      </c>
    </row>
    <row r="44" spans="2:5" ht="16.2" thickBot="1" x14ac:dyDescent="0.35">
      <c r="B44" s="504" t="s">
        <v>146</v>
      </c>
      <c r="C44" s="505" t="e">
        <f>C43/C42</f>
        <v>#NUM!</v>
      </c>
    </row>
    <row r="45" spans="2:5" ht="16.2" thickBot="1" x14ac:dyDescent="0.35">
      <c r="B45" s="506"/>
      <c r="C45" s="507"/>
    </row>
    <row r="46" spans="2:5" ht="16.2" thickBot="1" x14ac:dyDescent="0.35">
      <c r="B46" s="975" t="s">
        <v>448</v>
      </c>
      <c r="C46" s="976"/>
    </row>
    <row r="47" spans="2:5" ht="15.6" x14ac:dyDescent="0.3">
      <c r="B47" s="456" t="s">
        <v>141</v>
      </c>
      <c r="C47" s="508">
        <f>'Financial Statement'!C24</f>
        <v>-0.16799914981375264</v>
      </c>
    </row>
    <row r="48" spans="2:5" ht="15.6" x14ac:dyDescent="0.3">
      <c r="B48" s="459" t="s">
        <v>142</v>
      </c>
      <c r="C48" s="509">
        <f>'Financial Statement'!C34</f>
        <v>5.8829517577583333E-2</v>
      </c>
    </row>
    <row r="49" spans="2:8" ht="15.6" x14ac:dyDescent="0.3">
      <c r="B49" s="459" t="s">
        <v>143</v>
      </c>
      <c r="C49" s="509">
        <f>'Financial Statement'!C41</f>
        <v>8.5777531820697292E-2</v>
      </c>
    </row>
    <row r="50" spans="2:8" ht="16.2" thickBot="1" x14ac:dyDescent="0.35">
      <c r="B50" s="510" t="s">
        <v>206</v>
      </c>
      <c r="C50" s="511">
        <f>'ROI details'!H32</f>
        <v>0.72661870503597126</v>
      </c>
    </row>
    <row r="51" spans="2:8" ht="16.2" thickBot="1" x14ac:dyDescent="0.35">
      <c r="B51" s="512" t="s">
        <v>449</v>
      </c>
      <c r="C51" s="513">
        <f>SUM(C47:C50)</f>
        <v>0.70322660462049924</v>
      </c>
    </row>
    <row r="52" spans="2:8" ht="16.2" thickBot="1" x14ac:dyDescent="0.35">
      <c r="C52" s="963" t="s">
        <v>312</v>
      </c>
      <c r="D52" s="963"/>
      <c r="E52" s="963" t="s">
        <v>310</v>
      </c>
      <c r="F52" s="963"/>
      <c r="G52" s="963" t="s">
        <v>311</v>
      </c>
      <c r="H52" s="963"/>
    </row>
    <row r="53" spans="2:8" ht="15.6" x14ac:dyDescent="0.25">
      <c r="B53" s="964" t="s">
        <v>196</v>
      </c>
      <c r="C53" s="965"/>
      <c r="D53" s="965"/>
      <c r="E53" s="965"/>
      <c r="F53" s="965"/>
      <c r="G53" s="965"/>
      <c r="H53" s="966"/>
    </row>
    <row r="54" spans="2:8" ht="15.6" x14ac:dyDescent="0.3">
      <c r="B54" s="514" t="s">
        <v>141</v>
      </c>
      <c r="C54" s="515">
        <f>'ROI details'!C10</f>
        <v>-300635.24413164594</v>
      </c>
      <c r="D54" s="516">
        <f>'ROI details'!C12*5</f>
        <v>-0.83186287806210835</v>
      </c>
      <c r="E54" s="515" t="e">
        <f>'ROI Detail ARV'!C10</f>
        <v>#NUM!</v>
      </c>
      <c r="F54" s="516" t="e">
        <f>'ROI Detail ARV'!C12*5</f>
        <v>#NUM!</v>
      </c>
      <c r="G54" s="515" t="e">
        <f>E54-C54</f>
        <v>#NUM!</v>
      </c>
      <c r="H54" s="517" t="e">
        <f>F54-D54</f>
        <v>#NUM!</v>
      </c>
    </row>
    <row r="55" spans="2:8" ht="15.6" x14ac:dyDescent="0.3">
      <c r="B55" s="514" t="s">
        <v>142</v>
      </c>
      <c r="C55" s="518">
        <f>'ROI details'!I4</f>
        <v>123239.87037984765</v>
      </c>
      <c r="D55" s="516">
        <f>'ROI details'!I5</f>
        <v>0.34100683558341904</v>
      </c>
      <c r="E55" s="518" t="e">
        <f>'ROI Detail ARV'!I4</f>
        <v>#NUM!</v>
      </c>
      <c r="F55" s="516" t="e">
        <f>'ROI Detail ARV'!I5</f>
        <v>#NUM!</v>
      </c>
      <c r="G55" s="515" t="e">
        <f t="shared" ref="G55:G56" si="3">E55-C55</f>
        <v>#NUM!</v>
      </c>
      <c r="H55" s="517" t="e">
        <f>F55-D55</f>
        <v>#NUM!</v>
      </c>
    </row>
    <row r="56" spans="2:8" ht="15.6" x14ac:dyDescent="0.3">
      <c r="B56" s="514" t="s">
        <v>143</v>
      </c>
      <c r="C56" s="518">
        <f>'ROI details'!I19</f>
        <v>161325.24496000004</v>
      </c>
      <c r="D56" s="516">
        <f>'ROI details'!J19</f>
        <v>0.44638972042058672</v>
      </c>
      <c r="E56" s="518">
        <f>'ROI Detail ARV'!I19</f>
        <v>161325.24496000004</v>
      </c>
      <c r="F56" s="516">
        <f>'ROI Detail ARV'!J19</f>
        <v>0.10074013048582493</v>
      </c>
      <c r="G56" s="515">
        <f t="shared" si="3"/>
        <v>0</v>
      </c>
      <c r="H56" s="517">
        <f>'ROI Detail ARV'!L19</f>
        <v>0</v>
      </c>
    </row>
    <row r="57" spans="2:8" ht="15.6" x14ac:dyDescent="0.3">
      <c r="B57" s="973" t="s">
        <v>320</v>
      </c>
      <c r="C57" s="974"/>
      <c r="D57" s="974"/>
      <c r="E57" s="518">
        <f>'ROI Number insert ARV'!H11-'ROI Number insert'!I11-C21</f>
        <v>-1601400</v>
      </c>
      <c r="F57" s="516"/>
      <c r="G57" s="515"/>
      <c r="H57" s="517"/>
    </row>
    <row r="58" spans="2:8" ht="16.2" thickBot="1" x14ac:dyDescent="0.35">
      <c r="B58" s="519" t="s">
        <v>193</v>
      </c>
      <c r="C58" s="520">
        <f t="shared" ref="C58:H58" si="4">SUM(C54:C56)</f>
        <v>-16070.128791798255</v>
      </c>
      <c r="D58" s="521">
        <f t="shared" si="4"/>
        <v>-4.4466322058102581E-2</v>
      </c>
      <c r="E58" s="520" t="e">
        <f t="shared" si="4"/>
        <v>#NUM!</v>
      </c>
      <c r="F58" s="522" t="e">
        <f t="shared" si="4"/>
        <v>#NUM!</v>
      </c>
      <c r="G58" s="520" t="e">
        <f t="shared" si="4"/>
        <v>#NUM!</v>
      </c>
      <c r="H58" s="521" t="e">
        <f t="shared" si="4"/>
        <v>#NUM!</v>
      </c>
    </row>
    <row r="59" spans="2:8" ht="16.2" thickBot="1" x14ac:dyDescent="0.35">
      <c r="B59" s="961" t="s">
        <v>194</v>
      </c>
      <c r="C59" s="962"/>
      <c r="D59" s="523" t="e">
        <f>_xlfn.RRI(4,C51,D58)</f>
        <v>#NUM!</v>
      </c>
      <c r="E59" s="524"/>
      <c r="F59" s="525" t="e">
        <f>_xlfn.RRI(5,D6,E58)</f>
        <v>#NUM!</v>
      </c>
      <c r="G59" s="524"/>
      <c r="H59" s="523" t="e">
        <f>F59-D59</f>
        <v>#NUM!</v>
      </c>
    </row>
    <row r="60" spans="2:8" ht="15.6" x14ac:dyDescent="0.25">
      <c r="B60" s="967" t="s">
        <v>192</v>
      </c>
      <c r="C60" s="968"/>
      <c r="D60" s="968"/>
      <c r="E60" s="968"/>
      <c r="F60" s="968"/>
      <c r="G60" s="968"/>
      <c r="H60" s="969"/>
    </row>
    <row r="61" spans="2:8" ht="15.6" x14ac:dyDescent="0.3">
      <c r="B61" s="526" t="s">
        <v>141</v>
      </c>
      <c r="C61" s="527">
        <f>'ROI details'!C26</f>
        <v>-597042.89098653093</v>
      </c>
      <c r="D61" s="528">
        <f>'ROI details'!C28*10</f>
        <v>-1.6520279219328471</v>
      </c>
      <c r="E61" s="527" t="e">
        <f>'ROI Detail ARV'!C26</f>
        <v>#NUM!</v>
      </c>
      <c r="F61" s="528" t="e">
        <f>'ROI Detail ARV'!C28*10</f>
        <v>#NUM!</v>
      </c>
      <c r="G61" s="527" t="e">
        <f>E61-C61</f>
        <v>#NUM!</v>
      </c>
      <c r="H61" s="529" t="e">
        <f>F61-D61</f>
        <v>#NUM!</v>
      </c>
    </row>
    <row r="62" spans="2:8" ht="15.6" x14ac:dyDescent="0.3">
      <c r="B62" s="526" t="s">
        <v>142</v>
      </c>
      <c r="C62" s="530">
        <f>'ROI details'!I8</f>
        <v>289201.05103103229</v>
      </c>
      <c r="D62" s="528">
        <f>'ROI details'!I9</f>
        <v>0.80022426959333781</v>
      </c>
      <c r="E62" s="530" t="e">
        <f>'ROI Detail ARV'!I8</f>
        <v>#NUM!</v>
      </c>
      <c r="F62" s="528" t="e">
        <f>'ROI Detail ARV'!I9</f>
        <v>#NUM!</v>
      </c>
      <c r="G62" s="527" t="e">
        <f t="shared" ref="G62:G63" si="5">E62-C62</f>
        <v>#NUM!</v>
      </c>
      <c r="H62" s="529" t="e">
        <f t="shared" ref="H62:H63" si="6">F62-D62</f>
        <v>#NUM!</v>
      </c>
    </row>
    <row r="63" spans="2:8" ht="15.6" x14ac:dyDescent="0.3">
      <c r="B63" s="526" t="s">
        <v>143</v>
      </c>
      <c r="C63" s="530">
        <f>'ROI details'!I20</f>
        <v>248838.27878898033</v>
      </c>
      <c r="D63" s="528">
        <f>'ROI details'!J20</f>
        <v>0.68853978635578394</v>
      </c>
      <c r="E63" s="530">
        <f>'ROI Detail ARV'!I20</f>
        <v>248838.27878898033</v>
      </c>
      <c r="F63" s="528">
        <f>'ROI Detail ARV'!J20</f>
        <v>0.15538795977830669</v>
      </c>
      <c r="G63" s="527">
        <f t="shared" si="5"/>
        <v>0</v>
      </c>
      <c r="H63" s="529">
        <f t="shared" si="6"/>
        <v>-0.53315182657747728</v>
      </c>
    </row>
    <row r="64" spans="2:8" ht="16.2" thickBot="1" x14ac:dyDescent="0.35">
      <c r="B64" s="531" t="s">
        <v>193</v>
      </c>
      <c r="C64" s="532">
        <f t="shared" ref="C64:H64" si="7">SUM(C61:C63)</f>
        <v>-59003.56116651831</v>
      </c>
      <c r="D64" s="533">
        <f t="shared" si="7"/>
        <v>-0.16326386598372533</v>
      </c>
      <c r="E64" s="532" t="e">
        <f t="shared" si="7"/>
        <v>#NUM!</v>
      </c>
      <c r="F64" s="534" t="e">
        <f t="shared" si="7"/>
        <v>#NUM!</v>
      </c>
      <c r="G64" s="532" t="e">
        <f t="shared" si="7"/>
        <v>#NUM!</v>
      </c>
      <c r="H64" s="533" t="e">
        <f t="shared" si="7"/>
        <v>#NUM!</v>
      </c>
    </row>
    <row r="65" spans="1:8" ht="16.2" thickBot="1" x14ac:dyDescent="0.35">
      <c r="B65" s="959" t="s">
        <v>194</v>
      </c>
      <c r="C65" s="960"/>
      <c r="D65" s="535">
        <f>RATE(9,,-('ROI details'!C5+'PR Result'!C5+'Total Result'!C26*'Calculating offering price'!C87),C64)</f>
        <v>0.24096025683581754</v>
      </c>
      <c r="E65" s="536"/>
      <c r="F65" s="537" t="e">
        <f>_xlfn.RRI(10,D6,E64)</f>
        <v>#NUM!</v>
      </c>
      <c r="G65" s="536"/>
      <c r="H65" s="535" t="e">
        <f>F65-D65</f>
        <v>#NUM!</v>
      </c>
    </row>
    <row r="66" spans="1:8" ht="15.6" x14ac:dyDescent="0.3">
      <c r="B66" s="970" t="s">
        <v>195</v>
      </c>
      <c r="C66" s="971"/>
      <c r="D66" s="971"/>
      <c r="E66" s="971"/>
      <c r="F66" s="971"/>
      <c r="G66" s="971"/>
      <c r="H66" s="972"/>
    </row>
    <row r="67" spans="1:8" ht="15.6" x14ac:dyDescent="0.3">
      <c r="B67" s="538" t="s">
        <v>141</v>
      </c>
      <c r="C67" s="539">
        <f>'ROI details'!C47</f>
        <v>-890460.02265850606</v>
      </c>
      <c r="D67" s="540">
        <f>'ROI details'!C49*15</f>
        <v>-2.4639181589886721</v>
      </c>
      <c r="E67" s="539" t="e">
        <f>'ROI Detail ARV'!C47</f>
        <v>#NUM!</v>
      </c>
      <c r="F67" s="540" t="e">
        <f>'ROI Detail ARV'!C49*15</f>
        <v>#NUM!</v>
      </c>
      <c r="G67" s="539" t="e">
        <f>E67-C67</f>
        <v>#NUM!</v>
      </c>
      <c r="H67" s="541" t="e">
        <f>F67-D67</f>
        <v>#NUM!</v>
      </c>
    </row>
    <row r="68" spans="1:8" ht="15.6" x14ac:dyDescent="0.3">
      <c r="B68" s="538" t="s">
        <v>142</v>
      </c>
      <c r="C68" s="542">
        <f>'ROI details'!I12</f>
        <v>515859.19805492985</v>
      </c>
      <c r="D68" s="540">
        <f>'ROI details'!I13</f>
        <v>1.4273912508437461</v>
      </c>
      <c r="E68" s="542" t="e">
        <f>'ROI Detail ARV'!I12</f>
        <v>#NUM!</v>
      </c>
      <c r="F68" s="540" t="e">
        <f>'ROI Detail ARV'!I13</f>
        <v>#NUM!</v>
      </c>
      <c r="G68" s="539" t="e">
        <f t="shared" ref="G68:G69" si="8">E68-C68</f>
        <v>#NUM!</v>
      </c>
      <c r="H68" s="541" t="e">
        <f t="shared" ref="H68:H69" si="9">F68-D68</f>
        <v>#NUM!</v>
      </c>
    </row>
    <row r="69" spans="1:8" ht="15.6" x14ac:dyDescent="0.3">
      <c r="B69" s="538" t="s">
        <v>143</v>
      </c>
      <c r="C69" s="542">
        <f>'ROI details'!I21</f>
        <v>536095.92440240039</v>
      </c>
      <c r="D69" s="540">
        <f>'ROI details'!J21</f>
        <v>1.4833866198184846</v>
      </c>
      <c r="E69" s="542">
        <f>'ROI Detail ARV'!I21</f>
        <v>536095.92440240039</v>
      </c>
      <c r="F69" s="540">
        <f>'ROI Detail ARV'!J21</f>
        <v>0.33476703159885124</v>
      </c>
      <c r="G69" s="539">
        <f t="shared" si="8"/>
        <v>0</v>
      </c>
      <c r="H69" s="541">
        <f t="shared" si="9"/>
        <v>-1.1486195882196335</v>
      </c>
    </row>
    <row r="70" spans="1:8" ht="16.2" thickBot="1" x14ac:dyDescent="0.35">
      <c r="B70" s="543" t="s">
        <v>193</v>
      </c>
      <c r="C70" s="544">
        <f t="shared" ref="C70:H70" si="10">SUM(C67:C69)</f>
        <v>161495.09979882417</v>
      </c>
      <c r="D70" s="545">
        <f t="shared" si="10"/>
        <v>0.44685971167355865</v>
      </c>
      <c r="E70" s="544" t="e">
        <f t="shared" si="10"/>
        <v>#NUM!</v>
      </c>
      <c r="F70" s="545" t="e">
        <f t="shared" si="10"/>
        <v>#NUM!</v>
      </c>
      <c r="G70" s="544" t="e">
        <f t="shared" si="10"/>
        <v>#NUM!</v>
      </c>
      <c r="H70" s="546" t="e">
        <f t="shared" si="10"/>
        <v>#NUM!</v>
      </c>
    </row>
    <row r="71" spans="1:8" ht="16.2" thickBot="1" x14ac:dyDescent="0.35">
      <c r="B71" s="957" t="s">
        <v>194</v>
      </c>
      <c r="C71" s="958"/>
      <c r="D71" s="547" t="e">
        <f>RATE(14,,-('ROI details'!C5+'PR Result'!C5+'Total Result'!C26*'Calculating offering price'!C87),C70)</f>
        <v>#NUM!</v>
      </c>
      <c r="E71" s="548"/>
      <c r="F71" s="547" t="e">
        <f>_xlfn.RRI(15,D6,E70)</f>
        <v>#NUM!</v>
      </c>
      <c r="G71" s="548"/>
      <c r="H71" s="549" t="e">
        <f>F71-D71</f>
        <v>#NUM!</v>
      </c>
    </row>
    <row r="73" spans="1:8" x14ac:dyDescent="0.25">
      <c r="A73" s="550"/>
    </row>
    <row r="75" spans="1:8" x14ac:dyDescent="0.25">
      <c r="A75" s="551"/>
    </row>
  </sheetData>
  <mergeCells count="12">
    <mergeCell ref="B16:D16"/>
    <mergeCell ref="B71:C71"/>
    <mergeCell ref="B65:C65"/>
    <mergeCell ref="B59:C59"/>
    <mergeCell ref="E52:F52"/>
    <mergeCell ref="B53:H53"/>
    <mergeCell ref="B60:H60"/>
    <mergeCell ref="B66:H66"/>
    <mergeCell ref="G52:H52"/>
    <mergeCell ref="C52:D52"/>
    <mergeCell ref="B57:D57"/>
    <mergeCell ref="B46:C46"/>
  </mergeCells>
  <hyperlinks>
    <hyperlink ref="B40" location="'ROI details'!G23" display="Active Appreciation" xr:uid="{D4177FE8-C55D-4844-BD6D-A5464DDE7CF4}"/>
    <hyperlink ref="A1" location="'Table of contents'!A1" display="Table of contents" xr:uid="{E183BEAA-4F08-47D7-9DFE-40112A001BB6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2A13-D14C-494E-9700-433948EE4EFC}">
  <sheetPr codeName="Sheet7">
    <tabColor theme="2" tint="-0.249977111117893"/>
  </sheetPr>
  <dimension ref="A1:C44"/>
  <sheetViews>
    <sheetView workbookViewId="0"/>
  </sheetViews>
  <sheetFormatPr defaultColWidth="8.77734375" defaultRowHeight="14.4" x14ac:dyDescent="0.3"/>
  <cols>
    <col min="1" max="1" width="8.77734375" style="1"/>
    <col min="2" max="2" width="51.77734375" style="1" customWidth="1"/>
    <col min="3" max="3" width="19.21875" style="1" customWidth="1"/>
    <col min="4" max="4" width="8.77734375" style="1"/>
    <col min="5" max="5" width="25.33203125" style="1" customWidth="1"/>
    <col min="6" max="16384" width="8.77734375" style="1"/>
  </cols>
  <sheetData>
    <row r="1" spans="1:3" x14ac:dyDescent="0.3">
      <c r="A1" s="628" t="s">
        <v>454</v>
      </c>
    </row>
    <row r="2" spans="1:3" ht="21" x14ac:dyDescent="0.4">
      <c r="B2" s="977" t="s">
        <v>253</v>
      </c>
      <c r="C2" s="977"/>
    </row>
    <row r="3" spans="1:3" x14ac:dyDescent="0.3">
      <c r="B3" s="290" t="s">
        <v>240</v>
      </c>
      <c r="C3" s="298">
        <f>SUM(C4:C6)</f>
        <v>63600</v>
      </c>
    </row>
    <row r="4" spans="1:3" x14ac:dyDescent="0.3">
      <c r="B4" s="295" t="s">
        <v>254</v>
      </c>
      <c r="C4" s="292">
        <f>('Calculating offering price'!C51+'Calculating offering price'!D49+'Calculating offering price'!E49)*12</f>
        <v>63600</v>
      </c>
    </row>
    <row r="5" spans="1:3" x14ac:dyDescent="0.3">
      <c r="B5" s="295" t="s">
        <v>255</v>
      </c>
      <c r="C5" s="293">
        <f>SUM('Calculating offering price'!C53:C56)*12</f>
        <v>0</v>
      </c>
    </row>
    <row r="6" spans="1:3" x14ac:dyDescent="0.3">
      <c r="B6" s="296" t="s">
        <v>256</v>
      </c>
      <c r="C6" s="294">
        <f>-'ROI Number insert'!F26</f>
        <v>0</v>
      </c>
    </row>
    <row r="7" spans="1:3" x14ac:dyDescent="0.3">
      <c r="B7" s="290" t="s">
        <v>241</v>
      </c>
      <c r="C7" s="298">
        <f>SUM(C8:C18)</f>
        <v>26156.089249411765</v>
      </c>
    </row>
    <row r="8" spans="1:3" x14ac:dyDescent="0.3">
      <c r="B8" s="295" t="s">
        <v>257</v>
      </c>
      <c r="C8" s="292">
        <f>'ROI Number insert'!F41</f>
        <v>3180</v>
      </c>
    </row>
    <row r="9" spans="1:3" x14ac:dyDescent="0.3">
      <c r="B9" s="295" t="s">
        <v>258</v>
      </c>
      <c r="C9" s="292">
        <f>'ROI Number insert'!F38</f>
        <v>1500</v>
      </c>
    </row>
    <row r="10" spans="1:3" x14ac:dyDescent="0.3">
      <c r="B10" s="295" t="s">
        <v>259</v>
      </c>
      <c r="C10" s="292">
        <f>'ROI Number insert'!F35</f>
        <v>1571.1435294117646</v>
      </c>
    </row>
    <row r="11" spans="1:3" x14ac:dyDescent="0.3">
      <c r="B11" s="295" t="s">
        <v>260</v>
      </c>
      <c r="C11" s="292">
        <f>'ROI Number insert'!F39</f>
        <v>0</v>
      </c>
    </row>
    <row r="12" spans="1:3" x14ac:dyDescent="0.3">
      <c r="B12" s="295" t="s">
        <v>261</v>
      </c>
      <c r="C12" s="292">
        <f>'ROI Number insert'!F40</f>
        <v>0</v>
      </c>
    </row>
    <row r="13" spans="1:3" x14ac:dyDescent="0.3">
      <c r="B13" s="295" t="s">
        <v>262</v>
      </c>
      <c r="C13" s="292">
        <f>'ROI Number insert'!F34</f>
        <v>5088</v>
      </c>
    </row>
    <row r="14" spans="1:3" x14ac:dyDescent="0.3">
      <c r="B14" s="295" t="s">
        <v>39</v>
      </c>
      <c r="C14" s="292">
        <f>'ROI Number insert'!F37</f>
        <v>10884</v>
      </c>
    </row>
    <row r="15" spans="1:3" x14ac:dyDescent="0.3">
      <c r="B15" s="295" t="s">
        <v>190</v>
      </c>
      <c r="C15" s="292">
        <f>'ROI Number insert'!F42</f>
        <v>0</v>
      </c>
    </row>
    <row r="16" spans="1:3" x14ac:dyDescent="0.3">
      <c r="B16" s="295" t="s">
        <v>263</v>
      </c>
      <c r="C16" s="292">
        <f>'ROI Number insert'!F43</f>
        <v>0</v>
      </c>
    </row>
    <row r="17" spans="2:3" x14ac:dyDescent="0.3">
      <c r="B17" s="295" t="s">
        <v>267</v>
      </c>
      <c r="C17" s="292">
        <f>'ROI Number insert'!I16</f>
        <v>0</v>
      </c>
    </row>
    <row r="18" spans="2:3" x14ac:dyDescent="0.3">
      <c r="B18" s="296" t="s">
        <v>264</v>
      </c>
      <c r="C18" s="297">
        <f>'ROI Number insert'!F32</f>
        <v>3932.9457199999997</v>
      </c>
    </row>
    <row r="19" spans="2:3" x14ac:dyDescent="0.3">
      <c r="B19" s="299" t="s">
        <v>218</v>
      </c>
      <c r="C19" s="300">
        <f>C3-C7</f>
        <v>37443.910750588235</v>
      </c>
    </row>
    <row r="20" spans="2:3" x14ac:dyDescent="0.3">
      <c r="B20" s="1" t="s">
        <v>265</v>
      </c>
      <c r="C20" s="292">
        <f>'ROI Number insert'!I13</f>
        <v>98158.803493278436</v>
      </c>
    </row>
    <row r="21" spans="2:3" ht="15" thickBot="1" x14ac:dyDescent="0.35">
      <c r="B21" s="403" t="s">
        <v>266</v>
      </c>
      <c r="C21" s="404">
        <f>'ROI Number insert'!I17</f>
        <v>0</v>
      </c>
    </row>
    <row r="22" spans="2:3" ht="16.8" thickTop="1" thickBot="1" x14ac:dyDescent="0.35">
      <c r="B22" s="405" t="s">
        <v>141</v>
      </c>
      <c r="C22" s="406">
        <f>C19-SUM(C20:C21)</f>
        <v>-60714.892742690201</v>
      </c>
    </row>
    <row r="23" spans="2:3" ht="15" thickBot="1" x14ac:dyDescent="0.35">
      <c r="B23" s="408" t="s">
        <v>331</v>
      </c>
      <c r="C23" s="409">
        <f>'Total Result'!C21</f>
        <v>361400</v>
      </c>
    </row>
    <row r="24" spans="2:3" ht="15.6" thickTop="1" thickBot="1" x14ac:dyDescent="0.35">
      <c r="B24" s="410" t="s">
        <v>332</v>
      </c>
      <c r="C24" s="411">
        <f>C22/C23</f>
        <v>-0.16799914981375264</v>
      </c>
    </row>
    <row r="25" spans="2:3" x14ac:dyDescent="0.3">
      <c r="B25" s="1" t="s">
        <v>335</v>
      </c>
      <c r="C25" s="127">
        <f>'Total Result'!C17+'Financial Statement'!C32</f>
        <v>331260.98765253864</v>
      </c>
    </row>
    <row r="26" spans="2:3" x14ac:dyDescent="0.3">
      <c r="B26" s="1" t="s">
        <v>337</v>
      </c>
      <c r="C26" s="414">
        <f>C25/'Total Result'!C26</f>
        <v>0.21371676622744429</v>
      </c>
    </row>
    <row r="27" spans="2:3" ht="15" thickBot="1" x14ac:dyDescent="0.35">
      <c r="B27" s="1" t="s">
        <v>339</v>
      </c>
      <c r="C27" s="414">
        <f>C26-'Calculating offering price'!C13</f>
        <v>1.3716766227444277E-2</v>
      </c>
    </row>
    <row r="28" spans="2:3" ht="15.6" thickTop="1" thickBot="1" x14ac:dyDescent="0.35">
      <c r="B28" s="410" t="s">
        <v>336</v>
      </c>
      <c r="C28" s="411">
        <f>C22/C25</f>
        <v>-0.18328416265658898</v>
      </c>
    </row>
    <row r="31" spans="2:3" x14ac:dyDescent="0.3">
      <c r="B31" s="978" t="s">
        <v>333</v>
      </c>
      <c r="C31" s="978"/>
    </row>
    <row r="32" spans="2:3" x14ac:dyDescent="0.3">
      <c r="B32" s="1" t="s">
        <v>334</v>
      </c>
      <c r="C32" s="292">
        <f>SUM('Mortgage payment schedule'!E9:E20)</f>
        <v>21260.987652538617</v>
      </c>
    </row>
    <row r="33" spans="2:3" ht="15" thickBot="1" x14ac:dyDescent="0.35">
      <c r="B33" s="403" t="s">
        <v>331</v>
      </c>
      <c r="C33" s="412">
        <f>C23</f>
        <v>361400</v>
      </c>
    </row>
    <row r="34" spans="2:3" ht="15" thickTop="1" x14ac:dyDescent="0.3">
      <c r="B34" s="1" t="s">
        <v>338</v>
      </c>
      <c r="C34" s="413">
        <f>C32/C33</f>
        <v>5.8829517577583333E-2</v>
      </c>
    </row>
    <row r="36" spans="2:3" x14ac:dyDescent="0.3">
      <c r="B36" s="978" t="s">
        <v>340</v>
      </c>
      <c r="C36" s="978"/>
    </row>
    <row r="37" spans="2:3" x14ac:dyDescent="0.3">
      <c r="B37" s="1" t="s">
        <v>341</v>
      </c>
      <c r="C37" s="415">
        <f>'ROI Number insert'!F6</f>
        <v>0.02</v>
      </c>
    </row>
    <row r="38" spans="2:3" x14ac:dyDescent="0.3">
      <c r="B38" s="1" t="s">
        <v>95</v>
      </c>
      <c r="C38" s="292">
        <f>'ROI Number insert'!F3</f>
        <v>1550000</v>
      </c>
    </row>
    <row r="39" spans="2:3" x14ac:dyDescent="0.3">
      <c r="B39" s="1" t="s">
        <v>342</v>
      </c>
      <c r="C39" s="127">
        <f>C38*C37</f>
        <v>31000</v>
      </c>
    </row>
    <row r="40" spans="2:3" ht="15" thickBot="1" x14ac:dyDescent="0.35">
      <c r="B40" s="403" t="s">
        <v>331</v>
      </c>
      <c r="C40" s="412">
        <f>C33</f>
        <v>361400</v>
      </c>
    </row>
    <row r="41" spans="2:3" ht="15" thickTop="1" x14ac:dyDescent="0.3">
      <c r="B41" s="1" t="s">
        <v>343</v>
      </c>
      <c r="C41" s="413">
        <f>C39/C40</f>
        <v>8.5777531820697292E-2</v>
      </c>
    </row>
    <row r="43" spans="2:3" ht="15" thickBot="1" x14ac:dyDescent="0.35">
      <c r="B43" s="407" t="s">
        <v>344</v>
      </c>
      <c r="C43" s="416">
        <f>C41+C34+C24</f>
        <v>-2.3392100415472017E-2</v>
      </c>
    </row>
    <row r="44" spans="2:3" ht="15" thickTop="1" x14ac:dyDescent="0.3"/>
  </sheetData>
  <sheetProtection algorithmName="SHA-512" hashValue="o1kqf3Dn5OCYuZlaJGc4+mLPP/YiGevAg/aiP8xG4ZQzENzPbomaSiRU0xO11ZeJtAqtILB40chcXmj/tvsHNg==" saltValue="DRl0NJRQOfwyMNL6KZ5+8A==" spinCount="100000" sheet="1" objects="1" scenarios="1"/>
  <mergeCells count="3">
    <mergeCell ref="B2:C2"/>
    <mergeCell ref="B31:C31"/>
    <mergeCell ref="B36:C36"/>
  </mergeCells>
  <hyperlinks>
    <hyperlink ref="A1" location="'Table of contents'!A1" display="Table of contents" xr:uid="{F22F1356-D437-43E8-A577-FF5FD2B1CC5F}"/>
  </hyperlink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90E3-145B-4CA3-944A-29F37CCB6AE5}">
  <sheetPr codeName="Sheet5">
    <tabColor theme="2" tint="-0.249977111117893"/>
  </sheetPr>
  <dimension ref="A1:K50"/>
  <sheetViews>
    <sheetView workbookViewId="0"/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4.332031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5.33203125" style="1" customWidth="1"/>
    <col min="12" max="16384" width="8.77734375" style="1"/>
  </cols>
  <sheetData>
    <row r="1" spans="1:11" x14ac:dyDescent="0.3">
      <c r="A1" s="628" t="s">
        <v>454</v>
      </c>
    </row>
    <row r="2" spans="1:11" ht="21.6" thickBot="1" x14ac:dyDescent="0.45">
      <c r="B2" s="427" t="s">
        <v>141</v>
      </c>
      <c r="G2" s="402" t="s">
        <v>142</v>
      </c>
      <c r="I2" s="117"/>
    </row>
    <row r="3" spans="1:11" ht="15.6" x14ac:dyDescent="0.3">
      <c r="B3" s="1" t="s">
        <v>199</v>
      </c>
      <c r="D3" s="788"/>
      <c r="G3" s="178" t="s">
        <v>205</v>
      </c>
      <c r="H3" s="179" t="s">
        <v>21</v>
      </c>
      <c r="I3" s="180">
        <f>'ROI Number insert'!F19</f>
        <v>361400</v>
      </c>
    </row>
    <row r="4" spans="1:11" ht="15.6" x14ac:dyDescent="0.3">
      <c r="B4" s="168" t="s">
        <v>140</v>
      </c>
      <c r="C4" s="168" t="s">
        <v>149</v>
      </c>
      <c r="D4" s="168" t="s">
        <v>150</v>
      </c>
      <c r="E4" s="168" t="s">
        <v>151</v>
      </c>
      <c r="G4" s="163"/>
      <c r="H4" s="181" t="s">
        <v>145</v>
      </c>
      <c r="I4" s="182">
        <f>SUM('Mortgage payment schedule'!E9:E69)</f>
        <v>123239.87037984765</v>
      </c>
    </row>
    <row r="5" spans="1:11" ht="15.6" x14ac:dyDescent="0.3">
      <c r="B5" s="169">
        <v>1</v>
      </c>
      <c r="C5" s="789">
        <f>'ROI Number insert'!F47</f>
        <v>-60714.892742690201</v>
      </c>
      <c r="D5" s="171">
        <f>C5/$C$11</f>
        <v>-0.16799914981375264</v>
      </c>
      <c r="E5" s="172">
        <f>C5/12</f>
        <v>-5059.5743952241837</v>
      </c>
      <c r="G5" s="163"/>
      <c r="H5" s="181" t="s">
        <v>146</v>
      </c>
      <c r="I5" s="183">
        <f>I4/I3</f>
        <v>0.34100683558341904</v>
      </c>
    </row>
    <row r="6" spans="1:11" ht="16.2" thickBot="1" x14ac:dyDescent="0.35">
      <c r="B6" s="169">
        <v>2</v>
      </c>
      <c r="C6" s="170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6" s="171">
        <f t="shared" ref="D6:D9" si="0">C6/$C$11</f>
        <v>-0.16726591637740054</v>
      </c>
      <c r="E6" s="172">
        <f>C6/12</f>
        <v>-5037.491848232713</v>
      </c>
      <c r="G6" s="163"/>
      <c r="H6" s="181" t="s">
        <v>147</v>
      </c>
      <c r="I6" s="183">
        <f>I5/10</f>
        <v>3.4100683558341907E-2</v>
      </c>
    </row>
    <row r="7" spans="1:11" s="76" customFormat="1" ht="15.6" x14ac:dyDescent="0.3">
      <c r="B7" s="174">
        <v>3</v>
      </c>
      <c r="C7" s="17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7" s="171">
        <f t="shared" si="0"/>
        <v>-0.16656956690145228</v>
      </c>
      <c r="E7" s="175">
        <f>C7/12</f>
        <v>-5016.5201231820711</v>
      </c>
      <c r="G7" s="121" t="s">
        <v>144</v>
      </c>
      <c r="H7" s="122" t="s">
        <v>21</v>
      </c>
      <c r="I7" s="123">
        <f>I3</f>
        <v>361400</v>
      </c>
      <c r="K7" s="1"/>
    </row>
    <row r="8" spans="1:11" ht="15.6" x14ac:dyDescent="0.3">
      <c r="B8" s="169">
        <v>4</v>
      </c>
      <c r="C8" s="170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8" s="171">
        <f t="shared" si="0"/>
        <v>-0.16529853989046978</v>
      </c>
      <c r="E8" s="172">
        <f>C8/12</f>
        <v>-4978.2410263679812</v>
      </c>
      <c r="G8" s="124"/>
      <c r="H8" s="125" t="s">
        <v>145</v>
      </c>
      <c r="I8" s="126">
        <f>SUM('Mortgage payment schedule'!E9:E129)</f>
        <v>289201.05103103229</v>
      </c>
    </row>
    <row r="9" spans="1:11" ht="15.6" x14ac:dyDescent="0.3">
      <c r="B9" s="169">
        <v>5</v>
      </c>
      <c r="C9" s="170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9" s="171">
        <f t="shared" si="0"/>
        <v>-0.16472970507903309</v>
      </c>
      <c r="E9" s="172">
        <f>C9/12</f>
        <v>-4961.109617963547</v>
      </c>
      <c r="G9" s="124"/>
      <c r="H9" s="125" t="s">
        <v>146</v>
      </c>
      <c r="I9" s="129">
        <f>I8/I7</f>
        <v>0.80022426959333781</v>
      </c>
    </row>
    <row r="10" spans="1:11" ht="16.2" thickBot="1" x14ac:dyDescent="0.35">
      <c r="B10" s="169" t="s">
        <v>152</v>
      </c>
      <c r="C10" s="170">
        <f>SUM(C5:C9)</f>
        <v>-300635.24413164594</v>
      </c>
      <c r="G10" s="224"/>
      <c r="H10" s="130" t="s">
        <v>147</v>
      </c>
      <c r="I10" s="225">
        <f>I9/10</f>
        <v>8.0022426959333787E-2</v>
      </c>
    </row>
    <row r="11" spans="1:11" ht="15.6" x14ac:dyDescent="0.3">
      <c r="B11" s="169" t="s">
        <v>21</v>
      </c>
      <c r="C11" s="170">
        <f>'ROI Number insert'!F19</f>
        <v>361400</v>
      </c>
      <c r="G11" s="226" t="s">
        <v>148</v>
      </c>
      <c r="H11" s="227" t="s">
        <v>21</v>
      </c>
      <c r="I11" s="228">
        <f>I3</f>
        <v>361400</v>
      </c>
    </row>
    <row r="12" spans="1:11" s="76" customFormat="1" ht="15.6" x14ac:dyDescent="0.3">
      <c r="B12" s="174" t="s">
        <v>153</v>
      </c>
      <c r="C12" s="176">
        <f>C10/C11/5</f>
        <v>-0.16637257561242166</v>
      </c>
      <c r="G12" s="131"/>
      <c r="H12" s="132" t="s">
        <v>145</v>
      </c>
      <c r="I12" s="133">
        <f>SUM('Mortgage payment schedule'!E9:E189)</f>
        <v>515859.19805492985</v>
      </c>
      <c r="K12" s="1"/>
    </row>
    <row r="13" spans="1:11" ht="31.2" x14ac:dyDescent="0.3">
      <c r="B13" s="173" t="s">
        <v>154</v>
      </c>
      <c r="C13" s="234">
        <f>_xlfn.RRI(5,D5,D9)</f>
        <v>-3.9228731767171343E-3</v>
      </c>
      <c r="G13" s="131"/>
      <c r="H13" s="132" t="s">
        <v>146</v>
      </c>
      <c r="I13" s="134">
        <f>I12/I11</f>
        <v>1.4273912508437461</v>
      </c>
    </row>
    <row r="14" spans="1:11" ht="16.2" thickBot="1" x14ac:dyDescent="0.35">
      <c r="B14" s="1" t="s">
        <v>198</v>
      </c>
      <c r="D14" s="117"/>
      <c r="G14" s="135"/>
      <c r="H14" s="136" t="s">
        <v>147</v>
      </c>
      <c r="I14" s="137">
        <f>I13/15</f>
        <v>9.5159416722916404E-2</v>
      </c>
    </row>
    <row r="15" spans="1:11" ht="18.600000000000001" thickBot="1" x14ac:dyDescent="0.4">
      <c r="B15" s="138" t="s">
        <v>140</v>
      </c>
      <c r="C15" s="138" t="s">
        <v>149</v>
      </c>
      <c r="D15" s="138" t="s">
        <v>150</v>
      </c>
      <c r="E15" s="138" t="s">
        <v>151</v>
      </c>
      <c r="G15" s="402" t="s">
        <v>143</v>
      </c>
    </row>
    <row r="16" spans="1:11" ht="15.6" x14ac:dyDescent="0.3">
      <c r="B16" s="139">
        <v>1</v>
      </c>
      <c r="C16" s="140">
        <f>C5</f>
        <v>-60714.892742690201</v>
      </c>
      <c r="D16" s="141">
        <f>C16/$C$27</f>
        <v>-0.16799914981375264</v>
      </c>
      <c r="E16" s="142">
        <f>C16/12</f>
        <v>-5059.5743952241837</v>
      </c>
      <c r="G16" s="184" t="s">
        <v>95</v>
      </c>
      <c r="H16" s="215">
        <f>'ROI Number insert'!F3</f>
        <v>1550000</v>
      </c>
    </row>
    <row r="17" spans="2:11" ht="16.2" thickBot="1" x14ac:dyDescent="0.35">
      <c r="B17" s="139">
        <v>2</v>
      </c>
      <c r="C17" s="140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17" s="141">
        <f t="shared" ref="D17:D25" si="1">C17/$C$27</f>
        <v>-0.16726591637740054</v>
      </c>
      <c r="E17" s="142">
        <f t="shared" ref="E17:E25" si="2">C17/12</f>
        <v>-5037.491848232713</v>
      </c>
      <c r="G17" s="185" t="s">
        <v>200</v>
      </c>
      <c r="H17" s="216">
        <f>'Calculating offering price'!C5</f>
        <v>516823.52941176464</v>
      </c>
    </row>
    <row r="18" spans="2:11" s="165" customFormat="1" ht="15.6" x14ac:dyDescent="0.3">
      <c r="B18" s="139">
        <v>3</v>
      </c>
      <c r="C18" s="14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18" s="141">
        <f t="shared" si="1"/>
        <v>-0.16656956690145228</v>
      </c>
      <c r="E18" s="142">
        <f t="shared" si="2"/>
        <v>-5016.5201231820711</v>
      </c>
      <c r="G18" s="186"/>
      <c r="H18" s="187" t="s">
        <v>113</v>
      </c>
      <c r="I18" s="189" t="s">
        <v>87</v>
      </c>
      <c r="J18" s="190" t="s">
        <v>193</v>
      </c>
      <c r="K18" s="191" t="s">
        <v>204</v>
      </c>
    </row>
    <row r="19" spans="2:11" ht="15.6" x14ac:dyDescent="0.3">
      <c r="B19" s="139">
        <v>4</v>
      </c>
      <c r="C19" s="140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-59960.894480603754</v>
      </c>
      <c r="D19" s="141">
        <f t="shared" si="1"/>
        <v>-0.16591282368733745</v>
      </c>
      <c r="E19" s="142">
        <f t="shared" si="2"/>
        <v>-4996.7412067169798</v>
      </c>
      <c r="G19" s="186" t="s">
        <v>201</v>
      </c>
      <c r="H19" s="217">
        <f>'Calculating offering price'!C95</f>
        <v>1711325.24496</v>
      </c>
      <c r="I19" s="218">
        <f>H19-H16</f>
        <v>161325.24496000004</v>
      </c>
      <c r="J19" s="221">
        <f>I19/'ROI Number insert'!$F$19</f>
        <v>0.44638972042058672</v>
      </c>
      <c r="K19" s="222">
        <f>_xlfn.RRI(5,H16,H19)</f>
        <v>2.0000000000000018E-2</v>
      </c>
    </row>
    <row r="20" spans="2:11" ht="15.6" x14ac:dyDescent="0.3">
      <c r="B20" s="139">
        <v>5</v>
      </c>
      <c r="C20" s="140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20" s="141">
        <f t="shared" si="1"/>
        <v>-0.16529853989046978</v>
      </c>
      <c r="E20" s="142">
        <f t="shared" si="2"/>
        <v>-4978.2410263679812</v>
      </c>
      <c r="G20" s="186" t="s">
        <v>202</v>
      </c>
      <c r="H20" s="217">
        <f>'Calculating offering price'!C106</f>
        <v>1798838.2787889803</v>
      </c>
      <c r="I20" s="218">
        <f>H20-H16</f>
        <v>248838.27878898033</v>
      </c>
      <c r="J20" s="221">
        <f>I20/'ROI Number insert'!$F$19</f>
        <v>0.68853978635578394</v>
      </c>
      <c r="K20" s="222">
        <f>_xlfn.RRI(10,H16,H20)</f>
        <v>1.4999999999999902E-2</v>
      </c>
    </row>
    <row r="21" spans="2:11" ht="16.2" thickBot="1" x14ac:dyDescent="0.35">
      <c r="B21" s="139">
        <v>6</v>
      </c>
      <c r="C21" s="140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21" s="141">
        <f t="shared" si="1"/>
        <v>-0.16472970507903309</v>
      </c>
      <c r="E21" s="142">
        <f t="shared" si="2"/>
        <v>-4961.109617963547</v>
      </c>
      <c r="G21" s="188" t="s">
        <v>203</v>
      </c>
      <c r="H21" s="219">
        <f>'Calculating offering price'!C117</f>
        <v>2086095.9244024004</v>
      </c>
      <c r="I21" s="220">
        <f>H21-H16</f>
        <v>536095.92440240039</v>
      </c>
      <c r="J21" s="221">
        <f>I21/'ROI Number insert'!$F$19</f>
        <v>1.4833866198184846</v>
      </c>
      <c r="K21" s="223">
        <f>_xlfn.RRI(15,H16,H21)</f>
        <v>2.0000000000000018E-2</v>
      </c>
    </row>
    <row r="22" spans="2:11" ht="15.6" x14ac:dyDescent="0.3">
      <c r="B22" s="139">
        <v>7</v>
      </c>
      <c r="C22" s="140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-59345.295597615608</v>
      </c>
      <c r="D22" s="141">
        <f t="shared" si="1"/>
        <v>-0.16420945101719869</v>
      </c>
      <c r="E22" s="142">
        <f t="shared" si="2"/>
        <v>-4945.4412998013004</v>
      </c>
    </row>
    <row r="23" spans="2:11" ht="18.600000000000001" thickBot="1" x14ac:dyDescent="0.4">
      <c r="B23" s="139">
        <v>8</v>
      </c>
      <c r="C23" s="140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-59176.018246138636</v>
      </c>
      <c r="D23" s="141">
        <f t="shared" si="1"/>
        <v>-0.16374105768162323</v>
      </c>
      <c r="E23" s="142">
        <f t="shared" si="2"/>
        <v>-4931.3348538448863</v>
      </c>
      <c r="G23" s="402" t="s">
        <v>206</v>
      </c>
    </row>
    <row r="24" spans="2:11" ht="15.6" x14ac:dyDescent="0.3">
      <c r="B24" s="139">
        <v>9</v>
      </c>
      <c r="C24" s="140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-59026.724570679879</v>
      </c>
      <c r="D24" s="141">
        <f t="shared" si="1"/>
        <v>-0.16332795952042026</v>
      </c>
      <c r="E24" s="142">
        <f t="shared" si="2"/>
        <v>-4918.8937142233235</v>
      </c>
      <c r="G24" s="209" t="s">
        <v>95</v>
      </c>
      <c r="H24" s="210">
        <f>'ROI Number insert'!F3</f>
        <v>1550000</v>
      </c>
    </row>
    <row r="25" spans="2:11" ht="15.6" x14ac:dyDescent="0.3">
      <c r="B25" s="139">
        <v>10</v>
      </c>
      <c r="C25" s="140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-58898.713959847104</v>
      </c>
      <c r="D25" s="141">
        <f t="shared" si="1"/>
        <v>-0.16297375196415911</v>
      </c>
      <c r="E25" s="142">
        <f t="shared" si="2"/>
        <v>-4908.2261633205917</v>
      </c>
      <c r="G25" s="211" t="s">
        <v>94</v>
      </c>
      <c r="H25" s="212">
        <f>'ROI Number insert'!F10</f>
        <v>51400</v>
      </c>
      <c r="I25" s="117"/>
    </row>
    <row r="26" spans="2:11" ht="15.6" x14ac:dyDescent="0.3">
      <c r="B26" s="139" t="s">
        <v>152</v>
      </c>
      <c r="C26" s="140">
        <f>SUM(C16:C25)</f>
        <v>-597042.89098653093</v>
      </c>
      <c r="D26" s="117"/>
      <c r="G26" s="211" t="s">
        <v>17</v>
      </c>
      <c r="H26" s="212">
        <f>'ROI Number insert'!F15</f>
        <v>0</v>
      </c>
      <c r="I26" s="117"/>
    </row>
    <row r="27" spans="2:11" ht="15.6" x14ac:dyDescent="0.3">
      <c r="B27" s="139" t="s">
        <v>21</v>
      </c>
      <c r="C27" s="140">
        <f>C11</f>
        <v>361400</v>
      </c>
      <c r="D27" s="117"/>
      <c r="G27" s="211" t="s">
        <v>207</v>
      </c>
      <c r="H27" s="212">
        <f>'ROI Number insert'!F13</f>
        <v>0</v>
      </c>
      <c r="I27" s="117"/>
    </row>
    <row r="28" spans="2:11" ht="15.6" x14ac:dyDescent="0.3">
      <c r="B28" s="139" t="s">
        <v>153</v>
      </c>
      <c r="C28" s="143">
        <f>C26/C27/10</f>
        <v>-0.16520279219328471</v>
      </c>
      <c r="D28" s="117"/>
      <c r="G28" s="211" t="s">
        <v>208</v>
      </c>
      <c r="H28" s="212">
        <f>'ROI Number insert'!F50</f>
        <v>136000</v>
      </c>
      <c r="I28" s="164"/>
      <c r="J28" s="165"/>
    </row>
    <row r="29" spans="2:11" ht="31.2" x14ac:dyDescent="0.3">
      <c r="B29" s="144" t="s">
        <v>154</v>
      </c>
      <c r="C29" s="235">
        <f>_xlfn.RRI(10,D16,D25)</f>
        <v>-3.0323692340331609E-3</v>
      </c>
      <c r="D29" s="164"/>
      <c r="E29" s="165"/>
      <c r="G29" s="269" t="s">
        <v>209</v>
      </c>
      <c r="H29" s="270">
        <f>'ROI Number insert'!F17</f>
        <v>2000000</v>
      </c>
    </row>
    <row r="30" spans="2:11" ht="15.6" x14ac:dyDescent="0.3">
      <c r="B30" s="1" t="s">
        <v>197</v>
      </c>
      <c r="D30" s="117"/>
      <c r="G30" s="211" t="s">
        <v>210</v>
      </c>
      <c r="H30" s="765">
        <f>H29-SUM(H24:H28)</f>
        <v>262600</v>
      </c>
    </row>
    <row r="31" spans="2:11" ht="15.6" x14ac:dyDescent="0.3">
      <c r="B31" s="145" t="s">
        <v>140</v>
      </c>
      <c r="C31" s="145" t="s">
        <v>149</v>
      </c>
      <c r="D31" s="145" t="s">
        <v>150</v>
      </c>
      <c r="E31" s="145" t="s">
        <v>151</v>
      </c>
      <c r="G31" s="211" t="s">
        <v>21</v>
      </c>
      <c r="H31" s="212">
        <f>'ROI Number insert'!F19</f>
        <v>361400</v>
      </c>
    </row>
    <row r="32" spans="2:11" ht="16.2" thickBot="1" x14ac:dyDescent="0.35">
      <c r="B32" s="146">
        <v>1</v>
      </c>
      <c r="C32" s="147">
        <f>C16</f>
        <v>-60714.892742690201</v>
      </c>
      <c r="D32" s="148">
        <f>C32/$C$48</f>
        <v>-0.16799914981375264</v>
      </c>
      <c r="E32" s="147">
        <f>C32/12</f>
        <v>-5059.5743952241837</v>
      </c>
      <c r="G32" s="213" t="s">
        <v>146</v>
      </c>
      <c r="H32" s="214">
        <f>IF(H30&lt;0,"",H30/H31)</f>
        <v>0.72661870503597126</v>
      </c>
    </row>
    <row r="33" spans="2:11" ht="21.6" thickBot="1" x14ac:dyDescent="0.45">
      <c r="B33" s="146">
        <v>2</v>
      </c>
      <c r="C33" s="149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33" s="148">
        <f t="shared" ref="D33:D46" si="3">C33/$C$48</f>
        <v>-0.16726591637740054</v>
      </c>
      <c r="E33" s="147">
        <f t="shared" ref="E33:E46" si="4">C33/12</f>
        <v>-5037.491848232713</v>
      </c>
      <c r="G33" s="192" t="s">
        <v>217</v>
      </c>
    </row>
    <row r="34" spans="2:11" s="76" customFormat="1" ht="15.6" x14ac:dyDescent="0.3">
      <c r="B34" s="199">
        <v>3</v>
      </c>
      <c r="C34" s="20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34" s="201">
        <f t="shared" si="3"/>
        <v>-0.16656956690145228</v>
      </c>
      <c r="E34" s="202">
        <f t="shared" si="4"/>
        <v>-5016.5201231820711</v>
      </c>
      <c r="G34" s="417" t="s">
        <v>218</v>
      </c>
      <c r="H34" s="418">
        <f>'ROI Number insert'!F45</f>
        <v>37443.910750588235</v>
      </c>
      <c r="I34" s="203"/>
      <c r="J34" s="203"/>
      <c r="K34" s="203"/>
    </row>
    <row r="35" spans="2:11" ht="15.6" x14ac:dyDescent="0.3">
      <c r="B35" s="146">
        <v>4</v>
      </c>
      <c r="C35" s="149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-59960.894480603754</v>
      </c>
      <c r="D35" s="148">
        <f t="shared" si="3"/>
        <v>-0.16591282368733745</v>
      </c>
      <c r="E35" s="147">
        <f t="shared" si="4"/>
        <v>-4996.7412067169798</v>
      </c>
      <c r="G35" s="419" t="s">
        <v>217</v>
      </c>
      <c r="H35" s="420">
        <f>H34/'ROI Number insert'!F3</f>
        <v>2.4157361774573054E-2</v>
      </c>
    </row>
    <row r="36" spans="2:11" ht="15.6" x14ac:dyDescent="0.3">
      <c r="B36" s="146">
        <v>5</v>
      </c>
      <c r="C36" s="149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36" s="148">
        <f t="shared" si="3"/>
        <v>-0.16529853989046978</v>
      </c>
      <c r="E36" s="147">
        <f t="shared" si="4"/>
        <v>-4978.2410263679812</v>
      </c>
      <c r="G36" s="419" t="s">
        <v>345</v>
      </c>
      <c r="H36" s="421">
        <v>4.4999999999999998E-2</v>
      </c>
    </row>
    <row r="37" spans="2:11" ht="31.8" thickBot="1" x14ac:dyDescent="0.35">
      <c r="B37" s="146">
        <v>6</v>
      </c>
      <c r="C37" s="149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37" s="148">
        <f t="shared" si="3"/>
        <v>-0.16472970507903309</v>
      </c>
      <c r="E37" s="147">
        <f t="shared" si="4"/>
        <v>-4961.109617963547</v>
      </c>
      <c r="G37" s="855" t="s">
        <v>515</v>
      </c>
      <c r="H37" s="422">
        <f>H34/H36</f>
        <v>832086.90556862752</v>
      </c>
    </row>
    <row r="38" spans="2:11" ht="15.6" x14ac:dyDescent="0.3">
      <c r="B38" s="146">
        <v>7</v>
      </c>
      <c r="C38" s="149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-59345.295597615608</v>
      </c>
      <c r="D38" s="148">
        <f t="shared" si="3"/>
        <v>-0.16420945101719869</v>
      </c>
      <c r="E38" s="147">
        <f t="shared" si="4"/>
        <v>-4945.4412998013004</v>
      </c>
    </row>
    <row r="39" spans="2:11" s="203" customFormat="1" ht="15.6" x14ac:dyDescent="0.3">
      <c r="B39" s="199">
        <v>8</v>
      </c>
      <c r="C39" s="149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-59176.018246138636</v>
      </c>
      <c r="D39" s="148">
        <f t="shared" si="3"/>
        <v>-0.16374105768162323</v>
      </c>
      <c r="E39" s="202">
        <f t="shared" si="4"/>
        <v>-4931.3348538448863</v>
      </c>
    </row>
    <row r="40" spans="2:11" ht="15.6" x14ac:dyDescent="0.3">
      <c r="B40" s="146">
        <v>9</v>
      </c>
      <c r="C40" s="149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-59026.724570679879</v>
      </c>
      <c r="D40" s="148">
        <f t="shared" si="3"/>
        <v>-0.16332795952042026</v>
      </c>
      <c r="E40" s="147">
        <f t="shared" si="4"/>
        <v>-4918.8937142233235</v>
      </c>
    </row>
    <row r="41" spans="2:11" ht="15.6" x14ac:dyDescent="0.3">
      <c r="B41" s="146">
        <v>10</v>
      </c>
      <c r="C41" s="149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-58898.713959847104</v>
      </c>
      <c r="D41" s="148">
        <f t="shared" si="3"/>
        <v>-0.16297375196415911</v>
      </c>
      <c r="E41" s="147">
        <f t="shared" si="4"/>
        <v>-4908.2261633205917</v>
      </c>
    </row>
    <row r="42" spans="2:11" ht="15.6" x14ac:dyDescent="0.3">
      <c r="B42" s="146">
        <v>11</v>
      </c>
      <c r="C42" s="149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-58793.346429051009</v>
      </c>
      <c r="D42" s="148">
        <f t="shared" si="3"/>
        <v>-0.16268219819881297</v>
      </c>
      <c r="E42" s="147">
        <f t="shared" si="4"/>
        <v>-4899.4455357542511</v>
      </c>
    </row>
    <row r="43" spans="2:11" ht="15.6" x14ac:dyDescent="0.3">
      <c r="B43" s="146">
        <v>12</v>
      </c>
      <c r="C43" s="149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-58712.045166644093</v>
      </c>
      <c r="D43" s="148">
        <f t="shared" si="3"/>
        <v>-0.16245723621096872</v>
      </c>
      <c r="E43" s="147">
        <f t="shared" si="4"/>
        <v>-4892.6704305536741</v>
      </c>
    </row>
    <row r="44" spans="2:11" ht="15.6" x14ac:dyDescent="0.3">
      <c r="B44" s="146">
        <v>13</v>
      </c>
      <c r="C44" s="149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-58656.299182325805</v>
      </c>
      <c r="D44" s="148">
        <f t="shared" si="3"/>
        <v>-0.16230298611600943</v>
      </c>
      <c r="E44" s="147">
        <f t="shared" si="4"/>
        <v>-4888.0249318604838</v>
      </c>
    </row>
    <row r="45" spans="2:11" ht="15.6" x14ac:dyDescent="0.3">
      <c r="B45" s="146">
        <v>14</v>
      </c>
      <c r="C45" s="149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-58627.66606183644</v>
      </c>
      <c r="D45" s="148">
        <f t="shared" si="3"/>
        <v>-0.16222375778039966</v>
      </c>
      <c r="E45" s="147">
        <f t="shared" si="4"/>
        <v>-4885.6388384863703</v>
      </c>
    </row>
    <row r="46" spans="2:11" ht="15.6" x14ac:dyDescent="0.3">
      <c r="B46" s="146">
        <v>15</v>
      </c>
      <c r="C46" s="149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-58627.774832117851</v>
      </c>
      <c r="D46" s="148">
        <f t="shared" si="3"/>
        <v>-0.16222405874963433</v>
      </c>
      <c r="E46" s="147">
        <f t="shared" si="4"/>
        <v>-4885.6479026764873</v>
      </c>
    </row>
    <row r="47" spans="2:11" ht="15.6" x14ac:dyDescent="0.3">
      <c r="B47" s="150" t="s">
        <v>152</v>
      </c>
      <c r="C47" s="151">
        <f>SUM(C32:C46)</f>
        <v>-890460.02265850606</v>
      </c>
      <c r="D47" s="152"/>
      <c r="E47" s="153"/>
    </row>
    <row r="48" spans="2:11" ht="15.6" x14ac:dyDescent="0.3">
      <c r="B48" s="154" t="s">
        <v>21</v>
      </c>
      <c r="C48" s="155">
        <f>C11</f>
        <v>361400</v>
      </c>
      <c r="D48" s="152"/>
      <c r="E48" s="153"/>
    </row>
    <row r="49" spans="2:5" ht="15.6" x14ac:dyDescent="0.3">
      <c r="B49" s="154" t="s">
        <v>153</v>
      </c>
      <c r="C49" s="156">
        <f>C47/C48/15</f>
        <v>-0.16426121059924481</v>
      </c>
      <c r="D49" s="152"/>
      <c r="E49" s="153"/>
    </row>
    <row r="50" spans="2:5" ht="31.2" x14ac:dyDescent="0.3">
      <c r="B50" s="157" t="s">
        <v>154</v>
      </c>
      <c r="C50" s="236">
        <f>_xlfn.RRI(15,D32,D46)</f>
        <v>-2.3293136220352562E-3</v>
      </c>
      <c r="D50" s="166"/>
      <c r="E50" s="167"/>
    </row>
  </sheetData>
  <sheetProtection algorithmName="SHA-512" hashValue="quC/VjgCja5siH1klwT0gq1oP8+3PeQ4kXbXHuuvKP4cr2mGES/F1Ky9WOf/uw/dEm01UZ/Wf73BTj3qe+cRkg==" saltValue="2Sd/KzjecHq9At8P6vlDLg==" spinCount="100000" sheet="1" objects="1" scenarios="1"/>
  <hyperlinks>
    <hyperlink ref="G23" location="'Long term Result'!B38" display="Active Appreciation" xr:uid="{CEE6E02F-141B-457A-B0D5-53C5A038F800}"/>
    <hyperlink ref="G2" location="'PR Result'!A1" display="Principle Recapture" xr:uid="{C14491EC-C97D-47CA-8317-6AE7950D9D97}"/>
    <hyperlink ref="G15" location="'Calculating offering price'!A85" display="Passive Appreciation" xr:uid="{51B7F331-0193-44C5-8CFA-07DC3C99972C}"/>
    <hyperlink ref="B2" location="'Total CF'!A1" display="Cash Flow" xr:uid="{D0BC2604-EE6E-431B-A3D8-339DD63A549B}"/>
    <hyperlink ref="A1" location="'Table of contents'!A1" display="Table of contents" xr:uid="{C80644C8-67D7-4C14-906E-8E52226E9F27}"/>
  </hyperlink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ADC1-A48E-486B-AA1F-8E2E36DEE018}">
  <sheetPr codeName="Sheet2">
    <tabColor theme="4"/>
  </sheetPr>
  <dimension ref="A1:L44"/>
  <sheetViews>
    <sheetView workbookViewId="0"/>
  </sheetViews>
  <sheetFormatPr defaultColWidth="0" defaultRowHeight="14.4" zeroHeight="1" x14ac:dyDescent="0.3"/>
  <cols>
    <col min="1" max="1" width="4.21875" style="583" customWidth="1"/>
    <col min="2" max="2" width="23.6640625" style="583" customWidth="1"/>
    <col min="3" max="3" width="14.77734375" style="583" customWidth="1"/>
    <col min="4" max="4" width="10.33203125" style="583" customWidth="1"/>
    <col min="5" max="5" width="14" style="583" customWidth="1"/>
    <col min="6" max="6" width="17.109375" style="583" customWidth="1"/>
    <col min="7" max="7" width="26" style="583" customWidth="1"/>
    <col min="8" max="9" width="13.6640625" style="583" customWidth="1"/>
    <col min="10" max="10" width="13.77734375" style="583" customWidth="1"/>
    <col min="11" max="12" width="8.77734375" style="583" customWidth="1"/>
    <col min="13" max="16384" width="8.77734375" style="583" hidden="1"/>
  </cols>
  <sheetData>
    <row r="1" spans="1:10" ht="15" thickBot="1" x14ac:dyDescent="0.35">
      <c r="A1" s="628" t="s">
        <v>454</v>
      </c>
    </row>
    <row r="2" spans="1:10" ht="31.8" thickBot="1" x14ac:dyDescent="0.35">
      <c r="B2" s="584" t="s">
        <v>140</v>
      </c>
      <c r="C2" s="585" t="s">
        <v>149</v>
      </c>
      <c r="D2" s="585" t="s">
        <v>150</v>
      </c>
      <c r="E2" s="586" t="s">
        <v>151</v>
      </c>
      <c r="G2" s="587" t="s">
        <v>140</v>
      </c>
      <c r="H2" s="587" t="s">
        <v>149</v>
      </c>
      <c r="I2" s="587" t="s">
        <v>150</v>
      </c>
      <c r="J2" s="588" t="s">
        <v>151</v>
      </c>
    </row>
    <row r="3" spans="1:10" ht="15.6" x14ac:dyDescent="0.3">
      <c r="B3" s="589">
        <v>1</v>
      </c>
      <c r="C3" s="590">
        <f>'ROI details'!C5</f>
        <v>-60714.892742690201</v>
      </c>
      <c r="D3" s="591">
        <f>C3/$C$39</f>
        <v>-0.16799914981375264</v>
      </c>
      <c r="E3" s="592">
        <f>C3/12</f>
        <v>-5059.5743952241837</v>
      </c>
      <c r="G3" s="593">
        <v>1</v>
      </c>
      <c r="H3" s="594" t="e">
        <f>'ROI Detail ARV'!C5</f>
        <v>#NUM!</v>
      </c>
      <c r="I3" s="595" t="e">
        <f>H3/$H$39</f>
        <v>#NUM!</v>
      </c>
      <c r="J3" s="594" t="e">
        <f>H3/12</f>
        <v>#NUM!</v>
      </c>
    </row>
    <row r="4" spans="1:10" ht="15.6" x14ac:dyDescent="0.3">
      <c r="B4" s="596">
        <v>2</v>
      </c>
      <c r="C4" s="597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4" s="595">
        <f t="shared" ref="D4:D36" si="0">C4/$C$39</f>
        <v>-0.16726591637740054</v>
      </c>
      <c r="E4" s="598">
        <f t="shared" ref="E4:E37" si="1">C4/12</f>
        <v>-5037.491848232713</v>
      </c>
      <c r="F4" s="1"/>
      <c r="G4" s="593">
        <v>2</v>
      </c>
      <c r="H4" s="597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I4" s="595" t="e">
        <f t="shared" ref="I4:I37" si="2">H4/$H$39</f>
        <v>#NUM!</v>
      </c>
      <c r="J4" s="594" t="e">
        <f t="shared" ref="J4:J37" si="3">H4/12</f>
        <v>#NUM!</v>
      </c>
    </row>
    <row r="5" spans="1:10" ht="15.6" x14ac:dyDescent="0.3">
      <c r="B5" s="599">
        <v>3</v>
      </c>
      <c r="C5" s="60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5" s="595">
        <f t="shared" si="0"/>
        <v>-0.16656956690145228</v>
      </c>
      <c r="E5" s="601">
        <f t="shared" si="1"/>
        <v>-5016.5201231820711</v>
      </c>
      <c r="F5" s="1"/>
      <c r="G5" s="602">
        <v>3</v>
      </c>
      <c r="H5" s="597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I5" s="595" t="e">
        <f t="shared" si="2"/>
        <v>#NUM!</v>
      </c>
      <c r="J5" s="603" t="e">
        <f t="shared" si="3"/>
        <v>#NUM!</v>
      </c>
    </row>
    <row r="6" spans="1:10" ht="15.6" x14ac:dyDescent="0.3">
      <c r="B6" s="596">
        <v>4</v>
      </c>
      <c r="C6" s="597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-59960.894480603754</v>
      </c>
      <c r="D6" s="595">
        <f t="shared" si="0"/>
        <v>-0.16591282368733745</v>
      </c>
      <c r="E6" s="598">
        <f t="shared" si="1"/>
        <v>-4996.7412067169798</v>
      </c>
      <c r="F6" s="1"/>
      <c r="G6" s="593">
        <v>4</v>
      </c>
      <c r="H6" s="597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I6" s="595" t="e">
        <f t="shared" si="2"/>
        <v>#NUM!</v>
      </c>
      <c r="J6" s="594" t="e">
        <f t="shared" si="3"/>
        <v>#NUM!</v>
      </c>
    </row>
    <row r="7" spans="1:10" ht="15.6" x14ac:dyDescent="0.3">
      <c r="B7" s="596">
        <v>5</v>
      </c>
      <c r="C7" s="597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7" s="595">
        <f t="shared" si="0"/>
        <v>-0.16529853989046978</v>
      </c>
      <c r="E7" s="598">
        <f t="shared" si="1"/>
        <v>-4978.2410263679812</v>
      </c>
      <c r="F7" s="1"/>
      <c r="G7" s="593">
        <v>5</v>
      </c>
      <c r="H7" s="597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I7" s="595" t="e">
        <f t="shared" si="2"/>
        <v>#NUM!</v>
      </c>
      <c r="J7" s="594" t="e">
        <f t="shared" si="3"/>
        <v>#NUM!</v>
      </c>
    </row>
    <row r="8" spans="1:10" ht="15.6" x14ac:dyDescent="0.3">
      <c r="B8" s="596">
        <v>6</v>
      </c>
      <c r="C8" s="597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8" s="595">
        <f t="shared" si="0"/>
        <v>-0.16472970507903309</v>
      </c>
      <c r="E8" s="598">
        <f t="shared" si="1"/>
        <v>-4961.109617963547</v>
      </c>
      <c r="F8" s="1"/>
      <c r="G8" s="593">
        <v>6</v>
      </c>
      <c r="H8" s="597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I8" s="595" t="e">
        <f t="shared" si="2"/>
        <v>#NUM!</v>
      </c>
      <c r="J8" s="594" t="e">
        <f t="shared" si="3"/>
        <v>#NUM!</v>
      </c>
    </row>
    <row r="9" spans="1:10" ht="15.6" x14ac:dyDescent="0.3">
      <c r="B9" s="596">
        <v>7</v>
      </c>
      <c r="C9" s="597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-59345.295597615608</v>
      </c>
      <c r="D9" s="595">
        <f t="shared" si="0"/>
        <v>-0.16420945101719869</v>
      </c>
      <c r="E9" s="598">
        <f t="shared" si="1"/>
        <v>-4945.4412998013004</v>
      </c>
      <c r="F9" s="1"/>
      <c r="G9" s="593">
        <v>7</v>
      </c>
      <c r="H9" s="597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I9" s="595" t="e">
        <f t="shared" si="2"/>
        <v>#NUM!</v>
      </c>
      <c r="J9" s="594" t="e">
        <f t="shared" si="3"/>
        <v>#NUM!</v>
      </c>
    </row>
    <row r="10" spans="1:10" ht="15.6" x14ac:dyDescent="0.3">
      <c r="B10" s="599">
        <v>8</v>
      </c>
      <c r="C10" s="597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-59176.018246138636</v>
      </c>
      <c r="D10" s="595">
        <f t="shared" si="0"/>
        <v>-0.16374105768162323</v>
      </c>
      <c r="E10" s="601">
        <f t="shared" si="1"/>
        <v>-4931.3348538448863</v>
      </c>
      <c r="F10" s="1"/>
      <c r="G10" s="602">
        <v>8</v>
      </c>
      <c r="H10" s="597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I10" s="595" t="e">
        <f t="shared" si="2"/>
        <v>#NUM!</v>
      </c>
      <c r="J10" s="603" t="e">
        <f t="shared" si="3"/>
        <v>#NUM!</v>
      </c>
    </row>
    <row r="11" spans="1:10" ht="15.6" x14ac:dyDescent="0.3">
      <c r="B11" s="596">
        <v>9</v>
      </c>
      <c r="C11" s="597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-59026.724570679879</v>
      </c>
      <c r="D11" s="595">
        <f t="shared" si="0"/>
        <v>-0.16332795952042026</v>
      </c>
      <c r="E11" s="598">
        <f t="shared" si="1"/>
        <v>-4918.8937142233235</v>
      </c>
      <c r="F11" s="1"/>
      <c r="G11" s="593">
        <v>9</v>
      </c>
      <c r="H11" s="597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I11" s="595" t="e">
        <f t="shared" si="2"/>
        <v>#NUM!</v>
      </c>
      <c r="J11" s="594" t="e">
        <f t="shared" si="3"/>
        <v>#NUM!</v>
      </c>
    </row>
    <row r="12" spans="1:10" ht="15.6" x14ac:dyDescent="0.3">
      <c r="B12" s="596">
        <v>10</v>
      </c>
      <c r="C12" s="597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-58898.713959847104</v>
      </c>
      <c r="D12" s="595">
        <f t="shared" si="0"/>
        <v>-0.16297375196415911</v>
      </c>
      <c r="E12" s="598">
        <f t="shared" si="1"/>
        <v>-4908.2261633205917</v>
      </c>
      <c r="F12" s="1"/>
      <c r="G12" s="593">
        <v>10</v>
      </c>
      <c r="H12" s="597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I12" s="595" t="e">
        <f t="shared" si="2"/>
        <v>#NUM!</v>
      </c>
      <c r="J12" s="594" t="e">
        <f t="shared" si="3"/>
        <v>#NUM!</v>
      </c>
    </row>
    <row r="13" spans="1:10" ht="15.6" x14ac:dyDescent="0.3">
      <c r="B13" s="596">
        <v>11</v>
      </c>
      <c r="C13" s="597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-58793.346429051009</v>
      </c>
      <c r="D13" s="595">
        <f t="shared" si="0"/>
        <v>-0.16268219819881297</v>
      </c>
      <c r="E13" s="598">
        <f t="shared" si="1"/>
        <v>-4899.4455357542511</v>
      </c>
      <c r="F13" s="1"/>
      <c r="G13" s="593">
        <v>11</v>
      </c>
      <c r="H13" s="597" t="e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#NUM!</v>
      </c>
      <c r="I13" s="595" t="e">
        <f t="shared" si="2"/>
        <v>#NUM!</v>
      </c>
      <c r="J13" s="594" t="e">
        <f t="shared" si="3"/>
        <v>#NUM!</v>
      </c>
    </row>
    <row r="14" spans="1:10" ht="15.6" x14ac:dyDescent="0.3">
      <c r="B14" s="596">
        <v>12</v>
      </c>
      <c r="C14" s="597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-58712.045166644093</v>
      </c>
      <c r="D14" s="595">
        <f t="shared" si="0"/>
        <v>-0.16245723621096872</v>
      </c>
      <c r="E14" s="598">
        <f t="shared" si="1"/>
        <v>-4892.6704305536741</v>
      </c>
      <c r="F14" s="1"/>
      <c r="G14" s="593">
        <v>12</v>
      </c>
      <c r="H14" s="597" t="e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#NUM!</v>
      </c>
      <c r="I14" s="595" t="e">
        <f t="shared" si="2"/>
        <v>#NUM!</v>
      </c>
      <c r="J14" s="594" t="e">
        <f t="shared" si="3"/>
        <v>#NUM!</v>
      </c>
    </row>
    <row r="15" spans="1:10" ht="15.6" x14ac:dyDescent="0.3">
      <c r="B15" s="596">
        <v>13</v>
      </c>
      <c r="C15" s="597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-58656.299182325805</v>
      </c>
      <c r="D15" s="595">
        <f t="shared" si="0"/>
        <v>-0.16230298611600943</v>
      </c>
      <c r="E15" s="598">
        <f t="shared" si="1"/>
        <v>-4888.0249318604838</v>
      </c>
      <c r="F15" s="1"/>
      <c r="G15" s="593">
        <v>13</v>
      </c>
      <c r="H15" s="597" t="e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#NUM!</v>
      </c>
      <c r="I15" s="595" t="e">
        <f t="shared" si="2"/>
        <v>#NUM!</v>
      </c>
      <c r="J15" s="594" t="e">
        <f t="shared" si="3"/>
        <v>#NUM!</v>
      </c>
    </row>
    <row r="16" spans="1:10" ht="15.6" x14ac:dyDescent="0.3">
      <c r="B16" s="596">
        <v>14</v>
      </c>
      <c r="C16" s="597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-58627.66606183644</v>
      </c>
      <c r="D16" s="595">
        <f t="shared" si="0"/>
        <v>-0.16222375778039966</v>
      </c>
      <c r="E16" s="598">
        <f t="shared" si="1"/>
        <v>-4885.6388384863703</v>
      </c>
      <c r="F16" s="1"/>
      <c r="G16" s="593">
        <v>14</v>
      </c>
      <c r="H16" s="597" t="e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#NUM!</v>
      </c>
      <c r="I16" s="595" t="e">
        <f t="shared" si="2"/>
        <v>#NUM!</v>
      </c>
      <c r="J16" s="594" t="e">
        <f t="shared" si="3"/>
        <v>#NUM!</v>
      </c>
    </row>
    <row r="17" spans="2:10" ht="15.6" x14ac:dyDescent="0.3">
      <c r="B17" s="596">
        <v>15</v>
      </c>
      <c r="C17" s="597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-58627.774832117851</v>
      </c>
      <c r="D17" s="595">
        <f t="shared" si="0"/>
        <v>-0.16222405874963433</v>
      </c>
      <c r="E17" s="598">
        <f t="shared" si="1"/>
        <v>-4885.6479026764873</v>
      </c>
      <c r="F17" s="1"/>
      <c r="G17" s="593">
        <v>15</v>
      </c>
      <c r="H17" s="597" t="e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#NUM!</v>
      </c>
      <c r="I17" s="595" t="e">
        <f t="shared" si="2"/>
        <v>#NUM!</v>
      </c>
      <c r="J17" s="594" t="e">
        <f t="shared" si="3"/>
        <v>#NUM!</v>
      </c>
    </row>
    <row r="18" spans="2:10" ht="15.6" x14ac:dyDescent="0.3">
      <c r="B18" s="596">
        <v>16</v>
      </c>
      <c r="C18" s="597">
        <f>FV('ROI Number insert'!$F$8,15,,-'ROI Number insert'!$F$27)-'ROI Number insert'!$F$30-FV('ROI Number insert'!$F$7,15,,-SUM('ROI Number insert'!$F$32,'ROI Number insert'!$F$34,'ROI Number insert'!$F$35,'ROI Number insert'!$F$37,'ROI Number insert'!$F$38:$F$43))</f>
        <v>-58658.328941282954</v>
      </c>
      <c r="D18" s="595">
        <f t="shared" si="0"/>
        <v>-0.16230860249386539</v>
      </c>
      <c r="E18" s="598">
        <f t="shared" si="1"/>
        <v>-4888.1940784402459</v>
      </c>
      <c r="F18" s="1"/>
      <c r="G18" s="593">
        <v>16</v>
      </c>
      <c r="H18" s="597" t="e">
        <f>FV('ROI Number insert ARV'!$E$8,15,,-'ROI Number insert ARV'!$E$27)-'ROI Number insert ARV'!$E$30-FV('ROI Number insert ARV'!$E$7,15,,-SUM('ROI Number insert ARV'!$E$32,'ROI Number insert ARV'!$E$34,'ROI Number insert ARV'!$E$35,'ROI Number insert ARV'!$E$37,'ROI Number insert ARV'!$E$38:$E$43))</f>
        <v>#NUM!</v>
      </c>
      <c r="I18" s="595" t="e">
        <f t="shared" si="2"/>
        <v>#NUM!</v>
      </c>
      <c r="J18" s="594" t="e">
        <f t="shared" si="3"/>
        <v>#NUM!</v>
      </c>
    </row>
    <row r="19" spans="2:10" ht="15.6" x14ac:dyDescent="0.3">
      <c r="B19" s="596">
        <v>17</v>
      </c>
      <c r="C19" s="597">
        <f>FV('ROI Number insert'!$F$8,16,,-'ROI Number insert'!$F$27)-'ROI Number insert'!$F$30-FV('ROI Number insert'!$F$7,16,,-SUM('ROI Number insert'!$F$32,'ROI Number insert'!$F$34,'ROI Number insert'!$F$35,'ROI Number insert'!$F$37,'ROI Number insert'!$F$38:$F$43))</f>
        <v>-58721.109357903297</v>
      </c>
      <c r="D19" s="595">
        <f t="shared" si="0"/>
        <v>-0.16248231698368373</v>
      </c>
      <c r="E19" s="598">
        <f t="shared" si="1"/>
        <v>-4893.4257798252747</v>
      </c>
      <c r="F19" s="1"/>
      <c r="G19" s="593">
        <v>17</v>
      </c>
      <c r="H19" s="597" t="e">
        <f>FV('ROI Number insert ARV'!$E$8,16,,-'ROI Number insert ARV'!$E$27)-'ROI Number insert ARV'!$E$30-FV('ROI Number insert ARV'!$E$7,16,,-SUM('ROI Number insert ARV'!$E$32,'ROI Number insert ARV'!$E$34,'ROI Number insert ARV'!$E$35,'ROI Number insert ARV'!$E$37,'ROI Number insert ARV'!$E$38:$E$43))</f>
        <v>#NUM!</v>
      </c>
      <c r="I19" s="595" t="e">
        <f t="shared" si="2"/>
        <v>#NUM!</v>
      </c>
      <c r="J19" s="594" t="e">
        <f t="shared" si="3"/>
        <v>#NUM!</v>
      </c>
    </row>
    <row r="20" spans="2:10" ht="15.6" x14ac:dyDescent="0.3">
      <c r="B20" s="596">
        <v>18</v>
      </c>
      <c r="C20" s="597">
        <f>FV('ROI Number insert'!$F$8,17,,-'ROI Number insert'!$F$27)-'ROI Number insert'!$F$30-FV('ROI Number insert'!$F$7,17,,-SUM('ROI Number insert'!$F$32,'ROI Number insert'!$F$34,'ROI Number insert'!$F$35,'ROI Number insert'!$F$37,'ROI Number insert'!$F$38:$F$43))</f>
        <v>-58817.977794300961</v>
      </c>
      <c r="D20" s="595">
        <f t="shared" si="0"/>
        <v>-0.16275035360902312</v>
      </c>
      <c r="E20" s="598">
        <f t="shared" si="1"/>
        <v>-4901.4981495250804</v>
      </c>
      <c r="G20" s="593">
        <v>18</v>
      </c>
      <c r="H20" s="597" t="e">
        <f>FV('ROI Number insert ARV'!$E$8,17,,-'ROI Number insert ARV'!$E$27)-'ROI Number insert ARV'!$E$30-FV('ROI Number insert ARV'!$E$7,17,,-SUM('ROI Number insert ARV'!$E$32,'ROI Number insert ARV'!$E$34,'ROI Number insert ARV'!$E$35,'ROI Number insert ARV'!$E$37,'ROI Number insert ARV'!$E$38:$E$43))</f>
        <v>#NUM!</v>
      </c>
      <c r="I20" s="595" t="e">
        <f t="shared" si="2"/>
        <v>#NUM!</v>
      </c>
      <c r="J20" s="594" t="e">
        <f t="shared" si="3"/>
        <v>#NUM!</v>
      </c>
    </row>
    <row r="21" spans="2:10" s="608" customFormat="1" ht="15.6" x14ac:dyDescent="0.3">
      <c r="B21" s="604">
        <v>19</v>
      </c>
      <c r="C21" s="605">
        <f>FV('ROI Number insert'!$F$8,18,,-'ROI Number insert'!$F$27)-'ROI Number insert'!$F$30-FV('ROI Number insert'!$F$7,18,,-SUM('ROI Number insert'!$F$32,'ROI Number insert'!$F$34,'ROI Number insert'!$F$35,'ROI Number insert'!$F$37,'ROI Number insert'!$F$38:$F$43))</f>
        <v>-58950.880058712144</v>
      </c>
      <c r="D21" s="606">
        <f t="shared" si="0"/>
        <v>-0.16311809645465453</v>
      </c>
      <c r="E21" s="607">
        <f t="shared" si="1"/>
        <v>-4912.5733382260123</v>
      </c>
      <c r="G21" s="593">
        <v>19</v>
      </c>
      <c r="H21" s="597" t="e">
        <f>FV('ROI Number insert ARV'!$E$8,18,,-'ROI Number insert ARV'!$E$27)-'ROI Number insert ARV'!$E$30-FV('ROI Number insert ARV'!$E$7,18,,-SUM('ROI Number insert ARV'!$E$32,'ROI Number insert ARV'!$E$34,'ROI Number insert ARV'!$E$35,'ROI Number insert ARV'!$E$37,'ROI Number insert ARV'!$E$38:$E$43))</f>
        <v>#NUM!</v>
      </c>
      <c r="I21" s="595" t="e">
        <f t="shared" si="2"/>
        <v>#NUM!</v>
      </c>
      <c r="J21" s="594" t="e">
        <f t="shared" si="3"/>
        <v>#NUM!</v>
      </c>
    </row>
    <row r="22" spans="2:10" ht="15.6" x14ac:dyDescent="0.3">
      <c r="B22" s="596">
        <v>20</v>
      </c>
      <c r="C22" s="597">
        <f>FV('ROI Number insert'!$F$8,19,,-'ROI Number insert'!$F$27)-'ROI Number insert'!$F$30-FV('ROI Number insert'!$F$7,19,,-SUM('ROI Number insert'!$F$32,'ROI Number insert'!$F$34,'ROI Number insert'!$F$35,'ROI Number insert'!$F$37,'ROI Number insert'!$F$38:$F$43))</f>
        <v>-59121.849541379597</v>
      </c>
      <c r="D22" s="595">
        <f t="shared" si="0"/>
        <v>-0.16359117194626341</v>
      </c>
      <c r="E22" s="598">
        <f t="shared" si="1"/>
        <v>-4926.8207951149661</v>
      </c>
      <c r="G22" s="593">
        <v>20</v>
      </c>
      <c r="H22" s="597" t="e">
        <f>FV('ROI Number insert ARV'!$E$8,19,,-'ROI Number insert ARV'!$E$27)-'ROI Number insert ARV'!$E$30-FV('ROI Number insert ARV'!$E$7,19,,-SUM('ROI Number insert ARV'!$E$32,'ROI Number insert ARV'!$E$34,'ROI Number insert ARV'!$E$35,'ROI Number insert ARV'!$E$37,'ROI Number insert ARV'!$E$38:$E$43))</f>
        <v>#NUM!</v>
      </c>
      <c r="I22" s="595" t="e">
        <f t="shared" si="2"/>
        <v>#NUM!</v>
      </c>
      <c r="J22" s="594" t="e">
        <f t="shared" si="3"/>
        <v>#NUM!</v>
      </c>
    </row>
    <row r="23" spans="2:10" ht="15.6" x14ac:dyDescent="0.3">
      <c r="B23" s="596">
        <v>21</v>
      </c>
      <c r="C23" s="597">
        <f>FV('ROI Number insert'!$F$8,20,,-'ROI Number insert'!$F$27)-'ROI Number insert'!$F$30-FV('ROI Number insert'!$F$7,20,,-SUM('ROI Number insert'!$F$32,'ROI Number insert'!$F$34,'ROI Number insert'!$F$35,'ROI Number insert'!$F$37,'ROI Number insert'!$F$38:$F$43))</f>
        <v>-59333.010839827686</v>
      </c>
      <c r="D23" s="595">
        <f t="shared" si="0"/>
        <v>-0.16417545888164828</v>
      </c>
      <c r="E23" s="598">
        <f t="shared" si="1"/>
        <v>-4944.4175699856405</v>
      </c>
      <c r="G23" s="593">
        <v>21</v>
      </c>
      <c r="H23" s="597" t="e">
        <f>FV('ROI Number insert ARV'!$E$8,20,,-'ROI Number insert ARV'!$E$27)-'ROI Number insert ARV'!$E$30-FV('ROI Number insert ARV'!$E$7,20,,-SUM('ROI Number insert ARV'!$E$32,'ROI Number insert ARV'!$E$34,'ROI Number insert ARV'!$E$35,'ROI Number insert ARV'!$E$37,'ROI Number insert ARV'!$E$38:$E$43))</f>
        <v>#NUM!</v>
      </c>
      <c r="I23" s="595" t="e">
        <f t="shared" si="2"/>
        <v>#NUM!</v>
      </c>
      <c r="J23" s="594" t="e">
        <f t="shared" si="3"/>
        <v>#NUM!</v>
      </c>
    </row>
    <row r="24" spans="2:10" ht="15.6" x14ac:dyDescent="0.3">
      <c r="B24" s="596">
        <v>22</v>
      </c>
      <c r="C24" s="597">
        <f>FV('ROI Number insert'!$F$8,21,,-'ROI Number insert'!$F$27)-'ROI Number insert'!$F$30-FV('ROI Number insert'!$F$7,21,,-SUM('ROI Number insert'!$F$32,'ROI Number insert'!$F$34,'ROI Number insert'!$F$35,'ROI Number insert'!$F$37,'ROI Number insert'!$F$38:$F$43))</f>
        <v>-59586.583528777963</v>
      </c>
      <c r="D24" s="595">
        <f t="shared" si="0"/>
        <v>-0.16487709886214158</v>
      </c>
      <c r="E24" s="598">
        <f t="shared" si="1"/>
        <v>-4965.5486273981633</v>
      </c>
      <c r="G24" s="593">
        <v>22</v>
      </c>
      <c r="H24" s="597" t="e">
        <f>FV('ROI Number insert ARV'!$E$8,21,,-'ROI Number insert ARV'!$E$27)-'ROI Number insert ARV'!$E$30-FV('ROI Number insert ARV'!$E$7,21,,-SUM('ROI Number insert ARV'!$E$32,'ROI Number insert ARV'!$E$34,'ROI Number insert ARV'!$E$35,'ROI Number insert ARV'!$E$37,'ROI Number insert ARV'!$E$38:$E$43))</f>
        <v>#NUM!</v>
      </c>
      <c r="I24" s="595" t="e">
        <f t="shared" si="2"/>
        <v>#NUM!</v>
      </c>
      <c r="J24" s="594" t="e">
        <f t="shared" si="3"/>
        <v>#NUM!</v>
      </c>
    </row>
    <row r="25" spans="2:10" ht="15.6" x14ac:dyDescent="0.3">
      <c r="B25" s="596">
        <v>23</v>
      </c>
      <c r="C25" s="597">
        <f>FV('ROI Number insert'!$F$8,22,,-'ROI Number insert'!$F$27)-'ROI Number insert'!$F$30-FV('ROI Number insert'!$F$7,22,,-SUM('ROI Number insert'!$F$32,'ROI Number insert'!$F$34,'ROI Number insert'!$F$35,'ROI Number insert'!$F$37,'ROI Number insert'!$F$38:$F$43))</f>
        <v>-59884.886080374985</v>
      </c>
      <c r="D25" s="595">
        <f t="shared" si="0"/>
        <v>-0.16570250713994186</v>
      </c>
      <c r="E25" s="598">
        <f t="shared" si="1"/>
        <v>-4990.4071733645824</v>
      </c>
      <c r="G25" s="593">
        <v>23</v>
      </c>
      <c r="H25" s="597" t="e">
        <f>FV('ROI Number insert ARV'!$E$8,22,,-'ROI Number insert ARV'!$E$27)-'ROI Number insert ARV'!$E$30-FV('ROI Number insert ARV'!$E$7,22,,-SUM('ROI Number insert ARV'!$E$32,'ROI Number insert ARV'!$E$34,'ROI Number insert ARV'!$E$35,'ROI Number insert ARV'!$E$37,'ROI Number insert ARV'!$E$38:$E$43))</f>
        <v>#NUM!</v>
      </c>
      <c r="I25" s="595" t="e">
        <f t="shared" si="2"/>
        <v>#NUM!</v>
      </c>
      <c r="J25" s="594" t="e">
        <f t="shared" si="3"/>
        <v>#NUM!</v>
      </c>
    </row>
    <row r="26" spans="2:10" ht="15.6" x14ac:dyDescent="0.3">
      <c r="B26" s="596">
        <v>24</v>
      </c>
      <c r="C26" s="597">
        <f>FV('ROI Number insert'!$F$8,23,,-'ROI Number insert'!$F$27)-'ROI Number insert'!$F$30-FV('ROI Number insert'!$F$7,23,,-SUM('ROI Number insert'!$F$32,'ROI Number insert'!$F$34,'ROI Number insert'!$F$35,'ROI Number insert'!$F$37,'ROI Number insert'!$F$38:$F$43))</f>
        <v>-60230.339940613114</v>
      </c>
      <c r="D26" s="595">
        <f t="shared" si="0"/>
        <v>-0.16665838389765666</v>
      </c>
      <c r="E26" s="598">
        <f t="shared" si="1"/>
        <v>-5019.1949950510925</v>
      </c>
      <c r="G26" s="593">
        <v>24</v>
      </c>
      <c r="H26" s="597" t="e">
        <f>FV('ROI Number insert ARV'!$E$8,23,,-'ROI Number insert ARV'!$E$27)-'ROI Number insert ARV'!$E$30-FV('ROI Number insert ARV'!$E$7,23,,-SUM('ROI Number insert ARV'!$E$32,'ROI Number insert ARV'!$E$34,'ROI Number insert ARV'!$E$35,'ROI Number insert ARV'!$E$37,'ROI Number insert ARV'!$E$38:$E$43))</f>
        <v>#NUM!</v>
      </c>
      <c r="I26" s="595" t="e">
        <f t="shared" si="2"/>
        <v>#NUM!</v>
      </c>
      <c r="J26" s="594" t="e">
        <f t="shared" si="3"/>
        <v>#NUM!</v>
      </c>
    </row>
    <row r="27" spans="2:10" ht="15.6" x14ac:dyDescent="0.3">
      <c r="B27" s="596">
        <v>25</v>
      </c>
      <c r="C27" s="597">
        <f>FV('ROI Number insert'!$F$8,24,,-'ROI Number insert'!$F$27)-'ROI Number insert'!$F$30-FV('ROI Number insert'!$F$7,24,,-SUM('ROI Number insert'!$F$32,'ROI Number insert'!$F$34,'ROI Number insert'!$F$35,'ROI Number insert'!$F$37,'ROI Number insert'!$F$38:$F$43))</f>
        <v>-60625.473768083109</v>
      </c>
      <c r="D27" s="595">
        <f t="shared" si="0"/>
        <v>-0.16775172597698701</v>
      </c>
      <c r="E27" s="598">
        <f t="shared" si="1"/>
        <v>-5052.1228140069261</v>
      </c>
      <c r="G27" s="593">
        <v>25</v>
      </c>
      <c r="H27" s="597" t="e">
        <f>FV('ROI Number insert ARV'!$E$8,24,,-'ROI Number insert ARV'!$E$27)-'ROI Number insert ARV'!$E$30-FV('ROI Number insert ARV'!$E$7,24,,-SUM('ROI Number insert ARV'!$E$32,'ROI Number insert ARV'!$E$34,'ROI Number insert ARV'!$E$35,'ROI Number insert ARV'!$E$37,'ROI Number insert ARV'!$E$38:$E$43))</f>
        <v>#NUM!</v>
      </c>
      <c r="I27" s="595" t="e">
        <f t="shared" si="2"/>
        <v>#NUM!</v>
      </c>
      <c r="J27" s="594" t="e">
        <f t="shared" si="3"/>
        <v>#NUM!</v>
      </c>
    </row>
    <row r="28" spans="2:10" ht="15.6" x14ac:dyDescent="0.3">
      <c r="B28" s="596">
        <v>26</v>
      </c>
      <c r="C28" s="597">
        <f>FV('ROI Number insert'!$F$8,25,,-'ROI Number insert'!$F$27)-'ROI Number insert'!$F$30-FV('ROI Number insert'!$F$7,25,,-SUM('ROI Number insert'!$F$32,'ROI Number insert'!$F$34,'ROI Number insert'!$F$35,'ROI Number insert'!$F$37,'ROI Number insert'!$F$38:$F$43))</f>
        <v>-61072.927841395634</v>
      </c>
      <c r="D28" s="595">
        <f t="shared" si="0"/>
        <v>-0.16898983907414397</v>
      </c>
      <c r="E28" s="598">
        <f t="shared" si="1"/>
        <v>-5089.4106534496359</v>
      </c>
      <c r="G28" s="593">
        <v>26</v>
      </c>
      <c r="H28" s="597" t="e">
        <f>FV('ROI Number insert ARV'!$E$8,25,,-'ROI Number insert ARV'!$E$27)-'ROI Number insert ARV'!$E$30-FV('ROI Number insert ARV'!$E$7,25,,-SUM('ROI Number insert ARV'!$E$32,'ROI Number insert ARV'!$E$34,'ROI Number insert ARV'!$E$35,'ROI Number insert ARV'!$E$37,'ROI Number insert ARV'!$E$38:$E$43))</f>
        <v>#NUM!</v>
      </c>
      <c r="I28" s="595" t="e">
        <f t="shared" si="2"/>
        <v>#NUM!</v>
      </c>
      <c r="J28" s="594" t="e">
        <f t="shared" si="3"/>
        <v>#NUM!</v>
      </c>
    </row>
    <row r="29" spans="2:10" ht="15.6" x14ac:dyDescent="0.3">
      <c r="B29" s="596">
        <v>27</v>
      </c>
      <c r="C29" s="597">
        <f>FV('ROI Number insert'!$F$8,26,,-'ROI Number insert'!$F$27)-'ROI Number insert'!$F$30-FV('ROI Number insert'!$F$7,26,,-SUM('ROI Number insert'!$F$32,'ROI Number insert'!$F$34,'ROI Number insert'!$F$35,'ROI Number insert'!$F$37,'ROI Number insert'!$F$38:$F$43))</f>
        <v>-61575.458641885343</v>
      </c>
      <c r="D29" s="595">
        <f t="shared" si="0"/>
        <v>-0.17038035042026936</v>
      </c>
      <c r="E29" s="598">
        <f t="shared" si="1"/>
        <v>-5131.2882201571119</v>
      </c>
      <c r="G29" s="593">
        <v>27</v>
      </c>
      <c r="H29" s="597" t="e">
        <f>FV('ROI Number insert ARV'!$E$8,26,,-'ROI Number insert ARV'!$E$27)-'ROI Number insert ARV'!$E$30-FV('ROI Number insert ARV'!$E$7,26,,-SUM('ROI Number insert ARV'!$E$32,'ROI Number insert ARV'!$E$34,'ROI Number insert ARV'!$E$35,'ROI Number insert ARV'!$E$37,'ROI Number insert ARV'!$E$38:$E$43))</f>
        <v>#NUM!</v>
      </c>
      <c r="I29" s="595" t="e">
        <f t="shared" si="2"/>
        <v>#NUM!</v>
      </c>
      <c r="J29" s="594" t="e">
        <f t="shared" si="3"/>
        <v>#NUM!</v>
      </c>
    </row>
    <row r="30" spans="2:10" ht="15.6" x14ac:dyDescent="0.3">
      <c r="B30" s="596">
        <v>28</v>
      </c>
      <c r="C30" s="597">
        <f>FV('ROI Number insert'!$F$8,27,,-'ROI Number insert'!$F$27)-'ROI Number insert'!$F$30-FV('ROI Number insert'!$F$7,27,,-SUM('ROI Number insert'!$F$32,'ROI Number insert'!$F$34,'ROI Number insert'!$F$35,'ROI Number insert'!$F$37,'ROI Number insert'!$F$38:$F$43))</f>
        <v>-62135.943618455669</v>
      </c>
      <c r="D30" s="595">
        <f t="shared" si="0"/>
        <v>-0.17193122196584301</v>
      </c>
      <c r="E30" s="598">
        <f t="shared" si="1"/>
        <v>-5177.9953015379724</v>
      </c>
      <c r="G30" s="593">
        <v>28</v>
      </c>
      <c r="H30" s="597" t="e">
        <f>FV('ROI Number insert ARV'!$E$8,27,,-'ROI Number insert ARV'!$E$27)-'ROI Number insert ARV'!$E$30-FV('ROI Number insert ARV'!$E$7,27,,-SUM('ROI Number insert ARV'!$E$32,'ROI Number insert ARV'!$E$34,'ROI Number insert ARV'!$E$35,'ROI Number insert ARV'!$E$37,'ROI Number insert ARV'!$E$38:$E$43))</f>
        <v>#NUM!</v>
      </c>
      <c r="I30" s="595" t="e">
        <f t="shared" si="2"/>
        <v>#NUM!</v>
      </c>
      <c r="J30" s="594" t="e">
        <f t="shared" si="3"/>
        <v>#NUM!</v>
      </c>
    </row>
    <row r="31" spans="2:10" ht="15.6" x14ac:dyDescent="0.3">
      <c r="B31" s="596">
        <v>29</v>
      </c>
      <c r="C31" s="597">
        <f>FV('ROI Number insert'!$F$8,28,,-'ROI Number insert'!$F$27)-'ROI Number insert'!$F$30-FV('ROI Number insert'!$F$7,28,,-SUM('ROI Number insert'!$F$32,'ROI Number insert'!$F$34,'ROI Number insert'!$F$35,'ROI Number insert'!$F$37,'ROI Number insert'!$F$38:$F$43))</f>
        <v>-62757.386141690891</v>
      </c>
      <c r="D31" s="595">
        <f t="shared" si="0"/>
        <v>-0.17365076408879604</v>
      </c>
      <c r="E31" s="598">
        <f t="shared" si="1"/>
        <v>-5229.7821784742409</v>
      </c>
      <c r="G31" s="593">
        <v>29</v>
      </c>
      <c r="H31" s="597" t="e">
        <f>FV('ROI Number insert ARV'!$E$8,28,,-'ROI Number insert ARV'!$E$27)-'ROI Number insert ARV'!$E$30-FV('ROI Number insert ARV'!$E$7,28,,-SUM('ROI Number insert ARV'!$E$32,'ROI Number insert ARV'!$E$34,'ROI Number insert ARV'!$E$35,'ROI Number insert ARV'!$E$37,'ROI Number insert ARV'!$E$38:$E$43))</f>
        <v>#NUM!</v>
      </c>
      <c r="I31" s="595" t="e">
        <f t="shared" si="2"/>
        <v>#NUM!</v>
      </c>
      <c r="J31" s="594" t="e">
        <f t="shared" si="3"/>
        <v>#NUM!</v>
      </c>
    </row>
    <row r="32" spans="2:10" ht="15.6" x14ac:dyDescent="0.3">
      <c r="B32" s="596">
        <v>30</v>
      </c>
      <c r="C32" s="597">
        <f>FV('ROI Number insert'!$F$8,29,,-'ROI Number insert'!$F$27)-'ROI Number insert'!$F$30-FV('ROI Number insert'!$F$7,29,,-SUM('ROI Number insert'!$F$32,'ROI Number insert'!$F$34,'ROI Number insert'!$F$35,'ROI Number insert'!$F$37,'ROI Number insert'!$F$38:$F$43))</f>
        <v>-63442.920654639034</v>
      </c>
      <c r="D32" s="595">
        <f t="shared" si="0"/>
        <v>-0.17554764984681526</v>
      </c>
      <c r="E32" s="598">
        <f t="shared" si="1"/>
        <v>-5286.9100545532528</v>
      </c>
      <c r="G32" s="593">
        <v>30</v>
      </c>
      <c r="H32" s="597" t="e">
        <f>FV('ROI Number insert ARV'!$E$8,29,,-'ROI Number insert ARV'!$E$27)-'ROI Number insert ARV'!$E$30-FV('ROI Number insert ARV'!$E$7,29,,-SUM('ROI Number insert ARV'!$E$32,'ROI Number insert ARV'!$E$34,'ROI Number insert ARV'!$E$35,'ROI Number insert ARV'!$E$37,'ROI Number insert ARV'!$E$38:$E$43))</f>
        <v>#NUM!</v>
      </c>
      <c r="I32" s="595" t="e">
        <f t="shared" si="2"/>
        <v>#NUM!</v>
      </c>
      <c r="J32" s="594" t="e">
        <f t="shared" si="3"/>
        <v>#NUM!</v>
      </c>
    </row>
    <row r="33" spans="2:10" ht="15.6" x14ac:dyDescent="0.3">
      <c r="B33" s="596">
        <v>31</v>
      </c>
      <c r="C33" s="597">
        <f>FV('ROI Number insert'!$F$8,30,,-'ROI Number insert'!$F$27)-'ROI Number insert'!$F$30-FV('ROI Number insert'!$F$7,30,,-SUM('ROI Number insert'!$F$32,'ROI Number insert'!$F$34,'ROI Number insert'!$F$35,'ROI Number insert'!$F$37,'ROI Number insert'!$F$38:$F$43))+'PR Result'!C4*12</f>
        <v>33962.985465323101</v>
      </c>
      <c r="D33" s="595">
        <f t="shared" si="0"/>
        <v>9.3976163434762311E-2</v>
      </c>
      <c r="E33" s="598">
        <f t="shared" si="1"/>
        <v>2830.2487887769253</v>
      </c>
      <c r="G33" s="593">
        <v>31</v>
      </c>
      <c r="H33" s="597" t="e">
        <f>FV('ROI Number insert ARV'!$E$8,30,,-'ROI Number insert ARV'!$E$27)-'ROI Number insert ARV'!$E$30-FV('ROI Number insert ARV'!$E$7,30,,-SUM('ROI Number insert ARV'!$E$32,'ROI Number insert ARV'!$E$34,'ROI Number insert ARV'!$E$35,'ROI Number insert ARV'!$E$37,'ROI Number insert ARV'!$E$38:$E$43))+'PR ARV result'!C3*12</f>
        <v>#NUM!</v>
      </c>
      <c r="I33" s="595" t="e">
        <f t="shared" si="2"/>
        <v>#NUM!</v>
      </c>
      <c r="J33" s="594" t="e">
        <f t="shared" si="3"/>
        <v>#NUM!</v>
      </c>
    </row>
    <row r="34" spans="2:10" ht="15.6" x14ac:dyDescent="0.3">
      <c r="B34" s="596">
        <v>32</v>
      </c>
      <c r="C34" s="597">
        <f>FV('ROI Number insert'!$F$8,31,,-'ROI Number insert'!$F$27)-'ROI Number insert'!$F$30-FV('ROI Number insert'!$F$7,31,,-SUM('ROI Number insert'!$F$32,'ROI Number insert'!$F$34,'ROI Number insert'!$F$35,'ROI Number insert'!$F$37,'ROI Number insert'!$F$38:$F$43))+'PR Result'!C4*12</f>
        <v>33139.312365882011</v>
      </c>
      <c r="D34" s="595">
        <f t="shared" si="0"/>
        <v>9.1697045838079722E-2</v>
      </c>
      <c r="E34" s="598">
        <f t="shared" si="1"/>
        <v>2761.6093638235011</v>
      </c>
      <c r="G34" s="593">
        <v>32</v>
      </c>
      <c r="H34" s="597" t="e">
        <f>FV('ROI Number insert ARV'!$E$8,31,,-'ROI Number insert ARV'!$E$27)-'ROI Number insert ARV'!$E$30-FV('ROI Number insert ARV'!$E$7,31,,-SUM('ROI Number insert ARV'!$E$32,'ROI Number insert ARV'!$E$34,'ROI Number insert ARV'!$E$35,'ROI Number insert ARV'!$E$37,'ROI Number insert ARV'!$E$38:$E$43))+'PR ARV result'!C3*12</f>
        <v>#NUM!</v>
      </c>
      <c r="I34" s="595" t="e">
        <f t="shared" si="2"/>
        <v>#NUM!</v>
      </c>
      <c r="J34" s="594" t="e">
        <f t="shared" si="3"/>
        <v>#NUM!</v>
      </c>
    </row>
    <row r="35" spans="2:10" ht="15.6" x14ac:dyDescent="0.3">
      <c r="B35" s="596">
        <v>33</v>
      </c>
      <c r="C35" s="597">
        <f>FV('ROI Number insert'!$F$8,32,,-'ROI Number insert'!$F$27)-'ROI Number insert'!$F$30-FV('ROI Number insert'!$F$7,32,,-SUM('ROI Number insert'!$F$32,'ROI Number insert'!$F$34,'ROI Number insert'!$F$35,'ROI Number insert'!$F$37,'ROI Number insert'!$F$38:$F$43))+'PR Result'!C4*12</f>
        <v>32241.302891315339</v>
      </c>
      <c r="D35" s="595">
        <f t="shared" si="0"/>
        <v>8.9212238216146489E-2</v>
      </c>
      <c r="E35" s="598">
        <f t="shared" si="1"/>
        <v>2686.7752409429449</v>
      </c>
      <c r="G35" s="593">
        <v>33</v>
      </c>
      <c r="H35" s="597" t="e">
        <f>FV('ROI Number insert ARV'!$E$8,32,,-'ROI Number insert ARV'!$E$27)-'ROI Number insert ARV'!$E$30-FV('ROI Number insert ARV'!$E$7,32,,-SUM('ROI Number insert ARV'!$E$32,'ROI Number insert ARV'!$E$34,'ROI Number insert ARV'!$E$35,'ROI Number insert ARV'!$E$37,'ROI Number insert ARV'!$E$38:$E$43))+'PR ARV result'!C3*12</f>
        <v>#NUM!</v>
      </c>
      <c r="I35" s="595" t="e">
        <f t="shared" si="2"/>
        <v>#NUM!</v>
      </c>
      <c r="J35" s="594" t="e">
        <f t="shared" si="3"/>
        <v>#NUM!</v>
      </c>
    </row>
    <row r="36" spans="2:10" ht="15.6" x14ac:dyDescent="0.3">
      <c r="B36" s="596">
        <v>34</v>
      </c>
      <c r="C36" s="597">
        <f>FV('ROI Number insert'!$F$8,33,,-'ROI Number insert'!$F$27)-'ROI Number insert'!$F$30-FV('ROI Number insert'!$F$7,33,,-SUM('ROI Number insert'!$F$32,'ROI Number insert'!$F$34,'ROI Number insert'!$F$35,'ROI Number insert'!$F$37,'ROI Number insert'!$F$38:$F$43))+'PR Result'!C4*12</f>
        <v>31265.242591964809</v>
      </c>
      <c r="D36" s="595">
        <f t="shared" si="0"/>
        <v>8.6511462623034885E-2</v>
      </c>
      <c r="E36" s="598">
        <f t="shared" si="1"/>
        <v>2605.4368826637342</v>
      </c>
      <c r="G36" s="593">
        <v>34</v>
      </c>
      <c r="H36" s="597" t="e">
        <f>FV('ROI Number insert ARV'!$E$8,33,,-'ROI Number insert ARV'!$E$27)-'ROI Number insert ARV'!$E$30-FV('ROI Number insert ARV'!$E$7,33,,-SUM('ROI Number insert ARV'!$E$32,'ROI Number insert ARV'!$E$34,'ROI Number insert ARV'!$E$35,'ROI Number insert ARV'!$E$37,'ROI Number insert ARV'!$E$38:$E$43))+'PR ARV result'!C3*12</f>
        <v>#NUM!</v>
      </c>
      <c r="I36" s="595" t="e">
        <f t="shared" si="2"/>
        <v>#NUM!</v>
      </c>
      <c r="J36" s="594" t="e">
        <f t="shared" si="3"/>
        <v>#NUM!</v>
      </c>
    </row>
    <row r="37" spans="2:10" ht="16.2" thickBot="1" x14ac:dyDescent="0.35">
      <c r="B37" s="609">
        <v>35</v>
      </c>
      <c r="C37" s="610">
        <f>FV('ROI Number insert'!$F$8,34,,-'ROI Number insert'!$F$27)-'ROI Number insert'!$F$30-FV('ROI Number insert'!$F$7,34,,-SUM('ROI Number insert'!$F$32,'ROI Number insert'!$F$34,'ROI Number insert'!$F$35,'ROI Number insert'!$F$37,'ROI Number insert'!$F$38:$F$43))+'PR Result'!C4*12</f>
        <v>30207.256961875915</v>
      </c>
      <c r="D37" s="611">
        <f>C37/$C$39</f>
        <v>8.3583998234299711E-2</v>
      </c>
      <c r="E37" s="598">
        <f t="shared" si="1"/>
        <v>2517.2714134896596</v>
      </c>
      <c r="G37" s="593">
        <v>35</v>
      </c>
      <c r="H37" s="597" t="e">
        <f>FV('ROI Number insert ARV'!$E$8,34,,-'ROI Number insert ARV'!$E$27)-'ROI Number insert ARV'!$E$30-FV('ROI Number insert ARV'!$E$7,34,,-SUM('ROI Number insert ARV'!$E$32,'ROI Number insert ARV'!$E$34,'ROI Number insert ARV'!$E$35,'ROI Number insert ARV'!$E$37,'ROI Number insert ARV'!$E$38:$E$43))+'PR ARV result'!C3*12</f>
        <v>#NUM!</v>
      </c>
      <c r="I37" s="595" t="e">
        <f t="shared" si="2"/>
        <v>#NUM!</v>
      </c>
      <c r="J37" s="594" t="e">
        <f t="shared" si="3"/>
        <v>#NUM!</v>
      </c>
    </row>
    <row r="38" spans="2:10" ht="15.6" x14ac:dyDescent="0.3">
      <c r="B38" s="612" t="s">
        <v>152</v>
      </c>
      <c r="C38" s="613">
        <f>SUM(C3:C37)</f>
        <v>-1634558.9991314672</v>
      </c>
      <c r="G38" s="614" t="s">
        <v>152</v>
      </c>
      <c r="H38" s="615" t="e">
        <f>SUM(H3:H37)</f>
        <v>#NUM!</v>
      </c>
    </row>
    <row r="39" spans="2:10" ht="15.6" x14ac:dyDescent="0.3">
      <c r="B39" s="616" t="s">
        <v>21</v>
      </c>
      <c r="C39" s="617">
        <f>'ROI details'!C11</f>
        <v>361400</v>
      </c>
      <c r="G39" s="618" t="s">
        <v>21</v>
      </c>
      <c r="H39" s="619">
        <f>'ROI Detail ARV'!C11</f>
        <v>1601400</v>
      </c>
    </row>
    <row r="40" spans="2:10" ht="15.6" x14ac:dyDescent="0.3">
      <c r="B40" s="616" t="s">
        <v>153</v>
      </c>
      <c r="C40" s="620">
        <f>C38/C39/35</f>
        <v>-0.12922436549383093</v>
      </c>
      <c r="G40" s="618" t="s">
        <v>153</v>
      </c>
      <c r="H40" s="621" t="e">
        <f>H38/H39/35</f>
        <v>#NUM!</v>
      </c>
    </row>
    <row r="41" spans="2:10" s="624" customFormat="1" ht="31.8" thickBot="1" x14ac:dyDescent="0.35">
      <c r="B41" s="622" t="s">
        <v>154</v>
      </c>
      <c r="C41" s="623" t="e">
        <f>RATE(34,,-C3,C37)</f>
        <v>#NUM!</v>
      </c>
      <c r="E41" s="625"/>
      <c r="G41" s="626" t="s">
        <v>154</v>
      </c>
      <c r="H41" s="627" t="e">
        <f>RATE(34,,-H3,H37)</f>
        <v>#NUM!</v>
      </c>
    </row>
    <row r="42" spans="2:10" x14ac:dyDescent="0.3"/>
    <row r="43" spans="2:10" x14ac:dyDescent="0.3"/>
    <row r="44" spans="2:10" x14ac:dyDescent="0.3"/>
  </sheetData>
  <sheetProtection algorithmName="SHA-512" hashValue="+6P9YDVzEYcPlKs3bGg28NY4FBwqHGv1bUHB6gSZyVwhf/u39mk6zEDJhIXP8pNWFTkZdLfVhxlIG1wjxJhQCQ==" saltValue="UsgehIb0X4pT6ssU7dsIOQ==" spinCount="100000" sheet="1" objects="1" scenarios="1"/>
  <hyperlinks>
    <hyperlink ref="A1" location="'Table of contents'!A1" display="Table of contents" xr:uid="{847B7000-5387-4FB0-A4EB-4BDFAD96EF15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6CAC-223D-424F-B9A6-D12DCAE06D87}">
  <sheetPr codeName="Sheet14">
    <tabColor theme="2" tint="-0.249977111117893"/>
  </sheetPr>
  <dimension ref="A1:I36"/>
  <sheetViews>
    <sheetView workbookViewId="0"/>
  </sheetViews>
  <sheetFormatPr defaultColWidth="0" defaultRowHeight="14.4" zeroHeight="1" x14ac:dyDescent="0.3"/>
  <cols>
    <col min="1" max="1" width="8.77734375" style="709" customWidth="1"/>
    <col min="2" max="2" width="28.44140625" style="858" customWidth="1"/>
    <col min="3" max="3" width="17.88671875" style="859" customWidth="1"/>
    <col min="4" max="4" width="25.5546875" style="858" customWidth="1"/>
    <col min="5" max="5" width="16" style="859" customWidth="1"/>
    <col min="6" max="6" width="12.77734375" style="860" customWidth="1"/>
    <col min="7" max="7" width="13.5546875" style="860" customWidth="1"/>
    <col min="8" max="8" width="26.33203125" style="709" customWidth="1"/>
    <col min="9" max="9" width="17.21875" style="709" hidden="1" customWidth="1"/>
    <col min="10" max="16384" width="8.77734375" style="709" hidden="1"/>
  </cols>
  <sheetData>
    <row r="1" spans="1:8" x14ac:dyDescent="0.3">
      <c r="A1" s="857" t="s">
        <v>454</v>
      </c>
    </row>
    <row r="2" spans="1:8" x14ac:dyDescent="0.3">
      <c r="B2" s="858" t="s">
        <v>324</v>
      </c>
    </row>
    <row r="3" spans="1:8" ht="15" thickBot="1" x14ac:dyDescent="0.35"/>
    <row r="4" spans="1:8" s="861" customFormat="1" ht="29.4" thickBot="1" x14ac:dyDescent="0.35">
      <c r="B4" s="862" t="s">
        <v>385</v>
      </c>
      <c r="C4" s="863">
        <f>'Mortgage payment schedule'!C3</f>
        <v>8179.9002911065363</v>
      </c>
      <c r="D4" s="862"/>
      <c r="E4" s="863"/>
      <c r="F4" s="864" t="s">
        <v>445</v>
      </c>
      <c r="G4" s="865" t="s">
        <v>446</v>
      </c>
      <c r="H4" s="709"/>
    </row>
    <row r="5" spans="1:8" x14ac:dyDescent="0.3">
      <c r="B5" s="866" t="s">
        <v>384</v>
      </c>
      <c r="C5" s="867">
        <f>SUM('Mortgage payment schedule'!E9:E20)</f>
        <v>21260.987652538617</v>
      </c>
      <c r="D5" s="868" t="s">
        <v>415</v>
      </c>
      <c r="E5" s="867">
        <f>SUM('Mortgage payment schedule'!D9:D20)</f>
        <v>76897.81584073983</v>
      </c>
      <c r="F5" s="869">
        <f>C5/(C5+E5)</f>
        <v>0.21659786892160407</v>
      </c>
      <c r="G5" s="870">
        <f>C5/'ROI details'!$I$3</f>
        <v>5.8829517577583333E-2</v>
      </c>
    </row>
    <row r="6" spans="1:8" x14ac:dyDescent="0.3">
      <c r="B6" s="871" t="s">
        <v>386</v>
      </c>
      <c r="C6" s="872">
        <f>SUM('Mortgage payment schedule'!E21:E32)</f>
        <v>22628.532958673088</v>
      </c>
      <c r="D6" s="873" t="s">
        <v>416</v>
      </c>
      <c r="E6" s="872">
        <f>SUM('Mortgage payment schedule'!D21:D32)</f>
        <v>75530.270534605355</v>
      </c>
      <c r="F6" s="874">
        <f t="shared" ref="F6:F34" si="0">C6/(C6+E6)</f>
        <v>0.23052983689050982</v>
      </c>
      <c r="G6" s="875">
        <f>C6/'ROI details'!$I$3</f>
        <v>6.2613538900589613E-2</v>
      </c>
    </row>
    <row r="7" spans="1:8" x14ac:dyDescent="0.3">
      <c r="B7" s="871" t="s">
        <v>387</v>
      </c>
      <c r="C7" s="872">
        <f>SUM('Mortgage payment schedule'!E33:E44)</f>
        <v>24084.041260454524</v>
      </c>
      <c r="D7" s="873" t="s">
        <v>417</v>
      </c>
      <c r="E7" s="872">
        <f>SUM('Mortgage payment schedule'!D33:D44)</f>
        <v>74074.762232823894</v>
      </c>
      <c r="F7" s="874">
        <f t="shared" si="0"/>
        <v>0.24535793432021322</v>
      </c>
      <c r="G7" s="875">
        <f>C7/'ROI details'!$I$3</f>
        <v>6.6640955341600791E-2</v>
      </c>
    </row>
    <row r="8" spans="1:8" x14ac:dyDescent="0.3">
      <c r="B8" s="871" t="s">
        <v>388</v>
      </c>
      <c r="C8" s="872">
        <f>SUM('Mortgage payment schedule'!E45:E56)</f>
        <v>25633.17049738119</v>
      </c>
      <c r="D8" s="873" t="s">
        <v>418</v>
      </c>
      <c r="E8" s="872">
        <f>SUM('Mortgage payment schedule'!D45:D56)</f>
        <v>72525.632995897235</v>
      </c>
      <c r="F8" s="874">
        <f t="shared" si="0"/>
        <v>0.26113980188375524</v>
      </c>
      <c r="G8" s="875">
        <f>C8/'ROI details'!$I$3</f>
        <v>7.0927422516273347E-2</v>
      </c>
    </row>
    <row r="9" spans="1:8" x14ac:dyDescent="0.3">
      <c r="B9" s="871" t="s">
        <v>389</v>
      </c>
      <c r="C9" s="872">
        <f>SUM('Mortgage payment schedule'!E57:E68)</f>
        <v>27281.94253788672</v>
      </c>
      <c r="D9" s="873" t="s">
        <v>419</v>
      </c>
      <c r="E9" s="872">
        <f>SUM('Mortgage payment schedule'!D57:D68)</f>
        <v>70876.860955391719</v>
      </c>
      <c r="F9" s="874">
        <f t="shared" si="0"/>
        <v>0.27793678780686126</v>
      </c>
      <c r="G9" s="875">
        <f>C9/'ROI details'!$I$3</f>
        <v>7.5489603037871389E-2</v>
      </c>
    </row>
    <row r="10" spans="1:8" x14ac:dyDescent="0.3">
      <c r="B10" s="871" t="s">
        <v>390</v>
      </c>
      <c r="C10" s="872">
        <f>SUM('Mortgage payment schedule'!E69:E80)</f>
        <v>29036.766587909759</v>
      </c>
      <c r="D10" s="873" t="s">
        <v>420</v>
      </c>
      <c r="E10" s="872">
        <f>SUM('Mortgage payment schedule'!D69:D80)</f>
        <v>69122.036905368688</v>
      </c>
      <c r="F10" s="874">
        <f t="shared" si="0"/>
        <v>0.29581418634445855</v>
      </c>
      <c r="G10" s="875">
        <f>C10/'ROI details'!$I$3</f>
        <v>8.0345231289180294E-2</v>
      </c>
    </row>
    <row r="11" spans="1:8" x14ac:dyDescent="0.3">
      <c r="B11" s="871" t="s">
        <v>391</v>
      </c>
      <c r="C11" s="872">
        <f>SUM('Mortgage payment schedule'!E81:E92)</f>
        <v>30904.464105145129</v>
      </c>
      <c r="D11" s="873" t="s">
        <v>421</v>
      </c>
      <c r="E11" s="872">
        <f>SUM('Mortgage payment schedule'!D81:D92)</f>
        <v>67254.339388133318</v>
      </c>
      <c r="F11" s="874">
        <f t="shared" si="0"/>
        <v>0.31484149159643487</v>
      </c>
      <c r="G11" s="875">
        <f>C11/'ROI details'!$I$3</f>
        <v>8.5513182360667211E-2</v>
      </c>
    </row>
    <row r="12" spans="1:8" x14ac:dyDescent="0.3">
      <c r="B12" s="871" t="s">
        <v>392</v>
      </c>
      <c r="C12" s="872">
        <f>SUM('Mortgage payment schedule'!E93:E104)</f>
        <v>32892.295315824871</v>
      </c>
      <c r="D12" s="873" t="s">
        <v>422</v>
      </c>
      <c r="E12" s="872">
        <f>SUM('Mortgage payment schedule'!D93:D104)</f>
        <v>65266.508177453565</v>
      </c>
      <c r="F12" s="874">
        <f t="shared" si="0"/>
        <v>0.33509266764928747</v>
      </c>
      <c r="G12" s="875">
        <f>C12/'ROI details'!$I$3</f>
        <v>9.1013545422869047E-2</v>
      </c>
    </row>
    <row r="13" spans="1:8" x14ac:dyDescent="0.3">
      <c r="B13" s="871" t="s">
        <v>393</v>
      </c>
      <c r="C13" s="872">
        <f>SUM('Mortgage payment schedule'!E105:E116)</f>
        <v>35007.987437106669</v>
      </c>
      <c r="D13" s="873" t="s">
        <v>423</v>
      </c>
      <c r="E13" s="872">
        <f>SUM('Mortgage payment schedule'!D105:D116)</f>
        <v>63150.816056171767</v>
      </c>
      <c r="F13" s="874">
        <f t="shared" si="0"/>
        <v>0.35664643609377217</v>
      </c>
      <c r="G13" s="875">
        <f>C13/'ROI details'!$I$3</f>
        <v>9.6867701818225432E-2</v>
      </c>
    </row>
    <row r="14" spans="1:8" x14ac:dyDescent="0.3">
      <c r="B14" s="871" t="s">
        <v>394</v>
      </c>
      <c r="C14" s="872">
        <f>SUM('Mortgage payment schedule'!E117:E128)</f>
        <v>37259.764714777652</v>
      </c>
      <c r="D14" s="873" t="s">
        <v>424</v>
      </c>
      <c r="E14" s="872">
        <f>SUM('Mortgage payment schedule'!D117:D128)</f>
        <v>60899.038778500792</v>
      </c>
      <c r="F14" s="874">
        <f t="shared" si="0"/>
        <v>0.37958658203621098</v>
      </c>
      <c r="G14" s="875">
        <f>C14/'ROI details'!$I$3</f>
        <v>0.10309840817592045</v>
      </c>
    </row>
    <row r="15" spans="1:8" x14ac:dyDescent="0.3">
      <c r="B15" s="871" t="s">
        <v>395</v>
      </c>
      <c r="C15" s="872">
        <f>SUM('Mortgage payment schedule'!E129:E140)</f>
        <v>39656.380393037784</v>
      </c>
      <c r="D15" s="873" t="s">
        <v>425</v>
      </c>
      <c r="E15" s="872">
        <f>SUM('Mortgage payment schedule'!D129:D140)</f>
        <v>58502.423100240652</v>
      </c>
      <c r="F15" s="874">
        <f t="shared" si="0"/>
        <v>0.40400227979300207</v>
      </c>
      <c r="G15" s="875">
        <f>C15/'ROI details'!$I$3</f>
        <v>0.10972988487282176</v>
      </c>
    </row>
    <row r="16" spans="1:8" x14ac:dyDescent="0.3">
      <c r="B16" s="871" t="s">
        <v>396</v>
      </c>
      <c r="C16" s="872">
        <f>SUM('Mortgage payment schedule'!E141:E152)</f>
        <v>42207.150740637648</v>
      </c>
      <c r="D16" s="873" t="s">
        <v>426</v>
      </c>
      <c r="E16" s="872">
        <f>SUM('Mortgage payment schedule'!D141:D152)</f>
        <v>55951.652752640788</v>
      </c>
      <c r="F16" s="874">
        <f t="shared" si="0"/>
        <v>0.42998843953439025</v>
      </c>
      <c r="G16" s="875">
        <f>C16/'ROI details'!$I$3</f>
        <v>0.11678791018438751</v>
      </c>
    </row>
    <row r="17" spans="2:7" x14ac:dyDescent="0.3">
      <c r="B17" s="871" t="s">
        <v>397</v>
      </c>
      <c r="C17" s="872">
        <f>SUM('Mortgage payment schedule'!E153:E164)</f>
        <v>44921.991265639197</v>
      </c>
      <c r="D17" s="873" t="s">
        <v>427</v>
      </c>
      <c r="E17" s="872">
        <f>SUM('Mortgage payment schedule'!D153:D164)</f>
        <v>53236.812227639231</v>
      </c>
      <c r="F17" s="874">
        <f t="shared" si="0"/>
        <v>0.45764607622499492</v>
      </c>
      <c r="G17" s="875">
        <f>C17/'ROI details'!$I$3</f>
        <v>0.1242999204915307</v>
      </c>
    </row>
    <row r="18" spans="2:7" x14ac:dyDescent="0.3">
      <c r="B18" s="871" t="s">
        <v>398</v>
      </c>
      <c r="C18" s="872">
        <f>SUM('Mortgage payment schedule'!E165:E176)</f>
        <v>47811.455259575705</v>
      </c>
      <c r="D18" s="873" t="s">
        <v>428</v>
      </c>
      <c r="E18" s="872">
        <f>SUM('Mortgage payment schedule'!D165:D176)</f>
        <v>50347.348233702724</v>
      </c>
      <c r="F18" s="874">
        <f t="shared" si="0"/>
        <v>0.48708270229526252</v>
      </c>
      <c r="G18" s="875">
        <f>C18/'ROI details'!$I$3</f>
        <v>0.13229511693297097</v>
      </c>
    </row>
    <row r="19" spans="2:7" x14ac:dyDescent="0.3">
      <c r="B19" s="871" t="s">
        <v>399</v>
      </c>
      <c r="C19" s="872">
        <f>SUM('Mortgage payment schedule'!E177:E188)</f>
        <v>50886.774820841929</v>
      </c>
      <c r="D19" s="873" t="s">
        <v>429</v>
      </c>
      <c r="E19" s="872">
        <f>SUM('Mortgage payment schedule'!D177:D188)</f>
        <v>47272.028672436514</v>
      </c>
      <c r="F19" s="874">
        <f t="shared" si="0"/>
        <v>0.51841274557025818</v>
      </c>
      <c r="G19" s="875">
        <f>C19/'ROI details'!$I$3</f>
        <v>0.14080457891765891</v>
      </c>
    </row>
    <row r="20" spans="2:7" x14ac:dyDescent="0.3">
      <c r="B20" s="871" t="s">
        <v>400</v>
      </c>
      <c r="C20" s="872">
        <f>SUM('Mortgage payment schedule'!E189:E200)</f>
        <v>54159.904516783194</v>
      </c>
      <c r="D20" s="873" t="s">
        <v>430</v>
      </c>
      <c r="E20" s="872">
        <f>SUM('Mortgage payment schedule'!D189:D200)</f>
        <v>43998.898976495249</v>
      </c>
      <c r="F20" s="874">
        <f t="shared" si="0"/>
        <v>0.55175799408039705</v>
      </c>
      <c r="G20" s="875">
        <f>C20/'ROI details'!$I$3</f>
        <v>0.14986138493852572</v>
      </c>
    </row>
    <row r="21" spans="2:7" x14ac:dyDescent="0.3">
      <c r="B21" s="871" t="s">
        <v>401</v>
      </c>
      <c r="C21" s="872">
        <f>SUM('Mortgage payment schedule'!E201:E212)</f>
        <v>57643.567854209337</v>
      </c>
      <c r="D21" s="873" t="s">
        <v>431</v>
      </c>
      <c r="E21" s="872">
        <f>SUM('Mortgage payment schedule'!D201:D212)</f>
        <v>40515.235639069113</v>
      </c>
      <c r="F21" s="874">
        <f t="shared" si="0"/>
        <v>0.58724806948320796</v>
      </c>
      <c r="G21" s="875">
        <f>C21/'ROI details'!$I$3</f>
        <v>0.1595007411571924</v>
      </c>
    </row>
    <row r="22" spans="2:7" x14ac:dyDescent="0.3">
      <c r="B22" s="871" t="s">
        <v>402</v>
      </c>
      <c r="C22" s="872">
        <f>SUM('Mortgage payment schedule'!E213:E224)</f>
        <v>61351.306738976331</v>
      </c>
      <c r="D22" s="873" t="s">
        <v>432</v>
      </c>
      <c r="E22" s="872">
        <f>SUM('Mortgage payment schedule'!D213:D224)</f>
        <v>36807.496754302119</v>
      </c>
      <c r="F22" s="874">
        <f t="shared" si="0"/>
        <v>0.62502093093644362</v>
      </c>
      <c r="G22" s="875">
        <f>C22/'ROI details'!$I$3</f>
        <v>0.16976011825948073</v>
      </c>
    </row>
    <row r="23" spans="2:7" x14ac:dyDescent="0.3">
      <c r="B23" s="871" t="s">
        <v>403</v>
      </c>
      <c r="C23" s="872">
        <f>SUM('Mortgage payment schedule'!E225:E236)</f>
        <v>65297.53411689803</v>
      </c>
      <c r="D23" s="873" t="s">
        <v>433</v>
      </c>
      <c r="E23" s="872">
        <f>SUM('Mortgage payment schedule'!D225:D236)</f>
        <v>32861.269376380391</v>
      </c>
      <c r="F23" s="874">
        <f t="shared" si="0"/>
        <v>0.66522341138122554</v>
      </c>
      <c r="G23" s="875">
        <f>C23/'ROI details'!$I$3</f>
        <v>0.18067939711371894</v>
      </c>
    </row>
    <row r="24" spans="2:7" x14ac:dyDescent="0.3">
      <c r="B24" s="871" t="s">
        <v>404</v>
      </c>
      <c r="C24" s="872">
        <f>SUM('Mortgage payment schedule'!E237:E248)</f>
        <v>69497.59000061694</v>
      </c>
      <c r="D24" s="873" t="s">
        <v>434</v>
      </c>
      <c r="E24" s="872">
        <f>SUM('Mortgage payment schedule'!D237:D248)</f>
        <v>28661.213492661485</v>
      </c>
      <c r="F24" s="874">
        <f t="shared" si="0"/>
        <v>0.7080117883198922</v>
      </c>
      <c r="G24" s="875">
        <f>C24/'ROI details'!$I$3</f>
        <v>0.19230102379805461</v>
      </c>
    </row>
    <row r="25" spans="2:7" x14ac:dyDescent="0.3">
      <c r="B25" s="871" t="s">
        <v>405</v>
      </c>
      <c r="C25" s="872">
        <f>SUM('Mortgage payment schedule'!E249:E260)</f>
        <v>73967.801100224737</v>
      </c>
      <c r="D25" s="873" t="s">
        <v>435</v>
      </c>
      <c r="E25" s="872">
        <f>SUM('Mortgage payment schedule'!D249:D260)</f>
        <v>24191.002393053703</v>
      </c>
      <c r="F25" s="874">
        <f t="shared" si="0"/>
        <v>0.75355239130731444</v>
      </c>
      <c r="G25" s="875">
        <f>C25/'ROI details'!$I$3</f>
        <v>0.20467017459940437</v>
      </c>
    </row>
    <row r="26" spans="2:7" x14ac:dyDescent="0.3">
      <c r="B26" s="871" t="s">
        <v>406</v>
      </c>
      <c r="C26" s="872">
        <f>SUM('Mortgage payment schedule'!E261:E272)</f>
        <v>78725.544289432728</v>
      </c>
      <c r="D26" s="873" t="s">
        <v>436</v>
      </c>
      <c r="E26" s="872">
        <f>SUM('Mortgage payment schedule'!D261:D272)</f>
        <v>19433.259203845701</v>
      </c>
      <c r="F26" s="874">
        <f t="shared" si="0"/>
        <v>0.80202224851715498</v>
      </c>
      <c r="G26" s="875">
        <f>C26/'ROI details'!$I$3</f>
        <v>0.21783493162543643</v>
      </c>
    </row>
    <row r="27" spans="2:7" x14ac:dyDescent="0.3">
      <c r="B27" s="871" t="s">
        <v>407</v>
      </c>
      <c r="C27" s="872">
        <f>SUM('Mortgage payment schedule'!E273:E284)</f>
        <v>83789.314154001608</v>
      </c>
      <c r="D27" s="873" t="s">
        <v>437</v>
      </c>
      <c r="E27" s="872">
        <f>SUM('Mortgage payment schedule'!D273:D284)</f>
        <v>14369.489339276835</v>
      </c>
      <c r="F27" s="874">
        <f t="shared" si="0"/>
        <v>0.85360977489644307</v>
      </c>
      <c r="G27" s="875">
        <f>C27/'ROI details'!$I$3</f>
        <v>0.23184646971223466</v>
      </c>
    </row>
    <row r="28" spans="2:7" x14ac:dyDescent="0.3">
      <c r="B28" s="871" t="s">
        <v>408</v>
      </c>
      <c r="C28" s="872">
        <f>SUM('Mortgage payment schedule'!E285:E296)</f>
        <v>89178.794885008494</v>
      </c>
      <c r="D28" s="873" t="s">
        <v>438</v>
      </c>
      <c r="E28" s="872">
        <f>SUM('Mortgage payment schedule'!D285:D296)</f>
        <v>8980.0086082699545</v>
      </c>
      <c r="F28" s="874">
        <f t="shared" si="0"/>
        <v>0.90851550458350006</v>
      </c>
      <c r="G28" s="875">
        <f>C28/'ROI details'!$I$3</f>
        <v>0.24675925535420171</v>
      </c>
    </row>
    <row r="29" spans="2:7" x14ac:dyDescent="0.3">
      <c r="B29" s="871" t="s">
        <v>409</v>
      </c>
      <c r="C29" s="872">
        <f>SUM('Mortgage payment schedule'!E297:E308)</f>
        <v>94914.936796417358</v>
      </c>
      <c r="D29" s="873" t="s">
        <v>439</v>
      </c>
      <c r="E29" s="872">
        <f>SUM('Mortgage payment schedule'!D297:D308)</f>
        <v>3243.8666968587536</v>
      </c>
      <c r="F29" s="874">
        <f t="shared" si="0"/>
        <v>0.96695287043631339</v>
      </c>
      <c r="G29" s="875">
        <f>C29/'ROI details'!$I$3</f>
        <v>0.26263125842948909</v>
      </c>
    </row>
    <row r="30" spans="2:7" x14ac:dyDescent="0.3">
      <c r="B30" s="871" t="s">
        <v>410</v>
      </c>
      <c r="C30" s="872">
        <f>SUM('Mortgage payment schedule'!E309:E320)</f>
        <v>0</v>
      </c>
      <c r="D30" s="873" t="s">
        <v>440</v>
      </c>
      <c r="E30" s="872">
        <f>SUM('Mortgage payment schedule'!D309:D320)</f>
        <v>0</v>
      </c>
      <c r="F30" s="874" t="e">
        <f t="shared" si="0"/>
        <v>#DIV/0!</v>
      </c>
      <c r="G30" s="875">
        <f>C30/'ROI details'!$I$3</f>
        <v>0</v>
      </c>
    </row>
    <row r="31" spans="2:7" x14ac:dyDescent="0.3">
      <c r="B31" s="871" t="s">
        <v>411</v>
      </c>
      <c r="C31" s="872">
        <f>SUM('Mortgage payment schedule'!E321:E332)</f>
        <v>0</v>
      </c>
      <c r="D31" s="873" t="s">
        <v>441</v>
      </c>
      <c r="E31" s="872">
        <f>SUM('Mortgage payment schedule'!D321:D332)</f>
        <v>0</v>
      </c>
      <c r="F31" s="874" t="e">
        <f t="shared" si="0"/>
        <v>#DIV/0!</v>
      </c>
      <c r="G31" s="875">
        <f>C31/'ROI details'!$I$3</f>
        <v>0</v>
      </c>
    </row>
    <row r="32" spans="2:7" x14ac:dyDescent="0.3">
      <c r="B32" s="871" t="s">
        <v>412</v>
      </c>
      <c r="C32" s="872">
        <f>SUM('Mortgage payment schedule'!E333:E344)</f>
        <v>0</v>
      </c>
      <c r="D32" s="873" t="s">
        <v>442</v>
      </c>
      <c r="E32" s="872">
        <f>SUM('Mortgage payment schedule'!D333:D344)</f>
        <v>0</v>
      </c>
      <c r="F32" s="874" t="e">
        <f t="shared" si="0"/>
        <v>#DIV/0!</v>
      </c>
      <c r="G32" s="875">
        <f>C32/'ROI details'!$I$3</f>
        <v>0</v>
      </c>
    </row>
    <row r="33" spans="2:7" x14ac:dyDescent="0.3">
      <c r="B33" s="871" t="s">
        <v>413</v>
      </c>
      <c r="C33" s="872">
        <f>SUM('Mortgage payment schedule'!E345:E356)</f>
        <v>0</v>
      </c>
      <c r="D33" s="873" t="s">
        <v>443</v>
      </c>
      <c r="E33" s="872">
        <f>SUM('Mortgage payment schedule'!D345:D356)</f>
        <v>0</v>
      </c>
      <c r="F33" s="874" t="e">
        <f t="shared" si="0"/>
        <v>#DIV/0!</v>
      </c>
      <c r="G33" s="875">
        <f>C33/'ROI details'!$I$3</f>
        <v>0</v>
      </c>
    </row>
    <row r="34" spans="2:7" ht="15" thickBot="1" x14ac:dyDescent="0.35">
      <c r="B34" s="876" t="s">
        <v>414</v>
      </c>
      <c r="C34" s="877">
        <f>SUM('Mortgage payment schedule'!E357:E368)</f>
        <v>0</v>
      </c>
      <c r="D34" s="878" t="s">
        <v>444</v>
      </c>
      <c r="E34" s="877">
        <f>SUM('Mortgage payment schedule'!D357:D368)</f>
        <v>0</v>
      </c>
      <c r="F34" s="879" t="e">
        <f t="shared" si="0"/>
        <v>#DIV/0!</v>
      </c>
      <c r="G34" s="880">
        <f>C34/'ROI details'!$I$3</f>
        <v>0</v>
      </c>
    </row>
    <row r="35" spans="2:7" x14ac:dyDescent="0.3"/>
    <row r="36" spans="2:7" x14ac:dyDescent="0.3"/>
  </sheetData>
  <sheetProtection algorithmName="SHA-512" hashValue="gZ5xanTBPaaYi4QwB53WWWSsgdvDJ7NWdVoF6Gh8GZsM83jGy+pYsaZ6FbaM+sEaqJWI9g3Y3400+s3j1ssRIw==" saltValue="BcPVzMaJaKbT6GpvuMZx+w==" spinCount="100000" sheet="1" objects="1" scenarios="1"/>
  <phoneticPr fontId="75" type="noConversion"/>
  <hyperlinks>
    <hyperlink ref="A1" location="'Table of contents'!A1" display="Table of contents" xr:uid="{1AA6B7E9-0AF3-486F-A268-7224F0FBA6DD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1FC8-2F47-401C-8524-EFE21D596808}">
  <sheetPr codeName="Sheet13">
    <tabColor theme="2" tint="-0.249977111117893"/>
  </sheetPr>
  <dimension ref="A1:I371"/>
  <sheetViews>
    <sheetView workbookViewId="0"/>
  </sheetViews>
  <sheetFormatPr defaultColWidth="0" defaultRowHeight="14.4" x14ac:dyDescent="0.3"/>
  <cols>
    <col min="1" max="1" width="13.77734375" style="583" customWidth="1"/>
    <col min="2" max="2" width="10.6640625" style="583" customWidth="1"/>
    <col min="3" max="3" width="12.21875" style="583" customWidth="1"/>
    <col min="4" max="4" width="16.21875" style="881" customWidth="1"/>
    <col min="5" max="5" width="16.6640625" style="881" customWidth="1"/>
    <col min="6" max="6" width="12.77734375" style="881" customWidth="1"/>
    <col min="7" max="7" width="16.109375" style="583" customWidth="1"/>
    <col min="8" max="8" width="8.77734375" style="583" customWidth="1"/>
    <col min="9" max="9" width="26.44140625" style="583" customWidth="1"/>
    <col min="10" max="16384" width="8.77734375" style="583" hidden="1"/>
  </cols>
  <sheetData>
    <row r="1" spans="1:9" x14ac:dyDescent="0.3">
      <c r="A1" s="628" t="s">
        <v>454</v>
      </c>
    </row>
    <row r="2" spans="1:9" ht="15.6" x14ac:dyDescent="0.3">
      <c r="A2" s="980" t="s">
        <v>109</v>
      </c>
      <c r="B2" s="980"/>
      <c r="C2" s="881">
        <f>'ROI Number insert'!F12</f>
        <v>1240000</v>
      </c>
    </row>
    <row r="3" spans="1:9" ht="15.6" x14ac:dyDescent="0.3">
      <c r="A3" s="980" t="s">
        <v>161</v>
      </c>
      <c r="B3" s="980"/>
      <c r="C3" s="881">
        <f>'Mortgage Caculator'!C11</f>
        <v>8179.9002911065363</v>
      </c>
      <c r="I3" s="1"/>
    </row>
    <row r="4" spans="1:9" ht="15.6" x14ac:dyDescent="0.3">
      <c r="A4" s="980" t="s">
        <v>167</v>
      </c>
      <c r="B4" s="980"/>
      <c r="C4" s="882">
        <f>'ROI Number insert'!F5</f>
        <v>6.25E-2</v>
      </c>
      <c r="I4" s="1"/>
    </row>
    <row r="5" spans="1:9" ht="15.6" x14ac:dyDescent="0.3">
      <c r="A5" s="980" t="s">
        <v>168</v>
      </c>
      <c r="B5" s="980"/>
      <c r="C5" s="583">
        <f>'ROI Number insert'!F4</f>
        <v>25</v>
      </c>
      <c r="I5" s="1"/>
    </row>
    <row r="6" spans="1:9" ht="15.6" x14ac:dyDescent="0.3">
      <c r="A6" s="980" t="s">
        <v>169</v>
      </c>
      <c r="B6" s="980"/>
      <c r="C6" s="583">
        <f>'Mortgage Caculator'!C6</f>
        <v>12</v>
      </c>
      <c r="I6" s="1"/>
    </row>
    <row r="7" spans="1:9" ht="18" x14ac:dyDescent="0.35">
      <c r="A7" s="979" t="s">
        <v>170</v>
      </c>
      <c r="B7" s="979"/>
      <c r="C7" s="979"/>
      <c r="D7" s="979"/>
      <c r="E7" s="979"/>
      <c r="F7" s="979"/>
      <c r="G7" s="979"/>
      <c r="I7" s="1"/>
    </row>
    <row r="8" spans="1:9" s="885" customFormat="1" ht="31.2" x14ac:dyDescent="0.3">
      <c r="A8" s="883" t="s">
        <v>171</v>
      </c>
      <c r="B8" s="883" t="s">
        <v>172</v>
      </c>
      <c r="C8" s="883" t="s">
        <v>173</v>
      </c>
      <c r="D8" s="884" t="s">
        <v>174</v>
      </c>
      <c r="E8" s="884" t="s">
        <v>175</v>
      </c>
      <c r="F8" s="884" t="s">
        <v>176</v>
      </c>
      <c r="G8" s="883" t="s">
        <v>177</v>
      </c>
      <c r="I8" s="1"/>
    </row>
    <row r="9" spans="1:9" x14ac:dyDescent="0.3">
      <c r="B9" s="583">
        <v>0</v>
      </c>
      <c r="C9" s="881">
        <f>IF($C$3&lt;G9+(G9*($C$4/$C$6)),$C$3,G9+(G9*($C$4/$C$6)))</f>
        <v>8179.9002911065363</v>
      </c>
      <c r="D9" s="881">
        <f>G9*$C$4/$C$6</f>
        <v>6458.333333333333</v>
      </c>
      <c r="E9" s="881">
        <f>C9-D9</f>
        <v>1721.5669577732033</v>
      </c>
      <c r="G9" s="881">
        <f>C2</f>
        <v>1240000</v>
      </c>
      <c r="I9" s="1"/>
    </row>
    <row r="10" spans="1:9" x14ac:dyDescent="0.3">
      <c r="B10" s="583">
        <v>1</v>
      </c>
      <c r="C10" s="881">
        <f t="shared" ref="C10:C73" si="0">IF($C$3&lt;G10+(G10*($C$4/$C$6)),$C$3,G10+(G10*($C$4/$C$6)))</f>
        <v>8179.9002911065363</v>
      </c>
      <c r="D10" s="881">
        <f t="shared" ref="D10:D73" si="1">G10*$C$4/$C$6</f>
        <v>6449.366838761598</v>
      </c>
      <c r="E10" s="881">
        <f t="shared" ref="E10:E73" si="2">C10-D10</f>
        <v>1730.5334523449383</v>
      </c>
      <c r="G10" s="881">
        <f>G9-E9-F9</f>
        <v>1238278.4330422268</v>
      </c>
      <c r="I10" s="1"/>
    </row>
    <row r="11" spans="1:9" x14ac:dyDescent="0.3">
      <c r="B11" s="583">
        <v>2</v>
      </c>
      <c r="C11" s="881">
        <f t="shared" si="0"/>
        <v>8179.9002911065363</v>
      </c>
      <c r="D11" s="881">
        <f t="shared" si="1"/>
        <v>6440.3536436973018</v>
      </c>
      <c r="E11" s="881">
        <f t="shared" si="2"/>
        <v>1739.5466474092345</v>
      </c>
      <c r="G11" s="881">
        <f t="shared" ref="G11:G74" si="3">G10-E10-F10</f>
        <v>1236547.899589882</v>
      </c>
      <c r="I11" s="1"/>
    </row>
    <row r="12" spans="1:9" x14ac:dyDescent="0.3">
      <c r="B12" s="583">
        <v>3</v>
      </c>
      <c r="C12" s="881">
        <f t="shared" si="0"/>
        <v>8179.9002911065363</v>
      </c>
      <c r="D12" s="881">
        <f t="shared" si="1"/>
        <v>6431.2935049087127</v>
      </c>
      <c r="E12" s="881">
        <f t="shared" si="2"/>
        <v>1748.6067861978236</v>
      </c>
      <c r="G12" s="881">
        <f t="shared" si="3"/>
        <v>1234808.3529424728</v>
      </c>
      <c r="I12" s="1"/>
    </row>
    <row r="13" spans="1:9" x14ac:dyDescent="0.3">
      <c r="B13" s="583">
        <v>4</v>
      </c>
      <c r="C13" s="881">
        <f t="shared" si="0"/>
        <v>8179.9002911065363</v>
      </c>
      <c r="D13" s="881">
        <f t="shared" si="1"/>
        <v>6422.1861778972661</v>
      </c>
      <c r="E13" s="881">
        <f t="shared" si="2"/>
        <v>1757.7141132092702</v>
      </c>
      <c r="G13" s="881">
        <f t="shared" si="3"/>
        <v>1233059.746156275</v>
      </c>
      <c r="I13" s="1"/>
    </row>
    <row r="14" spans="1:9" x14ac:dyDescent="0.3">
      <c r="B14" s="583">
        <v>5</v>
      </c>
      <c r="C14" s="881">
        <f t="shared" si="0"/>
        <v>8179.9002911065363</v>
      </c>
      <c r="D14" s="881">
        <f t="shared" si="1"/>
        <v>6413.0314168909681</v>
      </c>
      <c r="E14" s="881">
        <f t="shared" si="2"/>
        <v>1766.8688742155682</v>
      </c>
      <c r="G14" s="881">
        <f t="shared" si="3"/>
        <v>1231302.0320430659</v>
      </c>
      <c r="I14" s="1"/>
    </row>
    <row r="15" spans="1:9" x14ac:dyDescent="0.3">
      <c r="B15" s="583">
        <v>6</v>
      </c>
      <c r="C15" s="881">
        <f t="shared" si="0"/>
        <v>8179.9002911065363</v>
      </c>
      <c r="D15" s="881">
        <f t="shared" si="1"/>
        <v>6403.828974837762</v>
      </c>
      <c r="E15" s="881">
        <f t="shared" si="2"/>
        <v>1776.0713162687744</v>
      </c>
      <c r="G15" s="881">
        <f t="shared" si="3"/>
        <v>1229535.1631688504</v>
      </c>
      <c r="I15" s="1"/>
    </row>
    <row r="16" spans="1:9" x14ac:dyDescent="0.3">
      <c r="B16" s="583">
        <v>7</v>
      </c>
      <c r="C16" s="881">
        <f t="shared" si="0"/>
        <v>8179.9002911065363</v>
      </c>
      <c r="D16" s="881">
        <f t="shared" si="1"/>
        <v>6394.5786033988625</v>
      </c>
      <c r="E16" s="881">
        <f t="shared" si="2"/>
        <v>1785.3216877076738</v>
      </c>
      <c r="G16" s="881">
        <f t="shared" si="3"/>
        <v>1227759.0918525816</v>
      </c>
      <c r="I16" s="1"/>
    </row>
    <row r="17" spans="2:9" x14ac:dyDescent="0.3">
      <c r="B17" s="583">
        <v>8</v>
      </c>
      <c r="C17" s="881">
        <f t="shared" si="0"/>
        <v>8179.9002911065363</v>
      </c>
      <c r="D17" s="881">
        <f t="shared" si="1"/>
        <v>6385.280052942052</v>
      </c>
      <c r="E17" s="881">
        <f t="shared" si="2"/>
        <v>1794.6202381644844</v>
      </c>
      <c r="G17" s="881">
        <f t="shared" si="3"/>
        <v>1225973.7701648739</v>
      </c>
      <c r="I17" s="1"/>
    </row>
    <row r="18" spans="2:9" x14ac:dyDescent="0.3">
      <c r="B18" s="583">
        <v>9</v>
      </c>
      <c r="C18" s="881">
        <f t="shared" si="0"/>
        <v>8179.9002911065363</v>
      </c>
      <c r="D18" s="881">
        <f t="shared" si="1"/>
        <v>6375.9330725349455</v>
      </c>
      <c r="E18" s="881">
        <f t="shared" si="2"/>
        <v>1803.9672185715908</v>
      </c>
      <c r="G18" s="881">
        <f t="shared" si="3"/>
        <v>1224179.1499267095</v>
      </c>
    </row>
    <row r="19" spans="2:9" x14ac:dyDescent="0.3">
      <c r="B19" s="583">
        <v>10</v>
      </c>
      <c r="C19" s="881">
        <f t="shared" si="0"/>
        <v>8179.9002911065363</v>
      </c>
      <c r="D19" s="881">
        <f t="shared" si="1"/>
        <v>6366.5374099382179</v>
      </c>
      <c r="E19" s="881">
        <f t="shared" si="2"/>
        <v>1813.3628811683184</v>
      </c>
      <c r="G19" s="881">
        <f t="shared" si="3"/>
        <v>1222375.1827081379</v>
      </c>
    </row>
    <row r="20" spans="2:9" x14ac:dyDescent="0.3">
      <c r="B20" s="583">
        <v>11</v>
      </c>
      <c r="C20" s="881">
        <f t="shared" si="0"/>
        <v>8179.9002911065363</v>
      </c>
      <c r="D20" s="881">
        <f t="shared" si="1"/>
        <v>6357.0928115987999</v>
      </c>
      <c r="E20" s="881">
        <f t="shared" si="2"/>
        <v>1822.8074795077364</v>
      </c>
      <c r="G20" s="881">
        <f t="shared" si="3"/>
        <v>1220561.8198269696</v>
      </c>
    </row>
    <row r="21" spans="2:9" x14ac:dyDescent="0.3">
      <c r="B21" s="583">
        <v>12</v>
      </c>
      <c r="C21" s="881">
        <f t="shared" si="0"/>
        <v>8179.9002911065363</v>
      </c>
      <c r="D21" s="881">
        <f t="shared" si="1"/>
        <v>6347.5990226430304</v>
      </c>
      <c r="E21" s="881">
        <f t="shared" si="2"/>
        <v>1832.3012684635059</v>
      </c>
      <c r="G21" s="881">
        <f t="shared" si="3"/>
        <v>1218739.0123474619</v>
      </c>
    </row>
    <row r="22" spans="2:9" x14ac:dyDescent="0.3">
      <c r="B22" s="583">
        <v>13</v>
      </c>
      <c r="C22" s="881">
        <f t="shared" si="0"/>
        <v>8179.9002911065363</v>
      </c>
      <c r="D22" s="881">
        <f t="shared" si="1"/>
        <v>6338.0557868697833</v>
      </c>
      <c r="E22" s="881">
        <f t="shared" si="2"/>
        <v>1841.844504236753</v>
      </c>
      <c r="G22" s="881">
        <f t="shared" si="3"/>
        <v>1216906.7110789984</v>
      </c>
    </row>
    <row r="23" spans="2:9" x14ac:dyDescent="0.3">
      <c r="B23" s="583">
        <v>14</v>
      </c>
      <c r="C23" s="881">
        <f t="shared" si="0"/>
        <v>8179.9002911065363</v>
      </c>
      <c r="D23" s="881">
        <f t="shared" si="1"/>
        <v>6328.4628467435505</v>
      </c>
      <c r="E23" s="881">
        <f t="shared" si="2"/>
        <v>1851.4374443629858</v>
      </c>
      <c r="G23" s="881">
        <f t="shared" si="3"/>
        <v>1215064.8665747617</v>
      </c>
    </row>
    <row r="24" spans="2:9" x14ac:dyDescent="0.3">
      <c r="B24" s="583">
        <v>15</v>
      </c>
      <c r="C24" s="881">
        <f t="shared" si="0"/>
        <v>8179.9002911065363</v>
      </c>
      <c r="D24" s="881">
        <f t="shared" si="1"/>
        <v>6318.8199433874934</v>
      </c>
      <c r="E24" s="881">
        <f t="shared" si="2"/>
        <v>1861.0803477190429</v>
      </c>
      <c r="G24" s="881">
        <f t="shared" si="3"/>
        <v>1213213.4291303987</v>
      </c>
    </row>
    <row r="25" spans="2:9" x14ac:dyDescent="0.3">
      <c r="B25" s="583">
        <v>16</v>
      </c>
      <c r="C25" s="881">
        <f t="shared" si="0"/>
        <v>8179.9002911065363</v>
      </c>
      <c r="D25" s="881">
        <f t="shared" si="1"/>
        <v>6309.1268165764559</v>
      </c>
      <c r="E25" s="881">
        <f t="shared" si="2"/>
        <v>1870.7734745300804</v>
      </c>
      <c r="G25" s="881">
        <f t="shared" si="3"/>
        <v>1211352.3487826795</v>
      </c>
    </row>
    <row r="26" spans="2:9" x14ac:dyDescent="0.3">
      <c r="B26" s="583">
        <v>17</v>
      </c>
      <c r="C26" s="881">
        <f t="shared" si="0"/>
        <v>8179.9002911065363</v>
      </c>
      <c r="D26" s="881">
        <f t="shared" si="1"/>
        <v>6299.3832047299447</v>
      </c>
      <c r="E26" s="881">
        <f t="shared" si="2"/>
        <v>1880.5170863765916</v>
      </c>
      <c r="G26" s="881">
        <f t="shared" si="3"/>
        <v>1209481.5753081494</v>
      </c>
    </row>
    <row r="27" spans="2:9" x14ac:dyDescent="0.3">
      <c r="B27" s="583">
        <v>18</v>
      </c>
      <c r="C27" s="881">
        <f t="shared" si="0"/>
        <v>8179.9002911065363</v>
      </c>
      <c r="D27" s="881">
        <f t="shared" si="1"/>
        <v>6289.5888449050663</v>
      </c>
      <c r="E27" s="881">
        <f t="shared" si="2"/>
        <v>1890.3114462014701</v>
      </c>
      <c r="G27" s="881">
        <f t="shared" si="3"/>
        <v>1207601.0582217728</v>
      </c>
    </row>
    <row r="28" spans="2:9" x14ac:dyDescent="0.3">
      <c r="B28" s="583">
        <v>19</v>
      </c>
      <c r="C28" s="881">
        <f t="shared" si="0"/>
        <v>8179.9002911065363</v>
      </c>
      <c r="D28" s="881">
        <f t="shared" si="1"/>
        <v>6279.7434727894333</v>
      </c>
      <c r="E28" s="881">
        <f t="shared" si="2"/>
        <v>1900.156818317103</v>
      </c>
      <c r="G28" s="881">
        <f t="shared" si="3"/>
        <v>1205710.7467755713</v>
      </c>
    </row>
    <row r="29" spans="2:9" x14ac:dyDescent="0.3">
      <c r="B29" s="583">
        <v>20</v>
      </c>
      <c r="C29" s="881">
        <f t="shared" si="0"/>
        <v>8179.9002911065363</v>
      </c>
      <c r="D29" s="881">
        <f t="shared" si="1"/>
        <v>6269.8468226940322</v>
      </c>
      <c r="E29" s="881">
        <f t="shared" si="2"/>
        <v>1910.0534684125041</v>
      </c>
      <c r="G29" s="881">
        <f t="shared" si="3"/>
        <v>1203810.5899572542</v>
      </c>
    </row>
    <row r="30" spans="2:9" x14ac:dyDescent="0.3">
      <c r="B30" s="583">
        <v>21</v>
      </c>
      <c r="C30" s="881">
        <f t="shared" si="0"/>
        <v>8179.9002911065363</v>
      </c>
      <c r="D30" s="881">
        <f t="shared" si="1"/>
        <v>6259.8986275460511</v>
      </c>
      <c r="E30" s="881">
        <f t="shared" si="2"/>
        <v>1920.0016635604852</v>
      </c>
      <c r="G30" s="881">
        <f t="shared" si="3"/>
        <v>1201900.5364888418</v>
      </c>
    </row>
    <row r="31" spans="2:9" x14ac:dyDescent="0.3">
      <c r="B31" s="583">
        <v>22</v>
      </c>
      <c r="C31" s="881">
        <f t="shared" si="0"/>
        <v>8179.9002911065363</v>
      </c>
      <c r="D31" s="881">
        <f t="shared" si="1"/>
        <v>6249.8986188816734</v>
      </c>
      <c r="E31" s="881">
        <f t="shared" si="2"/>
        <v>1930.0016722248629</v>
      </c>
      <c r="G31" s="881">
        <f t="shared" si="3"/>
        <v>1199980.5348252812</v>
      </c>
    </row>
    <row r="32" spans="2:9" x14ac:dyDescent="0.3">
      <c r="B32" s="583">
        <v>23</v>
      </c>
      <c r="C32" s="881">
        <f t="shared" si="0"/>
        <v>8179.9002911065363</v>
      </c>
      <c r="D32" s="881">
        <f t="shared" si="1"/>
        <v>6239.8465268388354</v>
      </c>
      <c r="E32" s="881">
        <f t="shared" si="2"/>
        <v>1940.0537642677009</v>
      </c>
      <c r="G32" s="881">
        <f t="shared" si="3"/>
        <v>1198050.5331530564</v>
      </c>
    </row>
    <row r="33" spans="2:7" x14ac:dyDescent="0.3">
      <c r="B33" s="583">
        <v>24</v>
      </c>
      <c r="C33" s="881">
        <f t="shared" si="0"/>
        <v>8179.9002911065363</v>
      </c>
      <c r="D33" s="881">
        <f t="shared" si="1"/>
        <v>6229.742080149942</v>
      </c>
      <c r="E33" s="881">
        <f t="shared" si="2"/>
        <v>1950.1582109565943</v>
      </c>
      <c r="G33" s="881">
        <f t="shared" si="3"/>
        <v>1196110.4793887888</v>
      </c>
    </row>
    <row r="34" spans="2:7" x14ac:dyDescent="0.3">
      <c r="B34" s="583">
        <v>25</v>
      </c>
      <c r="C34" s="881">
        <f t="shared" si="0"/>
        <v>8179.9002911065363</v>
      </c>
      <c r="D34" s="881">
        <f t="shared" si="1"/>
        <v>6219.5850061345436</v>
      </c>
      <c r="E34" s="881">
        <f t="shared" si="2"/>
        <v>1960.3152849719927</v>
      </c>
      <c r="G34" s="881">
        <f t="shared" si="3"/>
        <v>1194160.3211778323</v>
      </c>
    </row>
    <row r="35" spans="2:7" x14ac:dyDescent="0.3">
      <c r="B35" s="583">
        <v>26</v>
      </c>
      <c r="C35" s="881">
        <f t="shared" si="0"/>
        <v>8179.9002911065363</v>
      </c>
      <c r="D35" s="881">
        <f t="shared" si="1"/>
        <v>6209.3750306919801</v>
      </c>
      <c r="E35" s="881">
        <f t="shared" si="2"/>
        <v>1970.5252604145562</v>
      </c>
      <c r="G35" s="881">
        <f t="shared" si="3"/>
        <v>1192200.0058928602</v>
      </c>
    </row>
    <row r="36" spans="2:7" x14ac:dyDescent="0.3">
      <c r="B36" s="583">
        <v>27</v>
      </c>
      <c r="C36" s="881">
        <f t="shared" si="0"/>
        <v>8179.9002911065363</v>
      </c>
      <c r="D36" s="881">
        <f t="shared" si="1"/>
        <v>6199.1118782939884</v>
      </c>
      <c r="E36" s="881">
        <f t="shared" si="2"/>
        <v>1980.7884128125479</v>
      </c>
      <c r="G36" s="881">
        <f t="shared" si="3"/>
        <v>1190229.4806324458</v>
      </c>
    </row>
    <row r="37" spans="2:7" x14ac:dyDescent="0.3">
      <c r="B37" s="583">
        <v>28</v>
      </c>
      <c r="C37" s="881">
        <f t="shared" si="0"/>
        <v>8179.9002911065363</v>
      </c>
      <c r="D37" s="881">
        <f t="shared" si="1"/>
        <v>6188.7952719772557</v>
      </c>
      <c r="E37" s="881">
        <f t="shared" si="2"/>
        <v>1991.1050191292807</v>
      </c>
      <c r="G37" s="881">
        <f t="shared" si="3"/>
        <v>1188248.6922196331</v>
      </c>
    </row>
    <row r="38" spans="2:7" x14ac:dyDescent="0.3">
      <c r="B38" s="583">
        <v>29</v>
      </c>
      <c r="C38" s="881">
        <f t="shared" si="0"/>
        <v>8179.9002911065363</v>
      </c>
      <c r="D38" s="881">
        <f t="shared" si="1"/>
        <v>6178.4249333359576</v>
      </c>
      <c r="E38" s="881">
        <f t="shared" si="2"/>
        <v>2001.4753577705787</v>
      </c>
      <c r="G38" s="881">
        <f t="shared" si="3"/>
        <v>1186257.5872005038</v>
      </c>
    </row>
    <row r="39" spans="2:7" x14ac:dyDescent="0.3">
      <c r="B39" s="583">
        <v>30</v>
      </c>
      <c r="C39" s="881">
        <f t="shared" si="0"/>
        <v>8179.9002911065363</v>
      </c>
      <c r="D39" s="881">
        <f t="shared" si="1"/>
        <v>6168.0005825142352</v>
      </c>
      <c r="E39" s="881">
        <f t="shared" si="2"/>
        <v>2011.8997085923011</v>
      </c>
      <c r="G39" s="881">
        <f t="shared" si="3"/>
        <v>1184256.1118427331</v>
      </c>
    </row>
    <row r="40" spans="2:7" x14ac:dyDescent="0.3">
      <c r="B40" s="583">
        <v>31</v>
      </c>
      <c r="C40" s="881">
        <f t="shared" si="0"/>
        <v>8179.9002911065363</v>
      </c>
      <c r="D40" s="881">
        <f t="shared" si="1"/>
        <v>6157.5219381986499</v>
      </c>
      <c r="E40" s="881">
        <f t="shared" si="2"/>
        <v>2022.3783529078864</v>
      </c>
      <c r="G40" s="881">
        <f t="shared" si="3"/>
        <v>1182244.2121341408</v>
      </c>
    </row>
    <row r="41" spans="2:7" x14ac:dyDescent="0.3">
      <c r="B41" s="583">
        <v>32</v>
      </c>
      <c r="C41" s="881">
        <f t="shared" si="0"/>
        <v>8179.9002911065363</v>
      </c>
      <c r="D41" s="881">
        <f t="shared" si="1"/>
        <v>6146.9887176105876</v>
      </c>
      <c r="E41" s="881">
        <f t="shared" si="2"/>
        <v>2032.9115734959487</v>
      </c>
      <c r="G41" s="881">
        <f t="shared" si="3"/>
        <v>1180221.8337812328</v>
      </c>
    </row>
    <row r="42" spans="2:7" x14ac:dyDescent="0.3">
      <c r="B42" s="583">
        <v>33</v>
      </c>
      <c r="C42" s="881">
        <f t="shared" si="0"/>
        <v>8179.9002911065363</v>
      </c>
      <c r="D42" s="881">
        <f t="shared" si="1"/>
        <v>6136.4006364986299</v>
      </c>
      <c r="E42" s="881">
        <f t="shared" si="2"/>
        <v>2043.4996546079065</v>
      </c>
      <c r="G42" s="881">
        <f t="shared" si="3"/>
        <v>1178188.9222077369</v>
      </c>
    </row>
    <row r="43" spans="2:7" x14ac:dyDescent="0.3">
      <c r="B43" s="583">
        <v>34</v>
      </c>
      <c r="C43" s="881">
        <f t="shared" si="0"/>
        <v>8179.9002911065363</v>
      </c>
      <c r="D43" s="881">
        <f t="shared" si="1"/>
        <v>6125.7574091308807</v>
      </c>
      <c r="E43" s="881">
        <f t="shared" si="2"/>
        <v>2054.1428819756557</v>
      </c>
      <c r="G43" s="881">
        <f t="shared" si="3"/>
        <v>1176145.422553129</v>
      </c>
    </row>
    <row r="44" spans="2:7" x14ac:dyDescent="0.3">
      <c r="B44" s="583">
        <v>35</v>
      </c>
      <c r="C44" s="881">
        <f t="shared" si="0"/>
        <v>8179.9002911065363</v>
      </c>
      <c r="D44" s="881">
        <f t="shared" si="1"/>
        <v>6115.058748287257</v>
      </c>
      <c r="E44" s="881">
        <f t="shared" si="2"/>
        <v>2064.8415428192793</v>
      </c>
      <c r="G44" s="881">
        <f t="shared" si="3"/>
        <v>1174091.2796711533</v>
      </c>
    </row>
    <row r="45" spans="2:7" x14ac:dyDescent="0.3">
      <c r="B45" s="583">
        <v>36</v>
      </c>
      <c r="C45" s="881">
        <f t="shared" si="0"/>
        <v>8179.9002911065363</v>
      </c>
      <c r="D45" s="881">
        <f t="shared" si="1"/>
        <v>6104.3043652517399</v>
      </c>
      <c r="E45" s="881">
        <f t="shared" si="2"/>
        <v>2075.5959258547964</v>
      </c>
      <c r="G45" s="881">
        <f t="shared" si="3"/>
        <v>1172026.438128334</v>
      </c>
    </row>
    <row r="46" spans="2:7" x14ac:dyDescent="0.3">
      <c r="B46" s="583">
        <v>37</v>
      </c>
      <c r="C46" s="881">
        <f t="shared" si="0"/>
        <v>8179.9002911065363</v>
      </c>
      <c r="D46" s="881">
        <f t="shared" si="1"/>
        <v>6093.4939698045791</v>
      </c>
      <c r="E46" s="881">
        <f t="shared" si="2"/>
        <v>2086.4063213019572</v>
      </c>
      <c r="G46" s="881">
        <f t="shared" si="3"/>
        <v>1169950.8422024793</v>
      </c>
    </row>
    <row r="47" spans="2:7" x14ac:dyDescent="0.3">
      <c r="B47" s="583">
        <v>38</v>
      </c>
      <c r="C47" s="881">
        <f t="shared" si="0"/>
        <v>8179.9002911065363</v>
      </c>
      <c r="D47" s="881">
        <f t="shared" si="1"/>
        <v>6082.6272702144643</v>
      </c>
      <c r="E47" s="881">
        <f t="shared" si="2"/>
        <v>2097.2730208920721</v>
      </c>
      <c r="G47" s="881">
        <f t="shared" si="3"/>
        <v>1167864.4358811772</v>
      </c>
    </row>
    <row r="48" spans="2:7" x14ac:dyDescent="0.3">
      <c r="B48" s="583">
        <v>39</v>
      </c>
      <c r="C48" s="881">
        <f t="shared" si="0"/>
        <v>8179.9002911065363</v>
      </c>
      <c r="D48" s="881">
        <f t="shared" si="1"/>
        <v>6071.7039732306512</v>
      </c>
      <c r="E48" s="881">
        <f t="shared" si="2"/>
        <v>2108.1963178758851</v>
      </c>
      <c r="G48" s="881">
        <f t="shared" si="3"/>
        <v>1165767.162860285</v>
      </c>
    </row>
    <row r="49" spans="2:7" x14ac:dyDescent="0.3">
      <c r="B49" s="583">
        <v>40</v>
      </c>
      <c r="C49" s="881">
        <f t="shared" si="0"/>
        <v>8179.9002911065363</v>
      </c>
      <c r="D49" s="881">
        <f t="shared" si="1"/>
        <v>6060.7237840750468</v>
      </c>
      <c r="E49" s="881">
        <f t="shared" si="2"/>
        <v>2119.1765070314896</v>
      </c>
      <c r="G49" s="881">
        <f t="shared" si="3"/>
        <v>1163658.966542409</v>
      </c>
    </row>
    <row r="50" spans="2:7" x14ac:dyDescent="0.3">
      <c r="B50" s="583">
        <v>41</v>
      </c>
      <c r="C50" s="881">
        <f t="shared" si="0"/>
        <v>8179.9002911065363</v>
      </c>
      <c r="D50" s="881">
        <f t="shared" si="1"/>
        <v>6049.6864064342581</v>
      </c>
      <c r="E50" s="881">
        <f t="shared" si="2"/>
        <v>2130.2138846722783</v>
      </c>
      <c r="G50" s="881">
        <f t="shared" si="3"/>
        <v>1161539.7900353775</v>
      </c>
    </row>
    <row r="51" spans="2:7" x14ac:dyDescent="0.3">
      <c r="B51" s="583">
        <v>42</v>
      </c>
      <c r="C51" s="881">
        <f t="shared" si="0"/>
        <v>8179.9002911065363</v>
      </c>
      <c r="D51" s="881">
        <f t="shared" si="1"/>
        <v>6038.5915424515888</v>
      </c>
      <c r="E51" s="881">
        <f t="shared" si="2"/>
        <v>2141.3087486549475</v>
      </c>
      <c r="G51" s="881">
        <f t="shared" si="3"/>
        <v>1159409.5761507051</v>
      </c>
    </row>
    <row r="52" spans="2:7" x14ac:dyDescent="0.3">
      <c r="B52" s="583">
        <v>43</v>
      </c>
      <c r="C52" s="881">
        <f t="shared" si="0"/>
        <v>8179.9002911065363</v>
      </c>
      <c r="D52" s="881">
        <f t="shared" si="1"/>
        <v>6027.4388927190112</v>
      </c>
      <c r="E52" s="881">
        <f t="shared" si="2"/>
        <v>2152.4613983875252</v>
      </c>
      <c r="G52" s="881">
        <f t="shared" si="3"/>
        <v>1157268.2674020501</v>
      </c>
    </row>
    <row r="53" spans="2:7" x14ac:dyDescent="0.3">
      <c r="B53" s="583">
        <v>44</v>
      </c>
      <c r="C53" s="881">
        <f t="shared" si="0"/>
        <v>8179.9002911065363</v>
      </c>
      <c r="D53" s="881">
        <f t="shared" si="1"/>
        <v>6016.228156269076</v>
      </c>
      <c r="E53" s="881">
        <f t="shared" si="2"/>
        <v>2163.6721348374604</v>
      </c>
      <c r="G53" s="881">
        <f t="shared" si="3"/>
        <v>1155115.8060036625</v>
      </c>
    </row>
    <row r="54" spans="2:7" x14ac:dyDescent="0.3">
      <c r="B54" s="583">
        <v>45</v>
      </c>
      <c r="C54" s="881">
        <f t="shared" si="0"/>
        <v>8179.9002911065363</v>
      </c>
      <c r="D54" s="881">
        <f t="shared" si="1"/>
        <v>6004.959030566798</v>
      </c>
      <c r="E54" s="881">
        <f t="shared" si="2"/>
        <v>2174.9412605397383</v>
      </c>
      <c r="G54" s="881">
        <f t="shared" si="3"/>
        <v>1152952.1338688252</v>
      </c>
    </row>
    <row r="55" spans="2:7" x14ac:dyDescent="0.3">
      <c r="B55" s="583">
        <v>46</v>
      </c>
      <c r="C55" s="881">
        <f t="shared" si="0"/>
        <v>8179.9002911065363</v>
      </c>
      <c r="D55" s="881">
        <f t="shared" si="1"/>
        <v>5993.6312115014871</v>
      </c>
      <c r="E55" s="881">
        <f t="shared" si="2"/>
        <v>2186.2690796050492</v>
      </c>
      <c r="G55" s="881">
        <f t="shared" si="3"/>
        <v>1150777.1926082855</v>
      </c>
    </row>
    <row r="56" spans="2:7" x14ac:dyDescent="0.3">
      <c r="B56" s="583">
        <v>47</v>
      </c>
      <c r="C56" s="881">
        <f t="shared" si="0"/>
        <v>8179.9002911065363</v>
      </c>
      <c r="D56" s="881">
        <f t="shared" si="1"/>
        <v>5982.2443933785435</v>
      </c>
      <c r="E56" s="881">
        <f t="shared" si="2"/>
        <v>2197.6558977279929</v>
      </c>
      <c r="G56" s="881">
        <f t="shared" si="3"/>
        <v>1148590.9235286803</v>
      </c>
    </row>
    <row r="57" spans="2:7" x14ac:dyDescent="0.3">
      <c r="B57" s="583">
        <v>48</v>
      </c>
      <c r="C57" s="881">
        <f t="shared" si="0"/>
        <v>8179.9002911065363</v>
      </c>
      <c r="D57" s="881">
        <f t="shared" si="1"/>
        <v>5970.7982689112105</v>
      </c>
      <c r="E57" s="881">
        <f t="shared" si="2"/>
        <v>2209.1020221953258</v>
      </c>
      <c r="G57" s="881">
        <f t="shared" si="3"/>
        <v>1146393.2676309524</v>
      </c>
    </row>
    <row r="58" spans="2:7" x14ac:dyDescent="0.3">
      <c r="B58" s="583">
        <v>49</v>
      </c>
      <c r="C58" s="881">
        <f t="shared" si="0"/>
        <v>8179.9002911065363</v>
      </c>
      <c r="D58" s="881">
        <f t="shared" si="1"/>
        <v>5959.2925292122773</v>
      </c>
      <c r="E58" s="881">
        <f t="shared" si="2"/>
        <v>2220.6077618942591</v>
      </c>
      <c r="G58" s="881">
        <f t="shared" si="3"/>
        <v>1144184.1656087572</v>
      </c>
    </row>
    <row r="59" spans="2:7" x14ac:dyDescent="0.3">
      <c r="B59" s="583">
        <v>50</v>
      </c>
      <c r="C59" s="881">
        <f t="shared" si="0"/>
        <v>8179.9002911065363</v>
      </c>
      <c r="D59" s="881">
        <f t="shared" si="1"/>
        <v>5947.7268637857442</v>
      </c>
      <c r="E59" s="881">
        <f t="shared" si="2"/>
        <v>2232.1734273207921</v>
      </c>
      <c r="G59" s="881">
        <f t="shared" si="3"/>
        <v>1141963.5578468628</v>
      </c>
    </row>
    <row r="60" spans="2:7" x14ac:dyDescent="0.3">
      <c r="B60" s="583">
        <v>51</v>
      </c>
      <c r="C60" s="881">
        <f t="shared" si="0"/>
        <v>8179.9002911065363</v>
      </c>
      <c r="D60" s="881">
        <f t="shared" si="1"/>
        <v>5936.1009605184481</v>
      </c>
      <c r="E60" s="881">
        <f t="shared" si="2"/>
        <v>2243.7993305880882</v>
      </c>
      <c r="G60" s="881">
        <f t="shared" si="3"/>
        <v>1139731.384419542</v>
      </c>
    </row>
    <row r="61" spans="2:7" x14ac:dyDescent="0.3">
      <c r="B61" s="583">
        <v>52</v>
      </c>
      <c r="C61" s="881">
        <f t="shared" si="0"/>
        <v>8179.9002911065363</v>
      </c>
      <c r="D61" s="881">
        <f t="shared" si="1"/>
        <v>5924.4145056716343</v>
      </c>
      <c r="E61" s="881">
        <f t="shared" si="2"/>
        <v>2255.485785434902</v>
      </c>
      <c r="G61" s="881">
        <f t="shared" si="3"/>
        <v>1137487.5850889538</v>
      </c>
    </row>
    <row r="62" spans="2:7" x14ac:dyDescent="0.3">
      <c r="B62" s="583">
        <v>53</v>
      </c>
      <c r="C62" s="881">
        <f t="shared" si="0"/>
        <v>8179.9002911065363</v>
      </c>
      <c r="D62" s="881">
        <f t="shared" si="1"/>
        <v>5912.6671838724942</v>
      </c>
      <c r="E62" s="881">
        <f t="shared" si="2"/>
        <v>2267.2331072340421</v>
      </c>
      <c r="G62" s="881">
        <f t="shared" si="3"/>
        <v>1135232.0993035189</v>
      </c>
    </row>
    <row r="63" spans="2:7" x14ac:dyDescent="0.3">
      <c r="B63" s="583">
        <v>54</v>
      </c>
      <c r="C63" s="881">
        <f t="shared" si="0"/>
        <v>8179.9002911065363</v>
      </c>
      <c r="D63" s="881">
        <f t="shared" si="1"/>
        <v>5900.8586781056501</v>
      </c>
      <c r="E63" s="881">
        <f t="shared" si="2"/>
        <v>2279.0416130008862</v>
      </c>
      <c r="G63" s="881">
        <f t="shared" si="3"/>
        <v>1132964.8661962848</v>
      </c>
    </row>
    <row r="64" spans="2:7" x14ac:dyDescent="0.3">
      <c r="B64" s="583">
        <v>55</v>
      </c>
      <c r="C64" s="881">
        <f t="shared" si="0"/>
        <v>8179.9002911065363</v>
      </c>
      <c r="D64" s="881">
        <f t="shared" si="1"/>
        <v>5888.9886697046031</v>
      </c>
      <c r="E64" s="881">
        <f t="shared" si="2"/>
        <v>2290.9116214019332</v>
      </c>
      <c r="G64" s="881">
        <f t="shared" si="3"/>
        <v>1130685.8245832839</v>
      </c>
    </row>
    <row r="65" spans="2:7" x14ac:dyDescent="0.3">
      <c r="B65" s="583">
        <v>56</v>
      </c>
      <c r="C65" s="881">
        <f t="shared" si="0"/>
        <v>8179.9002911065363</v>
      </c>
      <c r="D65" s="881">
        <f t="shared" si="1"/>
        <v>5877.0568383431346</v>
      </c>
      <c r="E65" s="881">
        <f t="shared" si="2"/>
        <v>2302.8434527634017</v>
      </c>
      <c r="G65" s="881">
        <f t="shared" si="3"/>
        <v>1128394.9129618818</v>
      </c>
    </row>
    <row r="66" spans="2:7" x14ac:dyDescent="0.3">
      <c r="B66" s="583">
        <v>57</v>
      </c>
      <c r="C66" s="881">
        <f t="shared" si="0"/>
        <v>8179.9002911065363</v>
      </c>
      <c r="D66" s="881">
        <f t="shared" si="1"/>
        <v>5865.062862026658</v>
      </c>
      <c r="E66" s="881">
        <f t="shared" si="2"/>
        <v>2314.8374290798783</v>
      </c>
      <c r="G66" s="881">
        <f t="shared" si="3"/>
        <v>1126092.0695091183</v>
      </c>
    </row>
    <row r="67" spans="2:7" x14ac:dyDescent="0.3">
      <c r="B67" s="583">
        <v>58</v>
      </c>
      <c r="C67" s="881">
        <f t="shared" si="0"/>
        <v>8179.9002911065363</v>
      </c>
      <c r="D67" s="881">
        <f t="shared" si="1"/>
        <v>5853.0064170835331</v>
      </c>
      <c r="E67" s="881">
        <f t="shared" si="2"/>
        <v>2326.8938740230033</v>
      </c>
      <c r="G67" s="881">
        <f t="shared" si="3"/>
        <v>1123777.2320800384</v>
      </c>
    </row>
    <row r="68" spans="2:7" x14ac:dyDescent="0.3">
      <c r="B68" s="583">
        <v>59</v>
      </c>
      <c r="C68" s="881">
        <f t="shared" si="0"/>
        <v>8179.9002911065363</v>
      </c>
      <c r="D68" s="881">
        <f t="shared" si="1"/>
        <v>5840.8871781563294</v>
      </c>
      <c r="E68" s="881">
        <f t="shared" si="2"/>
        <v>2339.013112950207</v>
      </c>
      <c r="G68" s="881">
        <f t="shared" si="3"/>
        <v>1121450.3382060153</v>
      </c>
    </row>
    <row r="69" spans="2:7" x14ac:dyDescent="0.3">
      <c r="B69" s="583">
        <v>60</v>
      </c>
      <c r="C69" s="881">
        <f t="shared" si="0"/>
        <v>8179.9002911065363</v>
      </c>
      <c r="D69" s="881">
        <f t="shared" si="1"/>
        <v>5828.7048181930477</v>
      </c>
      <c r="E69" s="881">
        <f t="shared" si="2"/>
        <v>2351.1954729134886</v>
      </c>
      <c r="G69" s="881">
        <f t="shared" si="3"/>
        <v>1119111.3250930652</v>
      </c>
    </row>
    <row r="70" spans="2:7" x14ac:dyDescent="0.3">
      <c r="B70" s="583">
        <v>61</v>
      </c>
      <c r="C70" s="881">
        <f t="shared" si="0"/>
        <v>8179.9002911065363</v>
      </c>
      <c r="D70" s="881">
        <f t="shared" si="1"/>
        <v>5816.4590084382899</v>
      </c>
      <c r="E70" s="881">
        <f t="shared" si="2"/>
        <v>2363.4412826682465</v>
      </c>
      <c r="G70" s="881">
        <f t="shared" si="3"/>
        <v>1116760.1296201516</v>
      </c>
    </row>
    <row r="71" spans="2:7" x14ac:dyDescent="0.3">
      <c r="B71" s="583">
        <v>62</v>
      </c>
      <c r="C71" s="881">
        <f t="shared" si="0"/>
        <v>8179.9002911065363</v>
      </c>
      <c r="D71" s="881">
        <f t="shared" si="1"/>
        <v>5804.1494184243929</v>
      </c>
      <c r="E71" s="881">
        <f t="shared" si="2"/>
        <v>2375.7508726821434</v>
      </c>
      <c r="G71" s="881">
        <f t="shared" si="3"/>
        <v>1114396.6883374834</v>
      </c>
    </row>
    <row r="72" spans="2:7" x14ac:dyDescent="0.3">
      <c r="B72" s="583">
        <v>63</v>
      </c>
      <c r="C72" s="881">
        <f t="shared" si="0"/>
        <v>8179.9002911065363</v>
      </c>
      <c r="D72" s="881">
        <f t="shared" si="1"/>
        <v>5791.7757159625071</v>
      </c>
      <c r="E72" s="881">
        <f t="shared" si="2"/>
        <v>2388.1245751440292</v>
      </c>
      <c r="G72" s="881">
        <f t="shared" si="3"/>
        <v>1112020.9374648014</v>
      </c>
    </row>
    <row r="73" spans="2:7" x14ac:dyDescent="0.3">
      <c r="B73" s="583">
        <v>64</v>
      </c>
      <c r="C73" s="881">
        <f t="shared" si="0"/>
        <v>8179.9002911065363</v>
      </c>
      <c r="D73" s="881">
        <f t="shared" si="1"/>
        <v>5779.3375671336325</v>
      </c>
      <c r="E73" s="881">
        <f t="shared" si="2"/>
        <v>2400.5627239729038</v>
      </c>
      <c r="G73" s="881">
        <f t="shared" si="3"/>
        <v>1109632.8128896574</v>
      </c>
    </row>
    <row r="74" spans="2:7" x14ac:dyDescent="0.3">
      <c r="B74" s="583">
        <v>65</v>
      </c>
      <c r="C74" s="881">
        <f t="shared" ref="C74:C137" si="4">IF($C$3&lt;G74+(G74*($C$4/$C$6)),$C$3,G74+(G74*($C$4/$C$6)))</f>
        <v>8179.9002911065363</v>
      </c>
      <c r="D74" s="881">
        <f t="shared" ref="D74:D137" si="5">G74*$C$4/$C$6</f>
        <v>5766.8346362796074</v>
      </c>
      <c r="E74" s="881">
        <f t="shared" ref="E74:E137" si="6">C74-D74</f>
        <v>2413.0656548269289</v>
      </c>
      <c r="G74" s="881">
        <f t="shared" si="3"/>
        <v>1107232.2501656846</v>
      </c>
    </row>
    <row r="75" spans="2:7" x14ac:dyDescent="0.3">
      <c r="B75" s="583">
        <v>66</v>
      </c>
      <c r="C75" s="881">
        <f t="shared" si="4"/>
        <v>8179.9002911065363</v>
      </c>
      <c r="D75" s="881">
        <f t="shared" si="5"/>
        <v>5754.2665859940507</v>
      </c>
      <c r="E75" s="881">
        <f t="shared" si="6"/>
        <v>2425.6337051124856</v>
      </c>
      <c r="G75" s="881">
        <f t="shared" ref="G75:G138" si="7">G74-E74-F74</f>
        <v>1104819.1845108578</v>
      </c>
    </row>
    <row r="76" spans="2:7" x14ac:dyDescent="0.3">
      <c r="B76" s="583">
        <v>67</v>
      </c>
      <c r="C76" s="881">
        <f t="shared" si="4"/>
        <v>8179.9002911065363</v>
      </c>
      <c r="D76" s="881">
        <f t="shared" si="5"/>
        <v>5741.6330771132571</v>
      </c>
      <c r="E76" s="881">
        <f t="shared" si="6"/>
        <v>2438.2672139932793</v>
      </c>
      <c r="G76" s="881">
        <f t="shared" si="7"/>
        <v>1102393.5508057454</v>
      </c>
    </row>
    <row r="77" spans="2:7" x14ac:dyDescent="0.3">
      <c r="B77" s="583">
        <v>68</v>
      </c>
      <c r="C77" s="881">
        <f t="shared" si="4"/>
        <v>8179.9002911065363</v>
      </c>
      <c r="D77" s="881">
        <f t="shared" si="5"/>
        <v>5728.9337687070429</v>
      </c>
      <c r="E77" s="881">
        <f t="shared" si="6"/>
        <v>2450.9665223994934</v>
      </c>
      <c r="G77" s="881">
        <f t="shared" si="7"/>
        <v>1099955.2835917522</v>
      </c>
    </row>
    <row r="78" spans="2:7" x14ac:dyDescent="0.3">
      <c r="B78" s="583">
        <v>69</v>
      </c>
      <c r="C78" s="881">
        <f t="shared" si="4"/>
        <v>8179.9002911065363</v>
      </c>
      <c r="D78" s="881">
        <f t="shared" si="5"/>
        <v>5716.1683180695445</v>
      </c>
      <c r="E78" s="881">
        <f t="shared" si="6"/>
        <v>2463.7319730369918</v>
      </c>
      <c r="G78" s="881">
        <f t="shared" si="7"/>
        <v>1097504.3170693526</v>
      </c>
    </row>
    <row r="79" spans="2:7" x14ac:dyDescent="0.3">
      <c r="B79" s="583">
        <v>70</v>
      </c>
      <c r="C79" s="881">
        <f t="shared" si="4"/>
        <v>8179.9002911065363</v>
      </c>
      <c r="D79" s="881">
        <f t="shared" si="5"/>
        <v>5703.3363807099777</v>
      </c>
      <c r="E79" s="881">
        <f t="shared" si="6"/>
        <v>2476.5639103965586</v>
      </c>
      <c r="G79" s="881">
        <f t="shared" si="7"/>
        <v>1095040.5850963157</v>
      </c>
    </row>
    <row r="80" spans="2:7" x14ac:dyDescent="0.3">
      <c r="B80" s="583">
        <v>71</v>
      </c>
      <c r="C80" s="881">
        <f t="shared" si="4"/>
        <v>8179.9002911065363</v>
      </c>
      <c r="D80" s="881">
        <f t="shared" si="5"/>
        <v>5690.4376103433287</v>
      </c>
      <c r="E80" s="881">
        <f t="shared" si="6"/>
        <v>2489.4626807632076</v>
      </c>
      <c r="G80" s="881">
        <f t="shared" si="7"/>
        <v>1092564.0211859192</v>
      </c>
    </row>
    <row r="81" spans="2:7" x14ac:dyDescent="0.3">
      <c r="B81" s="583">
        <v>72</v>
      </c>
      <c r="C81" s="881">
        <f t="shared" si="4"/>
        <v>8179.9002911065363</v>
      </c>
      <c r="D81" s="881">
        <f t="shared" si="5"/>
        <v>5677.4716588810215</v>
      </c>
      <c r="E81" s="881">
        <f t="shared" si="6"/>
        <v>2502.4286322255148</v>
      </c>
      <c r="G81" s="881">
        <f t="shared" si="7"/>
        <v>1090074.5585051561</v>
      </c>
    </row>
    <row r="82" spans="2:7" x14ac:dyDescent="0.3">
      <c r="B82" s="583">
        <v>73</v>
      </c>
      <c r="C82" s="881">
        <f t="shared" si="4"/>
        <v>8179.9002911065363</v>
      </c>
      <c r="D82" s="881">
        <f t="shared" si="5"/>
        <v>5664.4381764215132</v>
      </c>
      <c r="E82" s="881">
        <f t="shared" si="6"/>
        <v>2515.4621146850232</v>
      </c>
      <c r="G82" s="881">
        <f t="shared" si="7"/>
        <v>1087572.1298729305</v>
      </c>
    </row>
    <row r="83" spans="2:7" x14ac:dyDescent="0.3">
      <c r="B83" s="583">
        <v>74</v>
      </c>
      <c r="C83" s="881">
        <f t="shared" si="4"/>
        <v>8179.9002911065363</v>
      </c>
      <c r="D83" s="881">
        <f t="shared" si="5"/>
        <v>5651.3368112408616</v>
      </c>
      <c r="E83" s="881">
        <f t="shared" si="6"/>
        <v>2528.5634798656747</v>
      </c>
      <c r="G83" s="881">
        <f t="shared" si="7"/>
        <v>1085056.6677582455</v>
      </c>
    </row>
    <row r="84" spans="2:7" x14ac:dyDescent="0.3">
      <c r="B84" s="583">
        <v>75</v>
      </c>
      <c r="C84" s="881">
        <f t="shared" si="4"/>
        <v>8179.9002911065363</v>
      </c>
      <c r="D84" s="881">
        <f t="shared" si="5"/>
        <v>5638.1672097832279</v>
      </c>
      <c r="E84" s="881">
        <f t="shared" si="6"/>
        <v>2541.7330813233084</v>
      </c>
      <c r="G84" s="881">
        <f t="shared" si="7"/>
        <v>1082528.1042783798</v>
      </c>
    </row>
    <row r="85" spans="2:7" x14ac:dyDescent="0.3">
      <c r="B85" s="583">
        <v>76</v>
      </c>
      <c r="C85" s="881">
        <f t="shared" si="4"/>
        <v>8179.9002911065363</v>
      </c>
      <c r="D85" s="881">
        <f t="shared" si="5"/>
        <v>5624.9290166513356</v>
      </c>
      <c r="E85" s="881">
        <f t="shared" si="6"/>
        <v>2554.9712744552007</v>
      </c>
      <c r="G85" s="881">
        <f t="shared" si="7"/>
        <v>1079986.3711970565</v>
      </c>
    </row>
    <row r="86" spans="2:7" x14ac:dyDescent="0.3">
      <c r="B86" s="583">
        <v>77</v>
      </c>
      <c r="C86" s="881">
        <f t="shared" si="4"/>
        <v>8179.9002911065363</v>
      </c>
      <c r="D86" s="881">
        <f t="shared" si="5"/>
        <v>5611.6218745968808</v>
      </c>
      <c r="E86" s="881">
        <f t="shared" si="6"/>
        <v>2568.2784165096555</v>
      </c>
      <c r="G86" s="881">
        <f t="shared" si="7"/>
        <v>1077431.3999226012</v>
      </c>
    </row>
    <row r="87" spans="2:7" x14ac:dyDescent="0.3">
      <c r="B87" s="583">
        <v>78</v>
      </c>
      <c r="C87" s="881">
        <f t="shared" si="4"/>
        <v>8179.9002911065363</v>
      </c>
      <c r="D87" s="881">
        <f t="shared" si="5"/>
        <v>5598.2454245108929</v>
      </c>
      <c r="E87" s="881">
        <f t="shared" si="6"/>
        <v>2581.6548665956434</v>
      </c>
      <c r="G87" s="881">
        <f t="shared" si="7"/>
        <v>1074863.1215060914</v>
      </c>
    </row>
    <row r="88" spans="2:7" x14ac:dyDescent="0.3">
      <c r="B88" s="583">
        <v>79</v>
      </c>
      <c r="C88" s="881">
        <f t="shared" si="4"/>
        <v>8179.9002911065363</v>
      </c>
      <c r="D88" s="881">
        <f t="shared" si="5"/>
        <v>5584.7993054140397</v>
      </c>
      <c r="E88" s="881">
        <f t="shared" si="6"/>
        <v>2595.1009856924966</v>
      </c>
      <c r="G88" s="881">
        <f t="shared" si="7"/>
        <v>1072281.4666394957</v>
      </c>
    </row>
    <row r="89" spans="2:7" x14ac:dyDescent="0.3">
      <c r="B89" s="583">
        <v>80</v>
      </c>
      <c r="C89" s="881">
        <f t="shared" si="4"/>
        <v>8179.9002911065363</v>
      </c>
      <c r="D89" s="881">
        <f t="shared" si="5"/>
        <v>5571.2831544468909</v>
      </c>
      <c r="E89" s="881">
        <f t="shared" si="6"/>
        <v>2608.6171366596454</v>
      </c>
      <c r="G89" s="881">
        <f t="shared" si="7"/>
        <v>1069686.3656538031</v>
      </c>
    </row>
    <row r="90" spans="2:7" x14ac:dyDescent="0.3">
      <c r="B90" s="583">
        <v>81</v>
      </c>
      <c r="C90" s="881">
        <f t="shared" si="4"/>
        <v>8179.9002911065363</v>
      </c>
      <c r="D90" s="881">
        <f t="shared" si="5"/>
        <v>5557.6966068601223</v>
      </c>
      <c r="E90" s="881">
        <f t="shared" si="6"/>
        <v>2622.203684246414</v>
      </c>
      <c r="G90" s="881">
        <f t="shared" si="7"/>
        <v>1067077.7485171435</v>
      </c>
    </row>
    <row r="91" spans="2:7" x14ac:dyDescent="0.3">
      <c r="B91" s="583">
        <v>82</v>
      </c>
      <c r="C91" s="881">
        <f t="shared" si="4"/>
        <v>8179.9002911065363</v>
      </c>
      <c r="D91" s="881">
        <f t="shared" si="5"/>
        <v>5544.0392960046729</v>
      </c>
      <c r="E91" s="881">
        <f t="shared" si="6"/>
        <v>2635.8609951018634</v>
      </c>
      <c r="G91" s="881">
        <f t="shared" si="7"/>
        <v>1064455.5448328971</v>
      </c>
    </row>
    <row r="92" spans="2:7" x14ac:dyDescent="0.3">
      <c r="B92" s="583">
        <v>83</v>
      </c>
      <c r="C92" s="881">
        <f t="shared" si="4"/>
        <v>8179.9002911065363</v>
      </c>
      <c r="D92" s="881">
        <f t="shared" si="5"/>
        <v>5530.3108533218501</v>
      </c>
      <c r="E92" s="881">
        <f t="shared" si="6"/>
        <v>2649.5894377846862</v>
      </c>
      <c r="G92" s="881">
        <f t="shared" si="7"/>
        <v>1061819.6838377952</v>
      </c>
    </row>
    <row r="93" spans="2:7" x14ac:dyDescent="0.3">
      <c r="B93" s="583">
        <v>84</v>
      </c>
      <c r="C93" s="881">
        <f t="shared" si="4"/>
        <v>8179.9002911065363</v>
      </c>
      <c r="D93" s="881">
        <f t="shared" si="5"/>
        <v>5516.5109083333882</v>
      </c>
      <c r="E93" s="881">
        <f t="shared" si="6"/>
        <v>2663.3893827731481</v>
      </c>
      <c r="G93" s="881">
        <f t="shared" si="7"/>
        <v>1059170.0944000105</v>
      </c>
    </row>
    <row r="94" spans="2:7" x14ac:dyDescent="0.3">
      <c r="B94" s="583">
        <v>85</v>
      </c>
      <c r="C94" s="881">
        <f t="shared" si="4"/>
        <v>8179.9002911065363</v>
      </c>
      <c r="D94" s="881">
        <f t="shared" si="5"/>
        <v>5502.6390886314448</v>
      </c>
      <c r="E94" s="881">
        <f t="shared" si="6"/>
        <v>2677.2612024750915</v>
      </c>
      <c r="G94" s="881">
        <f t="shared" si="7"/>
        <v>1056506.7050172375</v>
      </c>
    </row>
    <row r="95" spans="2:7" x14ac:dyDescent="0.3">
      <c r="B95" s="583">
        <v>86</v>
      </c>
      <c r="C95" s="881">
        <f t="shared" si="4"/>
        <v>8179.9002911065363</v>
      </c>
      <c r="D95" s="881">
        <f t="shared" si="5"/>
        <v>5488.6950198685545</v>
      </c>
      <c r="E95" s="881">
        <f t="shared" si="6"/>
        <v>2691.2052712379818</v>
      </c>
      <c r="G95" s="881">
        <f t="shared" si="7"/>
        <v>1053829.4438147624</v>
      </c>
    </row>
    <row r="96" spans="2:7" x14ac:dyDescent="0.3">
      <c r="B96" s="583">
        <v>87</v>
      </c>
      <c r="C96" s="881">
        <f t="shared" si="4"/>
        <v>8179.9002911065363</v>
      </c>
      <c r="D96" s="881">
        <f t="shared" si="5"/>
        <v>5474.6783257475226</v>
      </c>
      <c r="E96" s="881">
        <f t="shared" si="6"/>
        <v>2705.2219653590137</v>
      </c>
      <c r="G96" s="881">
        <f t="shared" si="7"/>
        <v>1051138.2385435244</v>
      </c>
    </row>
    <row r="97" spans="2:7" x14ac:dyDescent="0.3">
      <c r="B97" s="583">
        <v>88</v>
      </c>
      <c r="C97" s="881">
        <f t="shared" si="4"/>
        <v>8179.9002911065363</v>
      </c>
      <c r="D97" s="881">
        <f t="shared" si="5"/>
        <v>5460.5886280112782</v>
      </c>
      <c r="E97" s="881">
        <f t="shared" si="6"/>
        <v>2719.3116630952582</v>
      </c>
      <c r="G97" s="881">
        <f t="shared" si="7"/>
        <v>1048433.0165781653</v>
      </c>
    </row>
    <row r="98" spans="2:7" x14ac:dyDescent="0.3">
      <c r="B98" s="583">
        <v>89</v>
      </c>
      <c r="C98" s="881">
        <f t="shared" si="4"/>
        <v>8179.9002911065363</v>
      </c>
      <c r="D98" s="881">
        <f t="shared" si="5"/>
        <v>5446.425546432657</v>
      </c>
      <c r="E98" s="881">
        <f t="shared" si="6"/>
        <v>2733.4747446738793</v>
      </c>
      <c r="G98" s="881">
        <f t="shared" si="7"/>
        <v>1045713.7049150701</v>
      </c>
    </row>
    <row r="99" spans="2:7" x14ac:dyDescent="0.3">
      <c r="B99" s="583">
        <v>90</v>
      </c>
      <c r="C99" s="881">
        <f t="shared" si="4"/>
        <v>8179.9002911065363</v>
      </c>
      <c r="D99" s="881">
        <f t="shared" si="5"/>
        <v>5432.188698804147</v>
      </c>
      <c r="E99" s="881">
        <f t="shared" si="6"/>
        <v>2747.7115923023894</v>
      </c>
      <c r="G99" s="881">
        <f t="shared" si="7"/>
        <v>1042980.2301703962</v>
      </c>
    </row>
    <row r="100" spans="2:7" x14ac:dyDescent="0.3">
      <c r="B100" s="583">
        <v>91</v>
      </c>
      <c r="C100" s="881">
        <f t="shared" si="4"/>
        <v>8179.9002911065363</v>
      </c>
      <c r="D100" s="881">
        <f t="shared" si="5"/>
        <v>5417.8777009275718</v>
      </c>
      <c r="E100" s="881">
        <f t="shared" si="6"/>
        <v>2762.0225901789645</v>
      </c>
      <c r="G100" s="881">
        <f t="shared" si="7"/>
        <v>1040232.5185780937</v>
      </c>
    </row>
    <row r="101" spans="2:7" x14ac:dyDescent="0.3">
      <c r="B101" s="583">
        <v>92</v>
      </c>
      <c r="C101" s="881">
        <f t="shared" si="4"/>
        <v>8179.9002911065363</v>
      </c>
      <c r="D101" s="881">
        <f t="shared" si="5"/>
        <v>5403.4921666037226</v>
      </c>
      <c r="E101" s="881">
        <f t="shared" si="6"/>
        <v>2776.4081245028137</v>
      </c>
      <c r="G101" s="881">
        <f t="shared" si="7"/>
        <v>1037470.4959879147</v>
      </c>
    </row>
    <row r="102" spans="2:7" x14ac:dyDescent="0.3">
      <c r="B102" s="583">
        <v>93</v>
      </c>
      <c r="C102" s="881">
        <f t="shared" si="4"/>
        <v>8179.9002911065363</v>
      </c>
      <c r="D102" s="881">
        <f t="shared" si="5"/>
        <v>5389.0317076219371</v>
      </c>
      <c r="E102" s="881">
        <f t="shared" si="6"/>
        <v>2790.8685834845992</v>
      </c>
      <c r="G102" s="881">
        <f t="shared" si="7"/>
        <v>1034694.0878634119</v>
      </c>
    </row>
    <row r="103" spans="2:7" x14ac:dyDescent="0.3">
      <c r="B103" s="583">
        <v>94</v>
      </c>
      <c r="C103" s="881">
        <f t="shared" si="4"/>
        <v>8179.9002911065363</v>
      </c>
      <c r="D103" s="881">
        <f t="shared" si="5"/>
        <v>5374.4959337496211</v>
      </c>
      <c r="E103" s="881">
        <f t="shared" si="6"/>
        <v>2805.4043573569152</v>
      </c>
      <c r="G103" s="881">
        <f t="shared" si="7"/>
        <v>1031903.2192799273</v>
      </c>
    </row>
    <row r="104" spans="2:7" x14ac:dyDescent="0.3">
      <c r="B104" s="583">
        <v>95</v>
      </c>
      <c r="C104" s="881">
        <f t="shared" si="4"/>
        <v>8179.9002911065363</v>
      </c>
      <c r="D104" s="881">
        <f t="shared" si="5"/>
        <v>5359.8844527217207</v>
      </c>
      <c r="E104" s="881">
        <f t="shared" si="6"/>
        <v>2820.0158383848157</v>
      </c>
      <c r="G104" s="881">
        <f t="shared" si="7"/>
        <v>1029097.8149225704</v>
      </c>
    </row>
    <row r="105" spans="2:7" x14ac:dyDescent="0.3">
      <c r="B105" s="583">
        <v>96</v>
      </c>
      <c r="C105" s="881">
        <f t="shared" si="4"/>
        <v>8179.9002911065363</v>
      </c>
      <c r="D105" s="881">
        <f t="shared" si="5"/>
        <v>5345.1968702301328</v>
      </c>
      <c r="E105" s="881">
        <f t="shared" si="6"/>
        <v>2834.7034208764035</v>
      </c>
      <c r="G105" s="881">
        <f t="shared" si="7"/>
        <v>1026277.7990841855</v>
      </c>
    </row>
    <row r="106" spans="2:7" x14ac:dyDescent="0.3">
      <c r="B106" s="583">
        <v>97</v>
      </c>
      <c r="C106" s="881">
        <f t="shared" si="4"/>
        <v>8179.9002911065363</v>
      </c>
      <c r="D106" s="881">
        <f t="shared" si="5"/>
        <v>5330.4327899130685</v>
      </c>
      <c r="E106" s="881">
        <f t="shared" si="6"/>
        <v>2849.4675011934678</v>
      </c>
      <c r="G106" s="881">
        <f t="shared" si="7"/>
        <v>1023443.0956633091</v>
      </c>
    </row>
    <row r="107" spans="2:7" x14ac:dyDescent="0.3">
      <c r="B107" s="583">
        <v>98</v>
      </c>
      <c r="C107" s="881">
        <f t="shared" si="4"/>
        <v>8179.9002911065363</v>
      </c>
      <c r="D107" s="881">
        <f t="shared" si="5"/>
        <v>5315.591813344352</v>
      </c>
      <c r="E107" s="881">
        <f t="shared" si="6"/>
        <v>2864.3084777621843</v>
      </c>
      <c r="G107" s="881">
        <f t="shared" si="7"/>
        <v>1020593.6281621156</v>
      </c>
    </row>
    <row r="108" spans="2:7" x14ac:dyDescent="0.3">
      <c r="B108" s="583">
        <v>99</v>
      </c>
      <c r="C108" s="881">
        <f t="shared" si="4"/>
        <v>8179.9002911065363</v>
      </c>
      <c r="D108" s="881">
        <f t="shared" si="5"/>
        <v>5300.6735400226744</v>
      </c>
      <c r="E108" s="881">
        <f t="shared" si="6"/>
        <v>2879.2267510838619</v>
      </c>
      <c r="G108" s="881">
        <f t="shared" si="7"/>
        <v>1017729.3196843534</v>
      </c>
    </row>
    <row r="109" spans="2:7" x14ac:dyDescent="0.3">
      <c r="B109" s="583">
        <v>100</v>
      </c>
      <c r="C109" s="881">
        <f t="shared" si="4"/>
        <v>8179.9002911065363</v>
      </c>
      <c r="D109" s="881">
        <f t="shared" si="5"/>
        <v>5285.677567360779</v>
      </c>
      <c r="E109" s="881">
        <f t="shared" si="6"/>
        <v>2894.2227237457573</v>
      </c>
      <c r="G109" s="881">
        <f t="shared" si="7"/>
        <v>1014850.0929332696</v>
      </c>
    </row>
    <row r="110" spans="2:7" x14ac:dyDescent="0.3">
      <c r="B110" s="583">
        <v>101</v>
      </c>
      <c r="C110" s="881">
        <f t="shared" si="4"/>
        <v>8179.9002911065363</v>
      </c>
      <c r="D110" s="881">
        <f t="shared" si="5"/>
        <v>5270.6034906746036</v>
      </c>
      <c r="E110" s="881">
        <f t="shared" si="6"/>
        <v>2909.2968004319328</v>
      </c>
      <c r="G110" s="881">
        <f t="shared" si="7"/>
        <v>1011955.8702095238</v>
      </c>
    </row>
    <row r="111" spans="2:7" x14ac:dyDescent="0.3">
      <c r="B111" s="583">
        <v>102</v>
      </c>
      <c r="C111" s="881">
        <f t="shared" si="4"/>
        <v>8179.9002911065363</v>
      </c>
      <c r="D111" s="881">
        <f t="shared" si="5"/>
        <v>5255.4509031723537</v>
      </c>
      <c r="E111" s="881">
        <f t="shared" si="6"/>
        <v>2924.4493879341826</v>
      </c>
      <c r="G111" s="881">
        <f t="shared" si="7"/>
        <v>1009046.5734090919</v>
      </c>
    </row>
    <row r="112" spans="2:7" x14ac:dyDescent="0.3">
      <c r="B112" s="583">
        <v>103</v>
      </c>
      <c r="C112" s="881">
        <f t="shared" si="4"/>
        <v>8179.9002911065363</v>
      </c>
      <c r="D112" s="881">
        <f t="shared" si="5"/>
        <v>5240.2193959435299</v>
      </c>
      <c r="E112" s="881">
        <f t="shared" si="6"/>
        <v>2939.6808951630064</v>
      </c>
      <c r="G112" s="881">
        <f t="shared" si="7"/>
        <v>1006122.1240211577</v>
      </c>
    </row>
    <row r="113" spans="2:7" x14ac:dyDescent="0.3">
      <c r="B113" s="583">
        <v>104</v>
      </c>
      <c r="C113" s="881">
        <f t="shared" si="4"/>
        <v>8179.9002911065363</v>
      </c>
      <c r="D113" s="881">
        <f t="shared" si="5"/>
        <v>5224.9085579478897</v>
      </c>
      <c r="E113" s="881">
        <f t="shared" si="6"/>
        <v>2954.9917331586466</v>
      </c>
      <c r="G113" s="881">
        <f t="shared" si="7"/>
        <v>1003182.4431259948</v>
      </c>
    </row>
    <row r="114" spans="2:7" x14ac:dyDescent="0.3">
      <c r="B114" s="583">
        <v>105</v>
      </c>
      <c r="C114" s="881">
        <f t="shared" si="4"/>
        <v>8179.9002911065363</v>
      </c>
      <c r="D114" s="881">
        <f t="shared" si="5"/>
        <v>5209.5179760043548</v>
      </c>
      <c r="E114" s="881">
        <f t="shared" si="6"/>
        <v>2970.3823151021816</v>
      </c>
      <c r="G114" s="881">
        <f t="shared" si="7"/>
        <v>1000227.4513928362</v>
      </c>
    </row>
    <row r="115" spans="2:7" x14ac:dyDescent="0.3">
      <c r="B115" s="583">
        <v>106</v>
      </c>
      <c r="C115" s="881">
        <f t="shared" si="4"/>
        <v>8179.9002911065363</v>
      </c>
      <c r="D115" s="881">
        <f t="shared" si="5"/>
        <v>5194.047234779865</v>
      </c>
      <c r="E115" s="881">
        <f t="shared" si="6"/>
        <v>2985.8530563266713</v>
      </c>
      <c r="G115" s="881">
        <f t="shared" si="7"/>
        <v>997257.06907773402</v>
      </c>
    </row>
    <row r="116" spans="2:7" x14ac:dyDescent="0.3">
      <c r="B116" s="583">
        <v>107</v>
      </c>
      <c r="C116" s="881">
        <f t="shared" si="4"/>
        <v>8179.9002911065363</v>
      </c>
      <c r="D116" s="881">
        <f t="shared" si="5"/>
        <v>5178.4959167781635</v>
      </c>
      <c r="E116" s="881">
        <f t="shared" si="6"/>
        <v>3001.4043743283728</v>
      </c>
      <c r="G116" s="881">
        <f t="shared" si="7"/>
        <v>994271.2160214074</v>
      </c>
    </row>
    <row r="117" spans="2:7" x14ac:dyDescent="0.3">
      <c r="B117" s="583">
        <v>108</v>
      </c>
      <c r="C117" s="881">
        <f t="shared" si="4"/>
        <v>8179.9002911065363</v>
      </c>
      <c r="D117" s="881">
        <f t="shared" si="5"/>
        <v>5162.8636023285371</v>
      </c>
      <c r="E117" s="881">
        <f t="shared" si="6"/>
        <v>3017.0366887779992</v>
      </c>
      <c r="G117" s="881">
        <f t="shared" si="7"/>
        <v>991269.81164707907</v>
      </c>
    </row>
    <row r="118" spans="2:7" x14ac:dyDescent="0.3">
      <c r="B118" s="583">
        <v>109</v>
      </c>
      <c r="C118" s="881">
        <f t="shared" si="4"/>
        <v>8179.9002911065363</v>
      </c>
      <c r="D118" s="881">
        <f t="shared" si="5"/>
        <v>5147.1498695744849</v>
      </c>
      <c r="E118" s="881">
        <f t="shared" si="6"/>
        <v>3032.7504215320514</v>
      </c>
      <c r="G118" s="881">
        <f t="shared" si="7"/>
        <v>988252.7749583011</v>
      </c>
    </row>
    <row r="119" spans="2:7" x14ac:dyDescent="0.3">
      <c r="B119" s="583">
        <v>110</v>
      </c>
      <c r="C119" s="881">
        <f t="shared" si="4"/>
        <v>8179.9002911065363</v>
      </c>
      <c r="D119" s="881">
        <f t="shared" si="5"/>
        <v>5131.3542944623387</v>
      </c>
      <c r="E119" s="881">
        <f t="shared" si="6"/>
        <v>3048.5459966441977</v>
      </c>
      <c r="G119" s="881">
        <f t="shared" si="7"/>
        <v>985220.02453676902</v>
      </c>
    </row>
    <row r="120" spans="2:7" x14ac:dyDescent="0.3">
      <c r="B120" s="583">
        <v>111</v>
      </c>
      <c r="C120" s="881">
        <f t="shared" si="4"/>
        <v>8179.9002911065363</v>
      </c>
      <c r="D120" s="881">
        <f t="shared" si="5"/>
        <v>5115.4764507298169</v>
      </c>
      <c r="E120" s="881">
        <f t="shared" si="6"/>
        <v>3064.4238403767195</v>
      </c>
      <c r="G120" s="881">
        <f t="shared" si="7"/>
        <v>982171.47854012484</v>
      </c>
    </row>
    <row r="121" spans="2:7" x14ac:dyDescent="0.3">
      <c r="B121" s="583">
        <v>112</v>
      </c>
      <c r="C121" s="881">
        <f t="shared" si="4"/>
        <v>8179.9002911065363</v>
      </c>
      <c r="D121" s="881">
        <f t="shared" si="5"/>
        <v>5099.5159098945214</v>
      </c>
      <c r="E121" s="881">
        <f t="shared" si="6"/>
        <v>3080.3843812120149</v>
      </c>
      <c r="G121" s="881">
        <f t="shared" si="7"/>
        <v>979107.05469974817</v>
      </c>
    </row>
    <row r="122" spans="2:7" x14ac:dyDescent="0.3">
      <c r="B122" s="583">
        <v>113</v>
      </c>
      <c r="C122" s="881">
        <f t="shared" si="4"/>
        <v>8179.9002911065363</v>
      </c>
      <c r="D122" s="881">
        <f t="shared" si="5"/>
        <v>5083.4722412423753</v>
      </c>
      <c r="E122" s="881">
        <f t="shared" si="6"/>
        <v>3096.428049864161</v>
      </c>
      <c r="G122" s="881">
        <f t="shared" si="7"/>
        <v>976026.67031853611</v>
      </c>
    </row>
    <row r="123" spans="2:7" x14ac:dyDescent="0.3">
      <c r="B123" s="583">
        <v>114</v>
      </c>
      <c r="C123" s="881">
        <f t="shared" si="4"/>
        <v>8179.9002911065363</v>
      </c>
      <c r="D123" s="881">
        <f t="shared" si="5"/>
        <v>5067.3450118159999</v>
      </c>
      <c r="E123" s="881">
        <f t="shared" si="6"/>
        <v>3112.5552792905364</v>
      </c>
      <c r="G123" s="881">
        <f t="shared" si="7"/>
        <v>972930.24226867198</v>
      </c>
    </row>
    <row r="124" spans="2:7" x14ac:dyDescent="0.3">
      <c r="B124" s="583">
        <v>115</v>
      </c>
      <c r="C124" s="881">
        <f t="shared" si="4"/>
        <v>8179.9002911065363</v>
      </c>
      <c r="D124" s="881">
        <f t="shared" si="5"/>
        <v>5051.1337864030284</v>
      </c>
      <c r="E124" s="881">
        <f t="shared" si="6"/>
        <v>3128.766504703508</v>
      </c>
      <c r="G124" s="881">
        <f t="shared" si="7"/>
        <v>969817.68698938144</v>
      </c>
    </row>
    <row r="125" spans="2:7" x14ac:dyDescent="0.3">
      <c r="B125" s="583">
        <v>116</v>
      </c>
      <c r="C125" s="881">
        <f t="shared" si="4"/>
        <v>8179.9002911065363</v>
      </c>
      <c r="D125" s="881">
        <f t="shared" si="5"/>
        <v>5034.8381275243637</v>
      </c>
      <c r="E125" s="881">
        <f t="shared" si="6"/>
        <v>3145.0621635821726</v>
      </c>
      <c r="G125" s="881">
        <f t="shared" si="7"/>
        <v>966688.92048467789</v>
      </c>
    </row>
    <row r="126" spans="2:7" x14ac:dyDescent="0.3">
      <c r="B126" s="583">
        <v>117</v>
      </c>
      <c r="C126" s="881">
        <f t="shared" si="4"/>
        <v>8179.9002911065363</v>
      </c>
      <c r="D126" s="881">
        <f t="shared" si="5"/>
        <v>5018.4575954223737</v>
      </c>
      <c r="E126" s="881">
        <f t="shared" si="6"/>
        <v>3161.4426956841626</v>
      </c>
      <c r="G126" s="881">
        <f t="shared" si="7"/>
        <v>963543.8583210957</v>
      </c>
    </row>
    <row r="127" spans="2:7" x14ac:dyDescent="0.3">
      <c r="B127" s="583">
        <v>118</v>
      </c>
      <c r="C127" s="881">
        <f t="shared" si="4"/>
        <v>8179.9002911065363</v>
      </c>
      <c r="D127" s="881">
        <f t="shared" si="5"/>
        <v>5001.9917480490185</v>
      </c>
      <c r="E127" s="881">
        <f t="shared" si="6"/>
        <v>3177.9085430575178</v>
      </c>
      <c r="G127" s="881">
        <f t="shared" si="7"/>
        <v>960382.41562541155</v>
      </c>
    </row>
    <row r="128" spans="2:7" x14ac:dyDescent="0.3">
      <c r="B128" s="583">
        <v>119</v>
      </c>
      <c r="C128" s="881">
        <f t="shared" si="4"/>
        <v>8179.9002911065363</v>
      </c>
      <c r="D128" s="881">
        <f t="shared" si="5"/>
        <v>4985.4401410539276</v>
      </c>
      <c r="E128" s="881">
        <f t="shared" si="6"/>
        <v>3194.4601500526087</v>
      </c>
      <c r="G128" s="881">
        <f t="shared" si="7"/>
        <v>957204.50708235404</v>
      </c>
    </row>
    <row r="129" spans="2:7" x14ac:dyDescent="0.3">
      <c r="B129" s="583">
        <v>120</v>
      </c>
      <c r="C129" s="881">
        <f t="shared" si="4"/>
        <v>8179.9002911065363</v>
      </c>
      <c r="D129" s="881">
        <f t="shared" si="5"/>
        <v>4968.8023277724033</v>
      </c>
      <c r="E129" s="881">
        <f t="shared" si="6"/>
        <v>3211.0979633341331</v>
      </c>
      <c r="G129" s="881">
        <f t="shared" si="7"/>
        <v>954010.04693230148</v>
      </c>
    </row>
    <row r="130" spans="2:7" x14ac:dyDescent="0.3">
      <c r="B130" s="583">
        <v>121</v>
      </c>
      <c r="C130" s="881">
        <f t="shared" si="4"/>
        <v>8179.9002911065363</v>
      </c>
      <c r="D130" s="881">
        <f t="shared" si="5"/>
        <v>4952.0778592133711</v>
      </c>
      <c r="E130" s="881">
        <f t="shared" si="6"/>
        <v>3227.8224318931652</v>
      </c>
      <c r="G130" s="881">
        <f t="shared" si="7"/>
        <v>950798.94896896731</v>
      </c>
    </row>
    <row r="131" spans="2:7" x14ac:dyDescent="0.3">
      <c r="B131" s="583">
        <v>122</v>
      </c>
      <c r="C131" s="881">
        <f t="shared" si="4"/>
        <v>8179.9002911065363</v>
      </c>
      <c r="D131" s="881">
        <f t="shared" si="5"/>
        <v>4935.2662840472613</v>
      </c>
      <c r="E131" s="881">
        <f t="shared" si="6"/>
        <v>3244.6340070592751</v>
      </c>
      <c r="G131" s="881">
        <f t="shared" si="7"/>
        <v>947571.1265370741</v>
      </c>
    </row>
    <row r="132" spans="2:7" x14ac:dyDescent="0.3">
      <c r="B132" s="583">
        <v>123</v>
      </c>
      <c r="C132" s="881">
        <f t="shared" si="4"/>
        <v>8179.9002911065363</v>
      </c>
      <c r="D132" s="881">
        <f t="shared" si="5"/>
        <v>4918.3671485938276</v>
      </c>
      <c r="E132" s="881">
        <f t="shared" si="6"/>
        <v>3261.5331425127088</v>
      </c>
      <c r="G132" s="881">
        <f t="shared" si="7"/>
        <v>944326.49253001483</v>
      </c>
    </row>
    <row r="133" spans="2:7" x14ac:dyDescent="0.3">
      <c r="B133" s="583">
        <v>124</v>
      </c>
      <c r="C133" s="881">
        <f t="shared" si="4"/>
        <v>8179.9002911065363</v>
      </c>
      <c r="D133" s="881">
        <f t="shared" si="5"/>
        <v>4901.3799968099074</v>
      </c>
      <c r="E133" s="881">
        <f t="shared" si="6"/>
        <v>3278.5202942966289</v>
      </c>
      <c r="G133" s="881">
        <f t="shared" si="7"/>
        <v>941064.95938750217</v>
      </c>
    </row>
    <row r="134" spans="2:7" x14ac:dyDescent="0.3">
      <c r="B134" s="583">
        <v>125</v>
      </c>
      <c r="C134" s="881">
        <f t="shared" si="4"/>
        <v>8179.9002911065363</v>
      </c>
      <c r="D134" s="881">
        <f t="shared" si="5"/>
        <v>4884.304370277112</v>
      </c>
      <c r="E134" s="881">
        <f t="shared" si="6"/>
        <v>3295.5959208294244</v>
      </c>
      <c r="G134" s="881">
        <f t="shared" si="7"/>
        <v>937786.4390932055</v>
      </c>
    </row>
    <row r="135" spans="2:7" x14ac:dyDescent="0.3">
      <c r="B135" s="583">
        <v>126</v>
      </c>
      <c r="C135" s="881">
        <f t="shared" si="4"/>
        <v>8179.9002911065363</v>
      </c>
      <c r="D135" s="881">
        <f t="shared" si="5"/>
        <v>4867.1398081894586</v>
      </c>
      <c r="E135" s="881">
        <f t="shared" si="6"/>
        <v>3312.7604829170778</v>
      </c>
      <c r="G135" s="881">
        <f t="shared" si="7"/>
        <v>934490.84317237604</v>
      </c>
    </row>
    <row r="136" spans="2:7" x14ac:dyDescent="0.3">
      <c r="B136" s="583">
        <v>127</v>
      </c>
      <c r="C136" s="881">
        <f t="shared" si="4"/>
        <v>8179.9002911065363</v>
      </c>
      <c r="D136" s="881">
        <f t="shared" si="5"/>
        <v>4849.8858473409318</v>
      </c>
      <c r="E136" s="881">
        <f t="shared" si="6"/>
        <v>3330.0144437656045</v>
      </c>
      <c r="G136" s="881">
        <f t="shared" si="7"/>
        <v>931178.08268945897</v>
      </c>
    </row>
    <row r="137" spans="2:7" x14ac:dyDescent="0.3">
      <c r="B137" s="583">
        <v>128</v>
      </c>
      <c r="C137" s="881">
        <f t="shared" si="4"/>
        <v>8179.9002911065363</v>
      </c>
      <c r="D137" s="881">
        <f t="shared" si="5"/>
        <v>4832.5420221129862</v>
      </c>
      <c r="E137" s="881">
        <f t="shared" si="6"/>
        <v>3347.3582689935502</v>
      </c>
      <c r="G137" s="881">
        <f t="shared" si="7"/>
        <v>927848.06824569334</v>
      </c>
    </row>
    <row r="138" spans="2:7" x14ac:dyDescent="0.3">
      <c r="B138" s="583">
        <v>129</v>
      </c>
      <c r="C138" s="881">
        <f t="shared" ref="C138:C201" si="8">IF($C$3&lt;G138+(G138*($C$4/$C$6)),$C$3,G138+(G138*($C$4/$C$6)))</f>
        <v>8179.9002911065363</v>
      </c>
      <c r="D138" s="881">
        <f t="shared" ref="D138:D201" si="9">G138*$C$4/$C$6</f>
        <v>4815.1078644619784</v>
      </c>
      <c r="E138" s="881">
        <f t="shared" ref="E138:E201" si="10">C138-D138</f>
        <v>3364.792426644558</v>
      </c>
      <c r="G138" s="881">
        <f t="shared" si="7"/>
        <v>924500.70997669979</v>
      </c>
    </row>
    <row r="139" spans="2:7" x14ac:dyDescent="0.3">
      <c r="B139" s="583">
        <v>130</v>
      </c>
      <c r="C139" s="881">
        <f t="shared" si="8"/>
        <v>8179.9002911065363</v>
      </c>
      <c r="D139" s="881">
        <f t="shared" si="9"/>
        <v>4797.5829039065375</v>
      </c>
      <c r="E139" s="881">
        <f t="shared" si="10"/>
        <v>3382.3173871999988</v>
      </c>
      <c r="G139" s="881">
        <f t="shared" ref="G139:G202" si="11">G138-E138-F138</f>
        <v>921135.91755005519</v>
      </c>
    </row>
    <row r="140" spans="2:7" x14ac:dyDescent="0.3">
      <c r="B140" s="583">
        <v>131</v>
      </c>
      <c r="C140" s="881">
        <f t="shared" si="8"/>
        <v>8179.9002911065363</v>
      </c>
      <c r="D140" s="881">
        <f t="shared" si="9"/>
        <v>4779.966667514871</v>
      </c>
      <c r="E140" s="881">
        <f t="shared" si="10"/>
        <v>3399.9336235916653</v>
      </c>
      <c r="G140" s="881">
        <f t="shared" si="11"/>
        <v>917753.60016285523</v>
      </c>
    </row>
    <row r="141" spans="2:7" x14ac:dyDescent="0.3">
      <c r="B141" s="583">
        <v>132</v>
      </c>
      <c r="C141" s="881">
        <f t="shared" si="8"/>
        <v>8179.9002911065363</v>
      </c>
      <c r="D141" s="881">
        <f t="shared" si="9"/>
        <v>4762.2586798919974</v>
      </c>
      <c r="E141" s="881">
        <f t="shared" si="10"/>
        <v>3417.6416112145389</v>
      </c>
      <c r="G141" s="881">
        <f t="shared" si="11"/>
        <v>914353.66653926356</v>
      </c>
    </row>
    <row r="142" spans="2:7" x14ac:dyDescent="0.3">
      <c r="B142" s="583">
        <v>133</v>
      </c>
      <c r="C142" s="881">
        <f t="shared" si="8"/>
        <v>8179.9002911065363</v>
      </c>
      <c r="D142" s="881">
        <f t="shared" si="9"/>
        <v>4744.4584631669222</v>
      </c>
      <c r="E142" s="881">
        <f t="shared" si="10"/>
        <v>3435.4418279396141</v>
      </c>
      <c r="G142" s="881">
        <f t="shared" si="11"/>
        <v>910936.02492804907</v>
      </c>
    </row>
    <row r="143" spans="2:7" x14ac:dyDescent="0.3">
      <c r="B143" s="583">
        <v>134</v>
      </c>
      <c r="C143" s="881">
        <f t="shared" si="8"/>
        <v>8179.9002911065363</v>
      </c>
      <c r="D143" s="881">
        <f t="shared" si="9"/>
        <v>4726.5655369797369</v>
      </c>
      <c r="E143" s="881">
        <f t="shared" si="10"/>
        <v>3453.3347541267995</v>
      </c>
      <c r="G143" s="881">
        <f t="shared" si="11"/>
        <v>907500.58310010948</v>
      </c>
    </row>
    <row r="144" spans="2:7" x14ac:dyDescent="0.3">
      <c r="B144" s="583">
        <v>135</v>
      </c>
      <c r="C144" s="881">
        <f t="shared" si="8"/>
        <v>8179.9002911065363</v>
      </c>
      <c r="D144" s="881">
        <f t="shared" si="9"/>
        <v>4708.5794184686592</v>
      </c>
      <c r="E144" s="881">
        <f t="shared" si="10"/>
        <v>3471.3208726378771</v>
      </c>
      <c r="G144" s="881">
        <f t="shared" si="11"/>
        <v>904047.24834598263</v>
      </c>
    </row>
    <row r="145" spans="2:7" x14ac:dyDescent="0.3">
      <c r="B145" s="583">
        <v>136</v>
      </c>
      <c r="C145" s="881">
        <f t="shared" si="8"/>
        <v>8179.9002911065363</v>
      </c>
      <c r="D145" s="881">
        <f t="shared" si="9"/>
        <v>4690.4996222570035</v>
      </c>
      <c r="E145" s="881">
        <f t="shared" si="10"/>
        <v>3489.4006688495328</v>
      </c>
      <c r="G145" s="881">
        <f t="shared" si="11"/>
        <v>900575.92747334472</v>
      </c>
    </row>
    <row r="146" spans="2:7" x14ac:dyDescent="0.3">
      <c r="B146" s="583">
        <v>137</v>
      </c>
      <c r="C146" s="881">
        <f t="shared" si="8"/>
        <v>8179.9002911065363</v>
      </c>
      <c r="D146" s="881">
        <f t="shared" si="9"/>
        <v>4672.3256604400785</v>
      </c>
      <c r="E146" s="881">
        <f t="shared" si="10"/>
        <v>3507.5746306664578</v>
      </c>
      <c r="G146" s="881">
        <f t="shared" si="11"/>
        <v>897086.52680449514</v>
      </c>
    </row>
    <row r="147" spans="2:7" x14ac:dyDescent="0.3">
      <c r="B147" s="583">
        <v>138</v>
      </c>
      <c r="C147" s="881">
        <f t="shared" si="8"/>
        <v>8179.9002911065363</v>
      </c>
      <c r="D147" s="881">
        <f t="shared" si="9"/>
        <v>4654.0570425720243</v>
      </c>
      <c r="E147" s="881">
        <f t="shared" si="10"/>
        <v>3525.843248534512</v>
      </c>
      <c r="G147" s="881">
        <f t="shared" si="11"/>
        <v>893578.95217382873</v>
      </c>
    </row>
    <row r="148" spans="2:7" x14ac:dyDescent="0.3">
      <c r="B148" s="583">
        <v>139</v>
      </c>
      <c r="C148" s="881">
        <f t="shared" si="8"/>
        <v>8179.9002911065363</v>
      </c>
      <c r="D148" s="881">
        <f t="shared" si="9"/>
        <v>4635.6932756525739</v>
      </c>
      <c r="E148" s="881">
        <f t="shared" si="10"/>
        <v>3544.2070154539624</v>
      </c>
      <c r="G148" s="881">
        <f t="shared" si="11"/>
        <v>890053.10892529425</v>
      </c>
    </row>
    <row r="149" spans="2:7" x14ac:dyDescent="0.3">
      <c r="B149" s="583">
        <v>140</v>
      </c>
      <c r="C149" s="881">
        <f t="shared" si="8"/>
        <v>8179.9002911065363</v>
      </c>
      <c r="D149" s="881">
        <f t="shared" si="9"/>
        <v>4617.2338641137512</v>
      </c>
      <c r="E149" s="881">
        <f t="shared" si="10"/>
        <v>3562.6664269927851</v>
      </c>
      <c r="G149" s="881">
        <f t="shared" si="11"/>
        <v>886508.90190984029</v>
      </c>
    </row>
    <row r="150" spans="2:7" x14ac:dyDescent="0.3">
      <c r="B150" s="583">
        <v>141</v>
      </c>
      <c r="C150" s="881">
        <f t="shared" si="8"/>
        <v>8179.9002911065363</v>
      </c>
      <c r="D150" s="881">
        <f t="shared" si="9"/>
        <v>4598.678309806498</v>
      </c>
      <c r="E150" s="881">
        <f t="shared" si="10"/>
        <v>3581.2219813000384</v>
      </c>
      <c r="G150" s="881">
        <f t="shared" si="11"/>
        <v>882946.23548284755</v>
      </c>
    </row>
    <row r="151" spans="2:7" x14ac:dyDescent="0.3">
      <c r="B151" s="583">
        <v>142</v>
      </c>
      <c r="C151" s="881">
        <f t="shared" si="8"/>
        <v>8179.9002911065363</v>
      </c>
      <c r="D151" s="881">
        <f t="shared" si="9"/>
        <v>4580.0261119872266</v>
      </c>
      <c r="E151" s="881">
        <f t="shared" si="10"/>
        <v>3599.8741791193097</v>
      </c>
      <c r="G151" s="881">
        <f t="shared" si="11"/>
        <v>879365.01350154751</v>
      </c>
    </row>
    <row r="152" spans="2:7" x14ac:dyDescent="0.3">
      <c r="B152" s="583">
        <v>143</v>
      </c>
      <c r="C152" s="881">
        <f t="shared" si="8"/>
        <v>8179.9002911065363</v>
      </c>
      <c r="D152" s="881">
        <f t="shared" si="9"/>
        <v>4561.2767673043136</v>
      </c>
      <c r="E152" s="881">
        <f t="shared" si="10"/>
        <v>3618.6235238022227</v>
      </c>
      <c r="G152" s="881">
        <f t="shared" si="11"/>
        <v>875765.13932242815</v>
      </c>
    </row>
    <row r="153" spans="2:7" x14ac:dyDescent="0.3">
      <c r="B153" s="583">
        <v>144</v>
      </c>
      <c r="C153" s="881">
        <f t="shared" si="8"/>
        <v>8179.9002911065363</v>
      </c>
      <c r="D153" s="881">
        <f t="shared" si="9"/>
        <v>4542.4297697845095</v>
      </c>
      <c r="E153" s="881">
        <f t="shared" si="10"/>
        <v>3637.4705213220268</v>
      </c>
      <c r="G153" s="881">
        <f t="shared" si="11"/>
        <v>872146.51579862589</v>
      </c>
    </row>
    <row r="154" spans="2:7" x14ac:dyDescent="0.3">
      <c r="B154" s="583">
        <v>145</v>
      </c>
      <c r="C154" s="881">
        <f t="shared" si="8"/>
        <v>8179.9002911065363</v>
      </c>
      <c r="D154" s="881">
        <f t="shared" si="9"/>
        <v>4523.4846108192914</v>
      </c>
      <c r="E154" s="881">
        <f t="shared" si="10"/>
        <v>3656.4156802872449</v>
      </c>
      <c r="G154" s="881">
        <f t="shared" si="11"/>
        <v>868509.0452773039</v>
      </c>
    </row>
    <row r="155" spans="2:7" x14ac:dyDescent="0.3">
      <c r="B155" s="583">
        <v>146</v>
      </c>
      <c r="C155" s="881">
        <f t="shared" si="8"/>
        <v>8179.9002911065363</v>
      </c>
      <c r="D155" s="881">
        <f t="shared" si="9"/>
        <v>4504.4407791511285</v>
      </c>
      <c r="E155" s="881">
        <f t="shared" si="10"/>
        <v>3675.4595119554078</v>
      </c>
      <c r="G155" s="881">
        <f t="shared" si="11"/>
        <v>864852.62959701661</v>
      </c>
    </row>
    <row r="156" spans="2:7" x14ac:dyDescent="0.3">
      <c r="B156" s="583">
        <v>147</v>
      </c>
      <c r="C156" s="881">
        <f t="shared" si="8"/>
        <v>8179.9002911065363</v>
      </c>
      <c r="D156" s="881">
        <f t="shared" si="9"/>
        <v>4485.2977608596939</v>
      </c>
      <c r="E156" s="881">
        <f t="shared" si="10"/>
        <v>3694.6025302468424</v>
      </c>
      <c r="G156" s="881">
        <f t="shared" si="11"/>
        <v>861177.17008506123</v>
      </c>
    </row>
    <row r="157" spans="2:7" x14ac:dyDescent="0.3">
      <c r="B157" s="583">
        <v>148</v>
      </c>
      <c r="C157" s="881">
        <f t="shared" si="8"/>
        <v>8179.9002911065363</v>
      </c>
      <c r="D157" s="881">
        <f t="shared" si="9"/>
        <v>4466.0550393479916</v>
      </c>
      <c r="E157" s="881">
        <f t="shared" si="10"/>
        <v>3713.8452517585447</v>
      </c>
      <c r="G157" s="881">
        <f t="shared" si="11"/>
        <v>857482.56755481439</v>
      </c>
    </row>
    <row r="158" spans="2:7" x14ac:dyDescent="0.3">
      <c r="B158" s="583">
        <v>149</v>
      </c>
      <c r="C158" s="881">
        <f t="shared" si="8"/>
        <v>8179.9002911065363</v>
      </c>
      <c r="D158" s="881">
        <f t="shared" si="9"/>
        <v>4446.7120953284157</v>
      </c>
      <c r="E158" s="881">
        <f t="shared" si="10"/>
        <v>3733.1881957781206</v>
      </c>
      <c r="G158" s="881">
        <f t="shared" si="11"/>
        <v>853768.72230305581</v>
      </c>
    </row>
    <row r="159" spans="2:7" x14ac:dyDescent="0.3">
      <c r="B159" s="583">
        <v>150</v>
      </c>
      <c r="C159" s="881">
        <f t="shared" si="8"/>
        <v>8179.9002911065363</v>
      </c>
      <c r="D159" s="881">
        <f t="shared" si="9"/>
        <v>4427.2684068087374</v>
      </c>
      <c r="E159" s="881">
        <f t="shared" si="10"/>
        <v>3752.6318842977989</v>
      </c>
      <c r="G159" s="881">
        <f t="shared" si="11"/>
        <v>850035.53410727764</v>
      </c>
    </row>
    <row r="160" spans="2:7" x14ac:dyDescent="0.3">
      <c r="B160" s="583">
        <v>151</v>
      </c>
      <c r="C160" s="881">
        <f t="shared" si="8"/>
        <v>8179.9002911065363</v>
      </c>
      <c r="D160" s="881">
        <f t="shared" si="9"/>
        <v>4407.7234490780202</v>
      </c>
      <c r="E160" s="881">
        <f t="shared" si="10"/>
        <v>3772.1768420285161</v>
      </c>
      <c r="G160" s="881">
        <f t="shared" si="11"/>
        <v>846282.90222297981</v>
      </c>
    </row>
    <row r="161" spans="2:7" x14ac:dyDescent="0.3">
      <c r="B161" s="583">
        <v>152</v>
      </c>
      <c r="C161" s="881">
        <f t="shared" si="8"/>
        <v>8179.9002911065363</v>
      </c>
      <c r="D161" s="881">
        <f t="shared" si="9"/>
        <v>4388.076694692455</v>
      </c>
      <c r="E161" s="881">
        <f t="shared" si="10"/>
        <v>3791.8235964140813</v>
      </c>
      <c r="G161" s="881">
        <f t="shared" si="11"/>
        <v>842510.72538095131</v>
      </c>
    </row>
    <row r="162" spans="2:7" x14ac:dyDescent="0.3">
      <c r="B162" s="583">
        <v>153</v>
      </c>
      <c r="C162" s="881">
        <f t="shared" si="8"/>
        <v>8179.9002911065363</v>
      </c>
      <c r="D162" s="881">
        <f t="shared" si="9"/>
        <v>4368.3276134611315</v>
      </c>
      <c r="E162" s="881">
        <f t="shared" si="10"/>
        <v>3811.5726776454048</v>
      </c>
      <c r="G162" s="881">
        <f t="shared" si="11"/>
        <v>838718.90178453724</v>
      </c>
    </row>
    <row r="163" spans="2:7" x14ac:dyDescent="0.3">
      <c r="B163" s="583">
        <v>154</v>
      </c>
      <c r="C163" s="881">
        <f t="shared" si="8"/>
        <v>8179.9002911065363</v>
      </c>
      <c r="D163" s="881">
        <f t="shared" si="9"/>
        <v>4348.4756724317285</v>
      </c>
      <c r="E163" s="881">
        <f t="shared" si="10"/>
        <v>3831.4246186748078</v>
      </c>
      <c r="G163" s="881">
        <f t="shared" si="11"/>
        <v>834907.32910689188</v>
      </c>
    </row>
    <row r="164" spans="2:7" x14ac:dyDescent="0.3">
      <c r="B164" s="583">
        <v>155</v>
      </c>
      <c r="C164" s="881">
        <f t="shared" si="8"/>
        <v>8179.9002911065363</v>
      </c>
      <c r="D164" s="881">
        <f t="shared" si="9"/>
        <v>4328.520335876131</v>
      </c>
      <c r="E164" s="881">
        <f t="shared" si="10"/>
        <v>3851.3799552304054</v>
      </c>
      <c r="G164" s="881">
        <f t="shared" si="11"/>
        <v>831075.90448821709</v>
      </c>
    </row>
    <row r="165" spans="2:7" x14ac:dyDescent="0.3">
      <c r="B165" s="583">
        <v>156</v>
      </c>
      <c r="C165" s="881">
        <f t="shared" si="8"/>
        <v>8179.9002911065363</v>
      </c>
      <c r="D165" s="881">
        <f t="shared" si="9"/>
        <v>4308.461065275972</v>
      </c>
      <c r="E165" s="881">
        <f t="shared" si="10"/>
        <v>3871.4392258305643</v>
      </c>
      <c r="G165" s="881">
        <f t="shared" si="11"/>
        <v>827224.52453298669</v>
      </c>
    </row>
    <row r="166" spans="2:7" x14ac:dyDescent="0.3">
      <c r="B166" s="583">
        <v>157</v>
      </c>
      <c r="C166" s="881">
        <f t="shared" si="8"/>
        <v>8179.9002911065363</v>
      </c>
      <c r="D166" s="881">
        <f t="shared" si="9"/>
        <v>4288.2973193081043</v>
      </c>
      <c r="E166" s="881">
        <f t="shared" si="10"/>
        <v>3891.602971798432</v>
      </c>
      <c r="G166" s="881">
        <f t="shared" si="11"/>
        <v>823353.08530715609</v>
      </c>
    </row>
    <row r="167" spans="2:7" x14ac:dyDescent="0.3">
      <c r="B167" s="583">
        <v>158</v>
      </c>
      <c r="C167" s="881">
        <f t="shared" si="8"/>
        <v>8179.9002911065363</v>
      </c>
      <c r="D167" s="881">
        <f t="shared" si="9"/>
        <v>4268.0285538299877</v>
      </c>
      <c r="E167" s="881">
        <f t="shared" si="10"/>
        <v>3911.8717372765486</v>
      </c>
      <c r="G167" s="881">
        <f t="shared" si="11"/>
        <v>819461.48233535769</v>
      </c>
    </row>
    <row r="168" spans="2:7" x14ac:dyDescent="0.3">
      <c r="B168" s="583">
        <v>159</v>
      </c>
      <c r="C168" s="881">
        <f t="shared" si="8"/>
        <v>8179.9002911065363</v>
      </c>
      <c r="D168" s="881">
        <f t="shared" si="9"/>
        <v>4247.6542218650056</v>
      </c>
      <c r="E168" s="881">
        <f t="shared" si="10"/>
        <v>3932.2460692415307</v>
      </c>
      <c r="G168" s="881">
        <f t="shared" si="11"/>
        <v>815549.61059808114</v>
      </c>
    </row>
    <row r="169" spans="2:7" x14ac:dyDescent="0.3">
      <c r="B169" s="583">
        <v>160</v>
      </c>
      <c r="C169" s="881">
        <f t="shared" si="8"/>
        <v>8179.9002911065363</v>
      </c>
      <c r="D169" s="881">
        <f t="shared" si="9"/>
        <v>4227.1737735877059</v>
      </c>
      <c r="E169" s="881">
        <f t="shared" si="10"/>
        <v>3952.7265175188304</v>
      </c>
      <c r="G169" s="881">
        <f t="shared" si="11"/>
        <v>811617.36452883959</v>
      </c>
    </row>
    <row r="170" spans="2:7" x14ac:dyDescent="0.3">
      <c r="B170" s="583">
        <v>161</v>
      </c>
      <c r="C170" s="881">
        <f t="shared" si="8"/>
        <v>8179.9002911065363</v>
      </c>
      <c r="D170" s="881">
        <f t="shared" si="9"/>
        <v>4206.5866563089621</v>
      </c>
      <c r="E170" s="881">
        <f t="shared" si="10"/>
        <v>3973.3136347975742</v>
      </c>
      <c r="G170" s="881">
        <f t="shared" si="11"/>
        <v>807664.63801132073</v>
      </c>
    </row>
    <row r="171" spans="2:7" x14ac:dyDescent="0.3">
      <c r="B171" s="583">
        <v>162</v>
      </c>
      <c r="C171" s="881">
        <f t="shared" si="8"/>
        <v>8179.9002911065363</v>
      </c>
      <c r="D171" s="881">
        <f t="shared" si="9"/>
        <v>4185.892314461058</v>
      </c>
      <c r="E171" s="881">
        <f t="shared" si="10"/>
        <v>3994.0079766454783</v>
      </c>
      <c r="G171" s="881">
        <f t="shared" si="11"/>
        <v>803691.32437652315</v>
      </c>
    </row>
    <row r="172" spans="2:7" x14ac:dyDescent="0.3">
      <c r="B172" s="583">
        <v>163</v>
      </c>
      <c r="C172" s="881">
        <f t="shared" si="8"/>
        <v>8179.9002911065363</v>
      </c>
      <c r="D172" s="881">
        <f t="shared" si="9"/>
        <v>4165.0901895826964</v>
      </c>
      <c r="E172" s="881">
        <f t="shared" si="10"/>
        <v>4014.8101015238399</v>
      </c>
      <c r="G172" s="881">
        <f t="shared" si="11"/>
        <v>799697.31639987766</v>
      </c>
    </row>
    <row r="173" spans="2:7" x14ac:dyDescent="0.3">
      <c r="B173" s="583">
        <v>164</v>
      </c>
      <c r="C173" s="881">
        <f t="shared" si="8"/>
        <v>8179.9002911065363</v>
      </c>
      <c r="D173" s="881">
        <f t="shared" si="9"/>
        <v>4144.1797203039259</v>
      </c>
      <c r="E173" s="881">
        <f t="shared" si="10"/>
        <v>4035.7205708026104</v>
      </c>
      <c r="G173" s="881">
        <f t="shared" si="11"/>
        <v>795682.50629835378</v>
      </c>
    </row>
    <row r="174" spans="2:7" x14ac:dyDescent="0.3">
      <c r="B174" s="583">
        <v>165</v>
      </c>
      <c r="C174" s="881">
        <f t="shared" si="8"/>
        <v>8179.9002911065363</v>
      </c>
      <c r="D174" s="881">
        <f t="shared" si="9"/>
        <v>4123.1603423309962</v>
      </c>
      <c r="E174" s="881">
        <f t="shared" si="10"/>
        <v>4056.7399487755401</v>
      </c>
      <c r="G174" s="881">
        <f t="shared" si="11"/>
        <v>791646.78572755121</v>
      </c>
    </row>
    <row r="175" spans="2:7" x14ac:dyDescent="0.3">
      <c r="B175" s="583">
        <v>166</v>
      </c>
      <c r="C175" s="881">
        <f t="shared" si="8"/>
        <v>8179.9002911065363</v>
      </c>
      <c r="D175" s="881">
        <f t="shared" si="9"/>
        <v>4102.0314884311238</v>
      </c>
      <c r="E175" s="881">
        <f t="shared" si="10"/>
        <v>4077.8688026754126</v>
      </c>
      <c r="G175" s="881">
        <f t="shared" si="11"/>
        <v>787590.0457787757</v>
      </c>
    </row>
    <row r="176" spans="2:7" x14ac:dyDescent="0.3">
      <c r="B176" s="583">
        <v>167</v>
      </c>
      <c r="C176" s="881">
        <f t="shared" si="8"/>
        <v>8179.9002911065363</v>
      </c>
      <c r="D176" s="881">
        <f t="shared" si="9"/>
        <v>4080.7925884171891</v>
      </c>
      <c r="E176" s="881">
        <f t="shared" si="10"/>
        <v>4099.1077026893472</v>
      </c>
      <c r="G176" s="881">
        <f t="shared" si="11"/>
        <v>783512.17697610031</v>
      </c>
    </row>
    <row r="177" spans="2:7" x14ac:dyDescent="0.3">
      <c r="B177" s="583">
        <v>168</v>
      </c>
      <c r="C177" s="881">
        <f t="shared" si="8"/>
        <v>8179.9002911065363</v>
      </c>
      <c r="D177" s="881">
        <f t="shared" si="9"/>
        <v>4059.4430691323487</v>
      </c>
      <c r="E177" s="881">
        <f t="shared" si="10"/>
        <v>4120.4572219741876</v>
      </c>
      <c r="G177" s="881">
        <f t="shared" si="11"/>
        <v>779413.06927341095</v>
      </c>
    </row>
    <row r="178" spans="2:7" x14ac:dyDescent="0.3">
      <c r="B178" s="583">
        <v>169</v>
      </c>
      <c r="C178" s="881">
        <f t="shared" si="8"/>
        <v>8179.9002911065363</v>
      </c>
      <c r="D178" s="881">
        <f t="shared" si="9"/>
        <v>4037.9823544345668</v>
      </c>
      <c r="E178" s="881">
        <f t="shared" si="10"/>
        <v>4141.9179366719691</v>
      </c>
      <c r="G178" s="881">
        <f t="shared" si="11"/>
        <v>775292.61205143679</v>
      </c>
    </row>
    <row r="179" spans="2:7" x14ac:dyDescent="0.3">
      <c r="B179" s="583">
        <v>170</v>
      </c>
      <c r="C179" s="881">
        <f t="shared" si="8"/>
        <v>8179.9002911065363</v>
      </c>
      <c r="D179" s="881">
        <f t="shared" si="9"/>
        <v>4016.4098651810668</v>
      </c>
      <c r="E179" s="881">
        <f t="shared" si="10"/>
        <v>4163.490425925469</v>
      </c>
      <c r="G179" s="881">
        <f t="shared" si="11"/>
        <v>771150.6941147648</v>
      </c>
    </row>
    <row r="180" spans="2:7" x14ac:dyDescent="0.3">
      <c r="B180" s="583">
        <v>171</v>
      </c>
      <c r="C180" s="881">
        <f t="shared" si="8"/>
        <v>8179.9002911065363</v>
      </c>
      <c r="D180" s="881">
        <f t="shared" si="9"/>
        <v>3994.7250192127049</v>
      </c>
      <c r="E180" s="881">
        <f t="shared" si="10"/>
        <v>4185.1752718938315</v>
      </c>
      <c r="G180" s="881">
        <f t="shared" si="11"/>
        <v>766987.20368883933</v>
      </c>
    </row>
    <row r="181" spans="2:7" x14ac:dyDescent="0.3">
      <c r="B181" s="583">
        <v>172</v>
      </c>
      <c r="C181" s="881">
        <f t="shared" si="8"/>
        <v>8179.9002911065363</v>
      </c>
      <c r="D181" s="881">
        <f t="shared" si="9"/>
        <v>3972.9272313382576</v>
      </c>
      <c r="E181" s="881">
        <f t="shared" si="10"/>
        <v>4206.9730597682792</v>
      </c>
      <c r="G181" s="881">
        <f t="shared" si="11"/>
        <v>762802.02841694548</v>
      </c>
    </row>
    <row r="182" spans="2:7" x14ac:dyDescent="0.3">
      <c r="B182" s="583">
        <v>173</v>
      </c>
      <c r="C182" s="881">
        <f t="shared" si="8"/>
        <v>8179.9002911065363</v>
      </c>
      <c r="D182" s="881">
        <f t="shared" si="9"/>
        <v>3951.0159133186312</v>
      </c>
      <c r="E182" s="881">
        <f t="shared" si="10"/>
        <v>4228.8843777879047</v>
      </c>
      <c r="G182" s="881">
        <f t="shared" si="11"/>
        <v>758595.05535717716</v>
      </c>
    </row>
    <row r="183" spans="2:7" x14ac:dyDescent="0.3">
      <c r="B183" s="583">
        <v>174</v>
      </c>
      <c r="C183" s="881">
        <f t="shared" si="8"/>
        <v>8179.9002911065363</v>
      </c>
      <c r="D183" s="881">
        <f t="shared" si="9"/>
        <v>3928.9904738509854</v>
      </c>
      <c r="E183" s="881">
        <f t="shared" si="10"/>
        <v>4250.9098172555514</v>
      </c>
      <c r="G183" s="881">
        <f t="shared" si="11"/>
        <v>754366.17097938922</v>
      </c>
    </row>
    <row r="184" spans="2:7" x14ac:dyDescent="0.3">
      <c r="B184" s="583">
        <v>175</v>
      </c>
      <c r="C184" s="881">
        <f t="shared" si="8"/>
        <v>8179.9002911065363</v>
      </c>
      <c r="D184" s="881">
        <f t="shared" si="9"/>
        <v>3906.8503185527793</v>
      </c>
      <c r="E184" s="881">
        <f t="shared" si="10"/>
        <v>4273.0499725537575</v>
      </c>
      <c r="G184" s="881">
        <f t="shared" si="11"/>
        <v>750115.26116213365</v>
      </c>
    </row>
    <row r="185" spans="2:7" x14ac:dyDescent="0.3">
      <c r="B185" s="583">
        <v>176</v>
      </c>
      <c r="C185" s="881">
        <f t="shared" si="8"/>
        <v>8179.9002911065363</v>
      </c>
      <c r="D185" s="881">
        <f t="shared" si="9"/>
        <v>3884.5948499457286</v>
      </c>
      <c r="E185" s="881">
        <f t="shared" si="10"/>
        <v>4295.3054411608082</v>
      </c>
      <c r="G185" s="881">
        <f t="shared" si="11"/>
        <v>745842.21118957992</v>
      </c>
    </row>
    <row r="186" spans="2:7" x14ac:dyDescent="0.3">
      <c r="B186" s="583">
        <v>177</v>
      </c>
      <c r="C186" s="881">
        <f t="shared" si="8"/>
        <v>8179.9002911065363</v>
      </c>
      <c r="D186" s="881">
        <f t="shared" si="9"/>
        <v>3862.2234674396827</v>
      </c>
      <c r="E186" s="881">
        <f t="shared" si="10"/>
        <v>4317.676823666854</v>
      </c>
      <c r="G186" s="881">
        <f t="shared" si="11"/>
        <v>741546.90574841911</v>
      </c>
    </row>
    <row r="187" spans="2:7" x14ac:dyDescent="0.3">
      <c r="B187" s="583">
        <v>178</v>
      </c>
      <c r="C187" s="881">
        <f t="shared" si="8"/>
        <v>8179.9002911065363</v>
      </c>
      <c r="D187" s="881">
        <f t="shared" si="9"/>
        <v>3839.7355673164179</v>
      </c>
      <c r="E187" s="881">
        <f t="shared" si="10"/>
        <v>4340.1647237901179</v>
      </c>
      <c r="G187" s="881">
        <f t="shared" si="11"/>
        <v>737229.22892475221</v>
      </c>
    </row>
    <row r="188" spans="2:7" x14ac:dyDescent="0.3">
      <c r="B188" s="583">
        <v>179</v>
      </c>
      <c r="C188" s="881">
        <f t="shared" si="8"/>
        <v>8179.9002911065363</v>
      </c>
      <c r="D188" s="881">
        <f t="shared" si="9"/>
        <v>3817.1305427133443</v>
      </c>
      <c r="E188" s="881">
        <f t="shared" si="10"/>
        <v>4362.7697483931915</v>
      </c>
      <c r="G188" s="881">
        <f t="shared" si="11"/>
        <v>732889.06420096208</v>
      </c>
    </row>
    <row r="189" spans="2:7" x14ac:dyDescent="0.3">
      <c r="B189" s="583">
        <v>180</v>
      </c>
      <c r="C189" s="881">
        <f t="shared" si="8"/>
        <v>8179.9002911065363</v>
      </c>
      <c r="D189" s="881">
        <f t="shared" si="9"/>
        <v>3794.4077836071297</v>
      </c>
      <c r="E189" s="881">
        <f t="shared" si="10"/>
        <v>4385.4925074994062</v>
      </c>
      <c r="G189" s="881">
        <f t="shared" si="11"/>
        <v>728526.29445256887</v>
      </c>
    </row>
    <row r="190" spans="2:7" x14ac:dyDescent="0.3">
      <c r="B190" s="583">
        <v>181</v>
      </c>
      <c r="C190" s="881">
        <f t="shared" si="8"/>
        <v>8179.9002911065363</v>
      </c>
      <c r="D190" s="881">
        <f t="shared" si="9"/>
        <v>3771.5666767972366</v>
      </c>
      <c r="E190" s="881">
        <f t="shared" si="10"/>
        <v>4408.3336143093002</v>
      </c>
      <c r="G190" s="881">
        <f t="shared" si="11"/>
        <v>724140.80194506946</v>
      </c>
    </row>
    <row r="191" spans="2:7" x14ac:dyDescent="0.3">
      <c r="B191" s="583">
        <v>182</v>
      </c>
      <c r="C191" s="881">
        <f t="shared" si="8"/>
        <v>8179.9002911065363</v>
      </c>
      <c r="D191" s="881">
        <f t="shared" si="9"/>
        <v>3748.6066058893757</v>
      </c>
      <c r="E191" s="881">
        <f t="shared" si="10"/>
        <v>4431.2936852171606</v>
      </c>
      <c r="G191" s="881">
        <f t="shared" si="11"/>
        <v>719732.46833076014</v>
      </c>
    </row>
    <row r="192" spans="2:7" x14ac:dyDescent="0.3">
      <c r="B192" s="583">
        <v>183</v>
      </c>
      <c r="C192" s="881">
        <f t="shared" si="8"/>
        <v>8179.9002911065363</v>
      </c>
      <c r="D192" s="881">
        <f t="shared" si="9"/>
        <v>3725.5269512788695</v>
      </c>
      <c r="E192" s="881">
        <f t="shared" si="10"/>
        <v>4454.3733398276672</v>
      </c>
      <c r="G192" s="881">
        <f t="shared" si="11"/>
        <v>715301.17464554298</v>
      </c>
    </row>
    <row r="193" spans="2:7" x14ac:dyDescent="0.3">
      <c r="B193" s="583">
        <v>184</v>
      </c>
      <c r="C193" s="881">
        <f t="shared" si="8"/>
        <v>8179.9002911065363</v>
      </c>
      <c r="D193" s="881">
        <f t="shared" si="9"/>
        <v>3702.3270901339342</v>
      </c>
      <c r="E193" s="881">
        <f t="shared" si="10"/>
        <v>4477.5732009726016</v>
      </c>
      <c r="G193" s="881">
        <f t="shared" si="11"/>
        <v>710846.80130571534</v>
      </c>
    </row>
    <row r="194" spans="2:7" x14ac:dyDescent="0.3">
      <c r="B194" s="583">
        <v>185</v>
      </c>
      <c r="C194" s="881">
        <f t="shared" si="8"/>
        <v>8179.9002911065363</v>
      </c>
      <c r="D194" s="881">
        <f t="shared" si="9"/>
        <v>3679.0063963788684</v>
      </c>
      <c r="E194" s="881">
        <f t="shared" si="10"/>
        <v>4500.8938947276674</v>
      </c>
      <c r="G194" s="881">
        <f t="shared" si="11"/>
        <v>706369.22810474271</v>
      </c>
    </row>
    <row r="195" spans="2:7" x14ac:dyDescent="0.3">
      <c r="B195" s="583">
        <v>186</v>
      </c>
      <c r="C195" s="881">
        <f t="shared" si="8"/>
        <v>8179.9002911065363</v>
      </c>
      <c r="D195" s="881">
        <f t="shared" si="9"/>
        <v>3655.5642406771617</v>
      </c>
      <c r="E195" s="881">
        <f t="shared" si="10"/>
        <v>4524.3360504293742</v>
      </c>
      <c r="G195" s="881">
        <f t="shared" si="11"/>
        <v>701868.33421001502</v>
      </c>
    </row>
    <row r="196" spans="2:7" x14ac:dyDescent="0.3">
      <c r="B196" s="583">
        <v>187</v>
      </c>
      <c r="C196" s="881">
        <f t="shared" si="8"/>
        <v>8179.9002911065363</v>
      </c>
      <c r="D196" s="881">
        <f t="shared" si="9"/>
        <v>3631.9999904145084</v>
      </c>
      <c r="E196" s="881">
        <f t="shared" si="10"/>
        <v>4547.9003006920284</v>
      </c>
      <c r="G196" s="881">
        <f t="shared" si="11"/>
        <v>697343.99815958564</v>
      </c>
    </row>
    <row r="197" spans="2:7" x14ac:dyDescent="0.3">
      <c r="B197" s="583">
        <v>188</v>
      </c>
      <c r="C197" s="881">
        <f t="shared" si="8"/>
        <v>8179.9002911065363</v>
      </c>
      <c r="D197" s="881">
        <f t="shared" si="9"/>
        <v>3608.3130096817372</v>
      </c>
      <c r="E197" s="881">
        <f t="shared" si="10"/>
        <v>4571.5872814247996</v>
      </c>
      <c r="G197" s="881">
        <f t="shared" si="11"/>
        <v>692796.09785889357</v>
      </c>
    </row>
    <row r="198" spans="2:7" x14ac:dyDescent="0.3">
      <c r="B198" s="583">
        <v>189</v>
      </c>
      <c r="C198" s="881">
        <f t="shared" si="8"/>
        <v>8179.9002911065363</v>
      </c>
      <c r="D198" s="881">
        <f t="shared" si="9"/>
        <v>3584.5026592576501</v>
      </c>
      <c r="E198" s="881">
        <f t="shared" si="10"/>
        <v>4595.3976318488858</v>
      </c>
      <c r="G198" s="881">
        <f t="shared" si="11"/>
        <v>688224.51057746878</v>
      </c>
    </row>
    <row r="199" spans="2:7" x14ac:dyDescent="0.3">
      <c r="B199" s="583">
        <v>190</v>
      </c>
      <c r="C199" s="881">
        <f t="shared" si="8"/>
        <v>8179.9002911065363</v>
      </c>
      <c r="D199" s="881">
        <f t="shared" si="9"/>
        <v>3560.5682965917699</v>
      </c>
      <c r="E199" s="881">
        <f t="shared" si="10"/>
        <v>4619.3319945147668</v>
      </c>
      <c r="G199" s="881">
        <f t="shared" si="11"/>
        <v>683629.11294561985</v>
      </c>
    </row>
    <row r="200" spans="2:7" x14ac:dyDescent="0.3">
      <c r="B200" s="583">
        <v>191</v>
      </c>
      <c r="C200" s="881">
        <f t="shared" si="8"/>
        <v>8179.9002911065363</v>
      </c>
      <c r="D200" s="881">
        <f t="shared" si="9"/>
        <v>3536.5092757870057</v>
      </c>
      <c r="E200" s="881">
        <f t="shared" si="10"/>
        <v>4643.3910153195302</v>
      </c>
      <c r="G200" s="881">
        <f t="shared" si="11"/>
        <v>679009.78095110506</v>
      </c>
    </row>
    <row r="201" spans="2:7" x14ac:dyDescent="0.3">
      <c r="B201" s="583">
        <v>192</v>
      </c>
      <c r="C201" s="881">
        <f t="shared" si="8"/>
        <v>8179.9002911065363</v>
      </c>
      <c r="D201" s="881">
        <f t="shared" si="9"/>
        <v>3512.3249475822163</v>
      </c>
      <c r="E201" s="881">
        <f t="shared" si="10"/>
        <v>4667.5753435243205</v>
      </c>
      <c r="G201" s="881">
        <f t="shared" si="11"/>
        <v>674366.38993578556</v>
      </c>
    </row>
    <row r="202" spans="2:7" x14ac:dyDescent="0.3">
      <c r="B202" s="583">
        <v>193</v>
      </c>
      <c r="C202" s="881">
        <f t="shared" ref="C202:C265" si="12">IF($C$3&lt;G202+(G202*($C$4/$C$6)),$C$3,G202+(G202*($C$4/$C$6)))</f>
        <v>8179.9002911065363</v>
      </c>
      <c r="D202" s="881">
        <f t="shared" ref="D202:D265" si="13">G202*$C$4/$C$6</f>
        <v>3488.014659334694</v>
      </c>
      <c r="E202" s="881">
        <f t="shared" ref="E202:E265" si="14">C202-D202</f>
        <v>4691.8856317718419</v>
      </c>
      <c r="G202" s="881">
        <f t="shared" si="11"/>
        <v>669698.81459226122</v>
      </c>
    </row>
    <row r="203" spans="2:7" x14ac:dyDescent="0.3">
      <c r="B203" s="583">
        <v>194</v>
      </c>
      <c r="C203" s="881">
        <f t="shared" si="12"/>
        <v>8179.9002911065363</v>
      </c>
      <c r="D203" s="881">
        <f t="shared" si="13"/>
        <v>3463.5777550025487</v>
      </c>
      <c r="E203" s="881">
        <f t="shared" si="14"/>
        <v>4716.3225361039877</v>
      </c>
      <c r="G203" s="881">
        <f t="shared" ref="G203:G266" si="15">G202-E202-F202</f>
        <v>665006.92896048934</v>
      </c>
    </row>
    <row r="204" spans="2:7" x14ac:dyDescent="0.3">
      <c r="B204" s="583">
        <v>195</v>
      </c>
      <c r="C204" s="881">
        <f t="shared" si="12"/>
        <v>8179.9002911065363</v>
      </c>
      <c r="D204" s="881">
        <f t="shared" si="13"/>
        <v>3439.0135751270068</v>
      </c>
      <c r="E204" s="881">
        <f t="shared" si="14"/>
        <v>4740.88671597953</v>
      </c>
      <c r="G204" s="881">
        <f t="shared" si="15"/>
        <v>660290.60642438533</v>
      </c>
    </row>
    <row r="205" spans="2:7" x14ac:dyDescent="0.3">
      <c r="B205" s="583">
        <v>196</v>
      </c>
      <c r="C205" s="881">
        <f t="shared" si="12"/>
        <v>8179.9002911065363</v>
      </c>
      <c r="D205" s="881">
        <f t="shared" si="13"/>
        <v>3414.3214568146136</v>
      </c>
      <c r="E205" s="881">
        <f t="shared" si="14"/>
        <v>4765.5788342919222</v>
      </c>
      <c r="G205" s="881">
        <f t="shared" si="15"/>
        <v>655549.71970840578</v>
      </c>
    </row>
    <row r="206" spans="2:7" x14ac:dyDescent="0.3">
      <c r="B206" s="583">
        <v>197</v>
      </c>
      <c r="C206" s="881">
        <f t="shared" si="12"/>
        <v>8179.9002911065363</v>
      </c>
      <c r="D206" s="881">
        <f t="shared" si="13"/>
        <v>3389.5007337193433</v>
      </c>
      <c r="E206" s="881">
        <f t="shared" si="14"/>
        <v>4790.3995573871925</v>
      </c>
      <c r="G206" s="881">
        <f t="shared" si="15"/>
        <v>650784.14087411389</v>
      </c>
    </row>
    <row r="207" spans="2:7" x14ac:dyDescent="0.3">
      <c r="B207" s="583">
        <v>198</v>
      </c>
      <c r="C207" s="881">
        <f t="shared" si="12"/>
        <v>8179.9002911065363</v>
      </c>
      <c r="D207" s="881">
        <f t="shared" si="13"/>
        <v>3364.5507360246179</v>
      </c>
      <c r="E207" s="881">
        <f t="shared" si="14"/>
        <v>4815.3495550819189</v>
      </c>
      <c r="G207" s="881">
        <f t="shared" si="15"/>
        <v>645993.74131672666</v>
      </c>
    </row>
    <row r="208" spans="2:7" x14ac:dyDescent="0.3">
      <c r="B208" s="583">
        <v>199</v>
      </c>
      <c r="C208" s="881">
        <f t="shared" si="12"/>
        <v>8179.9002911065363</v>
      </c>
      <c r="D208" s="881">
        <f t="shared" si="13"/>
        <v>3339.4707904252332</v>
      </c>
      <c r="E208" s="881">
        <f t="shared" si="14"/>
        <v>4840.4295006813027</v>
      </c>
      <c r="G208" s="881">
        <f t="shared" si="15"/>
        <v>641178.39176164474</v>
      </c>
    </row>
    <row r="209" spans="2:7" x14ac:dyDescent="0.3">
      <c r="B209" s="583">
        <v>200</v>
      </c>
      <c r="C209" s="881">
        <f t="shared" si="12"/>
        <v>8179.9002911065363</v>
      </c>
      <c r="D209" s="881">
        <f t="shared" si="13"/>
        <v>3314.2602201091845</v>
      </c>
      <c r="E209" s="881">
        <f t="shared" si="14"/>
        <v>4865.6400709973514</v>
      </c>
      <c r="G209" s="881">
        <f t="shared" si="15"/>
        <v>636337.9622609634</v>
      </c>
    </row>
    <row r="210" spans="2:7" x14ac:dyDescent="0.3">
      <c r="B210" s="583">
        <v>201</v>
      </c>
      <c r="C210" s="881">
        <f t="shared" si="12"/>
        <v>8179.9002911065363</v>
      </c>
      <c r="D210" s="881">
        <f t="shared" si="13"/>
        <v>3288.9183447394066</v>
      </c>
      <c r="E210" s="881">
        <f t="shared" si="14"/>
        <v>4890.9819463671301</v>
      </c>
      <c r="G210" s="881">
        <f t="shared" si="15"/>
        <v>631472.3221899661</v>
      </c>
    </row>
    <row r="211" spans="2:7" x14ac:dyDescent="0.3">
      <c r="B211" s="583">
        <v>202</v>
      </c>
      <c r="C211" s="881">
        <f t="shared" si="12"/>
        <v>8179.9002911065363</v>
      </c>
      <c r="D211" s="881">
        <f t="shared" si="13"/>
        <v>3263.4444804354112</v>
      </c>
      <c r="E211" s="881">
        <f t="shared" si="14"/>
        <v>4916.4558106711247</v>
      </c>
      <c r="G211" s="881">
        <f t="shared" si="15"/>
        <v>626581.34024359891</v>
      </c>
    </row>
    <row r="212" spans="2:7" x14ac:dyDescent="0.3">
      <c r="B212" s="583">
        <v>203</v>
      </c>
      <c r="C212" s="881">
        <f t="shared" si="12"/>
        <v>8179.9002911065363</v>
      </c>
      <c r="D212" s="881">
        <f t="shared" si="13"/>
        <v>3237.8379397548324</v>
      </c>
      <c r="E212" s="881">
        <f t="shared" si="14"/>
        <v>4942.0623513517039</v>
      </c>
      <c r="G212" s="881">
        <f t="shared" si="15"/>
        <v>621664.88443292782</v>
      </c>
    </row>
    <row r="213" spans="2:7" x14ac:dyDescent="0.3">
      <c r="B213" s="583">
        <v>204</v>
      </c>
      <c r="C213" s="881">
        <f t="shared" si="12"/>
        <v>8179.9002911065363</v>
      </c>
      <c r="D213" s="881">
        <f t="shared" si="13"/>
        <v>3212.0980316748755</v>
      </c>
      <c r="E213" s="881">
        <f t="shared" si="14"/>
        <v>4967.8022594316608</v>
      </c>
      <c r="G213" s="881">
        <f t="shared" si="15"/>
        <v>616722.8220815761</v>
      </c>
    </row>
    <row r="214" spans="2:7" x14ac:dyDescent="0.3">
      <c r="B214" s="583">
        <v>205</v>
      </c>
      <c r="C214" s="881">
        <f t="shared" si="12"/>
        <v>8179.9002911065363</v>
      </c>
      <c r="D214" s="881">
        <f t="shared" si="13"/>
        <v>3186.2240615736687</v>
      </c>
      <c r="E214" s="881">
        <f t="shared" si="14"/>
        <v>4993.6762295328681</v>
      </c>
      <c r="G214" s="881">
        <f t="shared" si="15"/>
        <v>611755.01982214442</v>
      </c>
    </row>
    <row r="215" spans="2:7" x14ac:dyDescent="0.3">
      <c r="B215" s="583">
        <v>206</v>
      </c>
      <c r="C215" s="881">
        <f t="shared" si="12"/>
        <v>8179.9002911065363</v>
      </c>
      <c r="D215" s="881">
        <f t="shared" si="13"/>
        <v>3160.2153312115183</v>
      </c>
      <c r="E215" s="881">
        <f t="shared" si="14"/>
        <v>5019.6849598950175</v>
      </c>
      <c r="G215" s="881">
        <f t="shared" si="15"/>
        <v>606761.34359261149</v>
      </c>
    </row>
    <row r="216" spans="2:7" x14ac:dyDescent="0.3">
      <c r="B216" s="583">
        <v>207</v>
      </c>
      <c r="C216" s="881">
        <f t="shared" si="12"/>
        <v>8179.9002911065363</v>
      </c>
      <c r="D216" s="881">
        <f t="shared" si="13"/>
        <v>3134.071138712065</v>
      </c>
      <c r="E216" s="881">
        <f t="shared" si="14"/>
        <v>5045.8291523944717</v>
      </c>
      <c r="G216" s="881">
        <f t="shared" si="15"/>
        <v>601741.65863271651</v>
      </c>
    </row>
    <row r="217" spans="2:7" x14ac:dyDescent="0.3">
      <c r="B217" s="583">
        <v>208</v>
      </c>
      <c r="C217" s="881">
        <f t="shared" si="12"/>
        <v>8179.9002911065363</v>
      </c>
      <c r="D217" s="881">
        <f t="shared" si="13"/>
        <v>3107.790778543344</v>
      </c>
      <c r="E217" s="881">
        <f t="shared" si="14"/>
        <v>5072.1095125631928</v>
      </c>
      <c r="G217" s="881">
        <f t="shared" si="15"/>
        <v>596695.82948032208</v>
      </c>
    </row>
    <row r="218" spans="2:7" x14ac:dyDescent="0.3">
      <c r="B218" s="583">
        <v>209</v>
      </c>
      <c r="C218" s="881">
        <f t="shared" si="12"/>
        <v>8179.9002911065363</v>
      </c>
      <c r="D218" s="881">
        <f t="shared" si="13"/>
        <v>3081.3735414987441</v>
      </c>
      <c r="E218" s="881">
        <f t="shared" si="14"/>
        <v>5098.5267496077922</v>
      </c>
      <c r="G218" s="881">
        <f t="shared" si="15"/>
        <v>591623.71996775887</v>
      </c>
    </row>
    <row r="219" spans="2:7" x14ac:dyDescent="0.3">
      <c r="B219" s="583">
        <v>210</v>
      </c>
      <c r="C219" s="881">
        <f t="shared" si="12"/>
        <v>8179.9002911065363</v>
      </c>
      <c r="D219" s="881">
        <f t="shared" si="13"/>
        <v>3054.8187146778705</v>
      </c>
      <c r="E219" s="881">
        <f t="shared" si="14"/>
        <v>5125.0815764286654</v>
      </c>
      <c r="G219" s="881">
        <f t="shared" si="15"/>
        <v>586525.19321815111</v>
      </c>
    </row>
    <row r="220" spans="2:7" x14ac:dyDescent="0.3">
      <c r="B220" s="583">
        <v>211</v>
      </c>
      <c r="C220" s="881">
        <f t="shared" si="12"/>
        <v>8179.9002911065363</v>
      </c>
      <c r="D220" s="881">
        <f t="shared" si="13"/>
        <v>3028.1255814673045</v>
      </c>
      <c r="E220" s="881">
        <f t="shared" si="14"/>
        <v>5151.7747096392322</v>
      </c>
      <c r="G220" s="881">
        <f t="shared" si="15"/>
        <v>581400.1116417225</v>
      </c>
    </row>
    <row r="221" spans="2:7" x14ac:dyDescent="0.3">
      <c r="B221" s="583">
        <v>212</v>
      </c>
      <c r="C221" s="881">
        <f t="shared" si="12"/>
        <v>8179.9002911065363</v>
      </c>
      <c r="D221" s="881">
        <f t="shared" si="13"/>
        <v>3001.2934215212667</v>
      </c>
      <c r="E221" s="881">
        <f t="shared" si="14"/>
        <v>5178.60686958527</v>
      </c>
      <c r="G221" s="881">
        <f t="shared" si="15"/>
        <v>576248.33693208324</v>
      </c>
    </row>
    <row r="222" spans="2:7" x14ac:dyDescent="0.3">
      <c r="B222" s="583">
        <v>213</v>
      </c>
      <c r="C222" s="881">
        <f t="shared" si="12"/>
        <v>8179.9002911065363</v>
      </c>
      <c r="D222" s="881">
        <f t="shared" si="13"/>
        <v>2974.321510742177</v>
      </c>
      <c r="E222" s="881">
        <f t="shared" si="14"/>
        <v>5205.5787803643598</v>
      </c>
      <c r="G222" s="881">
        <f t="shared" si="15"/>
        <v>571069.73006249801</v>
      </c>
    </row>
    <row r="223" spans="2:7" x14ac:dyDescent="0.3">
      <c r="B223" s="583">
        <v>214</v>
      </c>
      <c r="C223" s="881">
        <f t="shared" si="12"/>
        <v>8179.9002911065363</v>
      </c>
      <c r="D223" s="881">
        <f t="shared" si="13"/>
        <v>2947.2091212611126</v>
      </c>
      <c r="E223" s="881">
        <f t="shared" si="14"/>
        <v>5232.6911698454242</v>
      </c>
      <c r="G223" s="881">
        <f t="shared" si="15"/>
        <v>565864.15128213365</v>
      </c>
    </row>
    <row r="224" spans="2:7" x14ac:dyDescent="0.3">
      <c r="B224" s="583">
        <v>215</v>
      </c>
      <c r="C224" s="881">
        <f t="shared" si="12"/>
        <v>8179.9002911065363</v>
      </c>
      <c r="D224" s="881">
        <f t="shared" si="13"/>
        <v>2919.9555214181678</v>
      </c>
      <c r="E224" s="881">
        <f t="shared" si="14"/>
        <v>5259.944769688369</v>
      </c>
      <c r="G224" s="881">
        <f t="shared" si="15"/>
        <v>560631.46011228824</v>
      </c>
    </row>
    <row r="225" spans="2:7" x14ac:dyDescent="0.3">
      <c r="B225" s="583">
        <v>216</v>
      </c>
      <c r="C225" s="881">
        <f t="shared" si="12"/>
        <v>8179.9002911065363</v>
      </c>
      <c r="D225" s="881">
        <f t="shared" si="13"/>
        <v>2892.5599757427076</v>
      </c>
      <c r="E225" s="881">
        <f t="shared" si="14"/>
        <v>5287.3403153638283</v>
      </c>
      <c r="G225" s="881">
        <f t="shared" si="15"/>
        <v>555371.51534259983</v>
      </c>
    </row>
    <row r="226" spans="2:7" x14ac:dyDescent="0.3">
      <c r="B226" s="583">
        <v>217</v>
      </c>
      <c r="C226" s="881">
        <f t="shared" si="12"/>
        <v>8179.9002911065363</v>
      </c>
      <c r="D226" s="881">
        <f t="shared" si="13"/>
        <v>2865.0217449335209</v>
      </c>
      <c r="E226" s="881">
        <f t="shared" si="14"/>
        <v>5314.8785461730149</v>
      </c>
      <c r="G226" s="881">
        <f t="shared" si="15"/>
        <v>550084.17502723599</v>
      </c>
    </row>
    <row r="227" spans="2:7" x14ac:dyDescent="0.3">
      <c r="B227" s="583">
        <v>218</v>
      </c>
      <c r="C227" s="881">
        <f t="shared" si="12"/>
        <v>8179.9002911065363</v>
      </c>
      <c r="D227" s="881">
        <f t="shared" si="13"/>
        <v>2837.34008583887</v>
      </c>
      <c r="E227" s="881">
        <f t="shared" si="14"/>
        <v>5342.5602052676659</v>
      </c>
      <c r="G227" s="881">
        <f t="shared" si="15"/>
        <v>544769.29648106301</v>
      </c>
    </row>
    <row r="228" spans="2:7" x14ac:dyDescent="0.3">
      <c r="B228" s="583">
        <v>219</v>
      </c>
      <c r="C228" s="881">
        <f t="shared" si="12"/>
        <v>8179.9002911065363</v>
      </c>
      <c r="D228" s="881">
        <f t="shared" si="13"/>
        <v>2809.5142514364343</v>
      </c>
      <c r="E228" s="881">
        <f t="shared" si="14"/>
        <v>5370.386039670102</v>
      </c>
      <c r="G228" s="881">
        <f t="shared" si="15"/>
        <v>539426.73627579538</v>
      </c>
    </row>
    <row r="229" spans="2:7" x14ac:dyDescent="0.3">
      <c r="B229" s="583">
        <v>220</v>
      </c>
      <c r="C229" s="881">
        <f t="shared" si="12"/>
        <v>8179.9002911065363</v>
      </c>
      <c r="D229" s="881">
        <f t="shared" si="13"/>
        <v>2781.5434908131524</v>
      </c>
      <c r="E229" s="881">
        <f t="shared" si="14"/>
        <v>5398.3568002933844</v>
      </c>
      <c r="G229" s="881">
        <f t="shared" si="15"/>
        <v>534056.35023612529</v>
      </c>
    </row>
    <row r="230" spans="2:7" x14ac:dyDescent="0.3">
      <c r="B230" s="583">
        <v>221</v>
      </c>
      <c r="C230" s="881">
        <f t="shared" si="12"/>
        <v>8179.9002911065363</v>
      </c>
      <c r="D230" s="881">
        <f t="shared" si="13"/>
        <v>2753.4270491449574</v>
      </c>
      <c r="E230" s="881">
        <f t="shared" si="14"/>
        <v>5426.4732419615793</v>
      </c>
      <c r="G230" s="881">
        <f t="shared" si="15"/>
        <v>528657.99343583186</v>
      </c>
    </row>
    <row r="231" spans="2:7" x14ac:dyDescent="0.3">
      <c r="B231" s="583">
        <v>222</v>
      </c>
      <c r="C231" s="881">
        <f t="shared" si="12"/>
        <v>8179.9002911065363</v>
      </c>
      <c r="D231" s="881">
        <f t="shared" si="13"/>
        <v>2725.1641676764079</v>
      </c>
      <c r="E231" s="881">
        <f t="shared" si="14"/>
        <v>5454.7361234301279</v>
      </c>
      <c r="G231" s="881">
        <f t="shared" si="15"/>
        <v>523231.5201938703</v>
      </c>
    </row>
    <row r="232" spans="2:7" x14ac:dyDescent="0.3">
      <c r="B232" s="583">
        <v>223</v>
      </c>
      <c r="C232" s="881">
        <f t="shared" si="12"/>
        <v>8179.9002911065363</v>
      </c>
      <c r="D232" s="881">
        <f t="shared" si="13"/>
        <v>2696.7540837002093</v>
      </c>
      <c r="E232" s="881">
        <f t="shared" si="14"/>
        <v>5483.1462074063274</v>
      </c>
      <c r="G232" s="881">
        <f t="shared" si="15"/>
        <v>517776.78407044016</v>
      </c>
    </row>
    <row r="233" spans="2:7" x14ac:dyDescent="0.3">
      <c r="B233" s="583">
        <v>224</v>
      </c>
      <c r="C233" s="881">
        <f t="shared" si="12"/>
        <v>8179.9002911065363</v>
      </c>
      <c r="D233" s="881">
        <f t="shared" si="13"/>
        <v>2668.1960305366347</v>
      </c>
      <c r="E233" s="881">
        <f t="shared" si="14"/>
        <v>5511.7042605699016</v>
      </c>
      <c r="G233" s="881">
        <f t="shared" si="15"/>
        <v>512293.63786303386</v>
      </c>
    </row>
    <row r="234" spans="2:7" x14ac:dyDescent="0.3">
      <c r="B234" s="583">
        <v>225</v>
      </c>
      <c r="C234" s="881">
        <f t="shared" si="12"/>
        <v>8179.9002911065363</v>
      </c>
      <c r="D234" s="881">
        <f t="shared" si="13"/>
        <v>2639.4892375128334</v>
      </c>
      <c r="E234" s="881">
        <f t="shared" si="14"/>
        <v>5540.4110535937034</v>
      </c>
      <c r="G234" s="881">
        <f t="shared" si="15"/>
        <v>506781.93360246398</v>
      </c>
    </row>
    <row r="235" spans="2:7" x14ac:dyDescent="0.3">
      <c r="B235" s="583">
        <v>226</v>
      </c>
      <c r="C235" s="881">
        <f t="shared" si="12"/>
        <v>8179.9002911065363</v>
      </c>
      <c r="D235" s="881">
        <f t="shared" si="13"/>
        <v>2610.6329299420327</v>
      </c>
      <c r="E235" s="881">
        <f t="shared" si="14"/>
        <v>5569.2673611645041</v>
      </c>
      <c r="G235" s="881">
        <f t="shared" si="15"/>
        <v>501241.5225488703</v>
      </c>
    </row>
    <row r="236" spans="2:7" x14ac:dyDescent="0.3">
      <c r="B236" s="583">
        <v>227</v>
      </c>
      <c r="C236" s="881">
        <f t="shared" si="12"/>
        <v>8179.9002911065363</v>
      </c>
      <c r="D236" s="881">
        <f t="shared" si="13"/>
        <v>2581.6263291026344</v>
      </c>
      <c r="E236" s="881">
        <f t="shared" si="14"/>
        <v>5598.2739620039019</v>
      </c>
      <c r="G236" s="881">
        <f t="shared" si="15"/>
        <v>495672.2551877058</v>
      </c>
    </row>
    <row r="237" spans="2:7" x14ac:dyDescent="0.3">
      <c r="B237" s="583">
        <v>228</v>
      </c>
      <c r="C237" s="881">
        <f t="shared" si="12"/>
        <v>8179.9002911065363</v>
      </c>
      <c r="D237" s="881">
        <f t="shared" si="13"/>
        <v>2552.4686522171974</v>
      </c>
      <c r="E237" s="881">
        <f t="shared" si="14"/>
        <v>5627.4316388893385</v>
      </c>
      <c r="G237" s="881">
        <f t="shared" si="15"/>
        <v>490073.98122570192</v>
      </c>
    </row>
    <row r="238" spans="2:7" x14ac:dyDescent="0.3">
      <c r="B238" s="583">
        <v>229</v>
      </c>
      <c r="C238" s="881">
        <f t="shared" si="12"/>
        <v>8179.9002911065363</v>
      </c>
      <c r="D238" s="881">
        <f t="shared" si="13"/>
        <v>2523.1591124313154</v>
      </c>
      <c r="E238" s="881">
        <f t="shared" si="14"/>
        <v>5656.7411786752209</v>
      </c>
      <c r="G238" s="881">
        <f t="shared" si="15"/>
        <v>484446.54958681256</v>
      </c>
    </row>
    <row r="239" spans="2:7" x14ac:dyDescent="0.3">
      <c r="B239" s="583">
        <v>230</v>
      </c>
      <c r="C239" s="881">
        <f t="shared" si="12"/>
        <v>8179.9002911065363</v>
      </c>
      <c r="D239" s="881">
        <f t="shared" si="13"/>
        <v>2493.6969187923819</v>
      </c>
      <c r="E239" s="881">
        <f t="shared" si="14"/>
        <v>5686.203372314154</v>
      </c>
      <c r="G239" s="881">
        <f t="shared" si="15"/>
        <v>478789.80840813735</v>
      </c>
    </row>
    <row r="240" spans="2:7" x14ac:dyDescent="0.3">
      <c r="B240" s="583">
        <v>231</v>
      </c>
      <c r="C240" s="881">
        <f t="shared" si="12"/>
        <v>8179.9002911065363</v>
      </c>
      <c r="D240" s="881">
        <f t="shared" si="13"/>
        <v>2464.0812762282458</v>
      </c>
      <c r="E240" s="881">
        <f t="shared" si="14"/>
        <v>5715.8190148782905</v>
      </c>
      <c r="G240" s="881">
        <f t="shared" si="15"/>
        <v>473103.60503582319</v>
      </c>
    </row>
    <row r="241" spans="2:7" x14ac:dyDescent="0.3">
      <c r="B241" s="583">
        <v>232</v>
      </c>
      <c r="C241" s="881">
        <f t="shared" si="12"/>
        <v>8179.9002911065363</v>
      </c>
      <c r="D241" s="881">
        <f t="shared" si="13"/>
        <v>2434.3113855257548</v>
      </c>
      <c r="E241" s="881">
        <f t="shared" si="14"/>
        <v>5745.588905580782</v>
      </c>
      <c r="G241" s="881">
        <f t="shared" si="15"/>
        <v>467387.78602094488</v>
      </c>
    </row>
    <row r="242" spans="2:7" x14ac:dyDescent="0.3">
      <c r="B242" s="583">
        <v>233</v>
      </c>
      <c r="C242" s="881">
        <f t="shared" si="12"/>
        <v>8179.9002911065363</v>
      </c>
      <c r="D242" s="881">
        <f t="shared" si="13"/>
        <v>2404.3864433091881</v>
      </c>
      <c r="E242" s="881">
        <f t="shared" si="14"/>
        <v>5775.5138477973487</v>
      </c>
      <c r="G242" s="881">
        <f t="shared" si="15"/>
        <v>461642.19711536408</v>
      </c>
    </row>
    <row r="243" spans="2:7" x14ac:dyDescent="0.3">
      <c r="B243" s="583">
        <v>234</v>
      </c>
      <c r="C243" s="881">
        <f t="shared" si="12"/>
        <v>8179.9002911065363</v>
      </c>
      <c r="D243" s="881">
        <f t="shared" si="13"/>
        <v>2374.3056420185767</v>
      </c>
      <c r="E243" s="881">
        <f t="shared" si="14"/>
        <v>5805.5946490879596</v>
      </c>
      <c r="G243" s="881">
        <f t="shared" si="15"/>
        <v>455866.68326756672</v>
      </c>
    </row>
    <row r="244" spans="2:7" x14ac:dyDescent="0.3">
      <c r="B244" s="583">
        <v>235</v>
      </c>
      <c r="C244" s="881">
        <f t="shared" si="12"/>
        <v>8179.9002911065363</v>
      </c>
      <c r="D244" s="881">
        <f t="shared" si="13"/>
        <v>2344.0681698879102</v>
      </c>
      <c r="E244" s="881">
        <f t="shared" si="14"/>
        <v>5835.8321212186256</v>
      </c>
      <c r="G244" s="881">
        <f t="shared" si="15"/>
        <v>450061.08861847874</v>
      </c>
    </row>
    <row r="245" spans="2:7" x14ac:dyDescent="0.3">
      <c r="B245" s="583">
        <v>236</v>
      </c>
      <c r="C245" s="881">
        <f t="shared" si="12"/>
        <v>8179.9002911065363</v>
      </c>
      <c r="D245" s="881">
        <f t="shared" si="13"/>
        <v>2313.6732109232298</v>
      </c>
      <c r="E245" s="881">
        <f t="shared" si="14"/>
        <v>5866.2270801833065</v>
      </c>
      <c r="G245" s="881">
        <f t="shared" si="15"/>
        <v>444225.25649726012</v>
      </c>
    </row>
    <row r="246" spans="2:7" x14ac:dyDescent="0.3">
      <c r="B246" s="583">
        <v>237</v>
      </c>
      <c r="C246" s="881">
        <f t="shared" si="12"/>
        <v>8179.9002911065363</v>
      </c>
      <c r="D246" s="881">
        <f t="shared" si="13"/>
        <v>2283.1199448806087</v>
      </c>
      <c r="E246" s="881">
        <f t="shared" si="14"/>
        <v>5896.7803462259271</v>
      </c>
      <c r="G246" s="881">
        <f t="shared" si="15"/>
        <v>438359.02941707685</v>
      </c>
    </row>
    <row r="247" spans="2:7" x14ac:dyDescent="0.3">
      <c r="B247" s="583">
        <v>238</v>
      </c>
      <c r="C247" s="881">
        <f t="shared" si="12"/>
        <v>8179.9002911065363</v>
      </c>
      <c r="D247" s="881">
        <f t="shared" si="13"/>
        <v>2252.4075472440149</v>
      </c>
      <c r="E247" s="881">
        <f t="shared" si="14"/>
        <v>5927.4927438625218</v>
      </c>
      <c r="G247" s="881">
        <f t="shared" si="15"/>
        <v>432462.2490708509</v>
      </c>
    </row>
    <row r="248" spans="2:7" x14ac:dyDescent="0.3">
      <c r="B248" s="583">
        <v>239</v>
      </c>
      <c r="C248" s="881">
        <f t="shared" si="12"/>
        <v>8179.9002911065363</v>
      </c>
      <c r="D248" s="881">
        <f t="shared" si="13"/>
        <v>2221.5351892030644</v>
      </c>
      <c r="E248" s="881">
        <f t="shared" si="14"/>
        <v>5958.3651019034714</v>
      </c>
      <c r="G248" s="881">
        <f t="shared" si="15"/>
        <v>426534.7563269884</v>
      </c>
    </row>
    <row r="249" spans="2:7" x14ac:dyDescent="0.3">
      <c r="B249" s="583">
        <v>240</v>
      </c>
      <c r="C249" s="881">
        <f t="shared" si="12"/>
        <v>8179.9002911065363</v>
      </c>
      <c r="D249" s="881">
        <f t="shared" si="13"/>
        <v>2190.5020376306506</v>
      </c>
      <c r="E249" s="881">
        <f t="shared" si="14"/>
        <v>5989.3982534758852</v>
      </c>
      <c r="G249" s="881">
        <f t="shared" si="15"/>
        <v>420576.39122508495</v>
      </c>
    </row>
    <row r="250" spans="2:7" x14ac:dyDescent="0.3">
      <c r="B250" s="583">
        <v>241</v>
      </c>
      <c r="C250" s="881">
        <f t="shared" si="12"/>
        <v>8179.9002911065363</v>
      </c>
      <c r="D250" s="881">
        <f t="shared" si="13"/>
        <v>2159.3072550604638</v>
      </c>
      <c r="E250" s="881">
        <f t="shared" si="14"/>
        <v>6020.5930360460725</v>
      </c>
      <c r="G250" s="881">
        <f t="shared" si="15"/>
        <v>414586.99297160906</v>
      </c>
    </row>
    <row r="251" spans="2:7" x14ac:dyDescent="0.3">
      <c r="B251" s="583">
        <v>242</v>
      </c>
      <c r="C251" s="881">
        <f t="shared" si="12"/>
        <v>8179.9002911065363</v>
      </c>
      <c r="D251" s="881">
        <f t="shared" si="13"/>
        <v>2127.9499996643904</v>
      </c>
      <c r="E251" s="881">
        <f t="shared" si="14"/>
        <v>6051.9502914421464</v>
      </c>
      <c r="G251" s="881">
        <f t="shared" si="15"/>
        <v>408566.39993556298</v>
      </c>
    </row>
    <row r="252" spans="2:7" x14ac:dyDescent="0.3">
      <c r="B252" s="583">
        <v>243</v>
      </c>
      <c r="C252" s="881">
        <f t="shared" si="12"/>
        <v>8179.9002911065363</v>
      </c>
      <c r="D252" s="881">
        <f t="shared" si="13"/>
        <v>2096.4294252297959</v>
      </c>
      <c r="E252" s="881">
        <f t="shared" si="14"/>
        <v>6083.4708658767404</v>
      </c>
      <c r="G252" s="881">
        <f t="shared" si="15"/>
        <v>402514.44964412082</v>
      </c>
    </row>
    <row r="253" spans="2:7" x14ac:dyDescent="0.3">
      <c r="B253" s="583">
        <v>244</v>
      </c>
      <c r="C253" s="881">
        <f t="shared" si="12"/>
        <v>8179.9002911065363</v>
      </c>
      <c r="D253" s="881">
        <f t="shared" si="13"/>
        <v>2064.7446811366876</v>
      </c>
      <c r="E253" s="881">
        <f t="shared" si="14"/>
        <v>6115.1556099698482</v>
      </c>
      <c r="G253" s="881">
        <f t="shared" si="15"/>
        <v>396430.97877824405</v>
      </c>
    </row>
    <row r="254" spans="2:7" x14ac:dyDescent="0.3">
      <c r="B254" s="583">
        <v>245</v>
      </c>
      <c r="C254" s="881">
        <f t="shared" si="12"/>
        <v>8179.9002911065363</v>
      </c>
      <c r="D254" s="881">
        <f t="shared" si="13"/>
        <v>2032.8949123347613</v>
      </c>
      <c r="E254" s="881">
        <f t="shared" si="14"/>
        <v>6147.0053787717752</v>
      </c>
      <c r="G254" s="881">
        <f t="shared" si="15"/>
        <v>390315.82316827419</v>
      </c>
    </row>
    <row r="255" spans="2:7" x14ac:dyDescent="0.3">
      <c r="B255" s="583">
        <v>246</v>
      </c>
      <c r="C255" s="881">
        <f t="shared" si="12"/>
        <v>8179.9002911065363</v>
      </c>
      <c r="D255" s="881">
        <f t="shared" si="13"/>
        <v>2000.8792593203252</v>
      </c>
      <c r="E255" s="881">
        <f t="shared" si="14"/>
        <v>6179.0210317862111</v>
      </c>
      <c r="G255" s="881">
        <f t="shared" si="15"/>
        <v>384168.81778950244</v>
      </c>
    </row>
    <row r="256" spans="2:7" x14ac:dyDescent="0.3">
      <c r="B256" s="583">
        <v>247</v>
      </c>
      <c r="C256" s="881">
        <f t="shared" si="12"/>
        <v>8179.9002911065363</v>
      </c>
      <c r="D256" s="881">
        <f t="shared" si="13"/>
        <v>1968.6968581131052</v>
      </c>
      <c r="E256" s="881">
        <f t="shared" si="14"/>
        <v>6211.2034329934313</v>
      </c>
      <c r="G256" s="881">
        <f t="shared" si="15"/>
        <v>377989.79675771622</v>
      </c>
    </row>
    <row r="257" spans="2:7" x14ac:dyDescent="0.3">
      <c r="B257" s="583">
        <v>248</v>
      </c>
      <c r="C257" s="881">
        <f t="shared" si="12"/>
        <v>8179.9002911065363</v>
      </c>
      <c r="D257" s="881">
        <f t="shared" si="13"/>
        <v>1936.3468402329311</v>
      </c>
      <c r="E257" s="881">
        <f t="shared" si="14"/>
        <v>6243.5534508736055</v>
      </c>
      <c r="G257" s="881">
        <f t="shared" si="15"/>
        <v>371778.59332472278</v>
      </c>
    </row>
    <row r="258" spans="2:7" x14ac:dyDescent="0.3">
      <c r="B258" s="583">
        <v>249</v>
      </c>
      <c r="C258" s="881">
        <f t="shared" si="12"/>
        <v>8179.9002911065363</v>
      </c>
      <c r="D258" s="881">
        <f t="shared" si="13"/>
        <v>1903.8283326762978</v>
      </c>
      <c r="E258" s="881">
        <f t="shared" si="14"/>
        <v>6276.0719584302387</v>
      </c>
      <c r="G258" s="881">
        <f t="shared" si="15"/>
        <v>365535.03987384919</v>
      </c>
    </row>
    <row r="259" spans="2:7" x14ac:dyDescent="0.3">
      <c r="B259" s="583">
        <v>250</v>
      </c>
      <c r="C259" s="881">
        <f t="shared" si="12"/>
        <v>8179.9002911065363</v>
      </c>
      <c r="D259" s="881">
        <f t="shared" si="13"/>
        <v>1871.140457892807</v>
      </c>
      <c r="E259" s="881">
        <f t="shared" si="14"/>
        <v>6308.7598332137295</v>
      </c>
      <c r="G259" s="881">
        <f t="shared" si="15"/>
        <v>359258.96791541897</v>
      </c>
    </row>
    <row r="260" spans="2:7" x14ac:dyDescent="0.3">
      <c r="B260" s="583">
        <v>251</v>
      </c>
      <c r="C260" s="881">
        <f t="shared" si="12"/>
        <v>8179.9002911065363</v>
      </c>
      <c r="D260" s="881">
        <f t="shared" si="13"/>
        <v>1838.2823337614855</v>
      </c>
      <c r="E260" s="881">
        <f t="shared" si="14"/>
        <v>6341.6179573450509</v>
      </c>
      <c r="G260" s="881">
        <f t="shared" si="15"/>
        <v>352950.20808220521</v>
      </c>
    </row>
    <row r="261" spans="2:7" x14ac:dyDescent="0.3">
      <c r="B261" s="583">
        <v>252</v>
      </c>
      <c r="C261" s="881">
        <f t="shared" si="12"/>
        <v>8179.9002911065363</v>
      </c>
      <c r="D261" s="881">
        <f t="shared" si="13"/>
        <v>1805.25307356698</v>
      </c>
      <c r="E261" s="881">
        <f t="shared" si="14"/>
        <v>6374.6472175395566</v>
      </c>
      <c r="G261" s="881">
        <f t="shared" si="15"/>
        <v>346608.59012486017</v>
      </c>
    </row>
    <row r="262" spans="2:7" x14ac:dyDescent="0.3">
      <c r="B262" s="583">
        <v>253</v>
      </c>
      <c r="C262" s="881">
        <f t="shared" si="12"/>
        <v>8179.9002911065363</v>
      </c>
      <c r="D262" s="881">
        <f t="shared" si="13"/>
        <v>1772.0517859756283</v>
      </c>
      <c r="E262" s="881">
        <f t="shared" si="14"/>
        <v>6407.8485051309081</v>
      </c>
      <c r="G262" s="881">
        <f t="shared" si="15"/>
        <v>340233.94290732063</v>
      </c>
    </row>
    <row r="263" spans="2:7" x14ac:dyDescent="0.3">
      <c r="B263" s="583">
        <v>254</v>
      </c>
      <c r="C263" s="881">
        <f t="shared" si="12"/>
        <v>8179.9002911065363</v>
      </c>
      <c r="D263" s="881">
        <f t="shared" si="13"/>
        <v>1738.6775750114048</v>
      </c>
      <c r="E263" s="881">
        <f t="shared" si="14"/>
        <v>6441.2227160951315</v>
      </c>
      <c r="G263" s="881">
        <f t="shared" si="15"/>
        <v>333826.09440218972</v>
      </c>
    </row>
    <row r="264" spans="2:7" x14ac:dyDescent="0.3">
      <c r="B264" s="583">
        <v>255</v>
      </c>
      <c r="C264" s="881">
        <f t="shared" si="12"/>
        <v>8179.9002911065363</v>
      </c>
      <c r="D264" s="881">
        <f t="shared" si="13"/>
        <v>1705.1295400317424</v>
      </c>
      <c r="E264" s="881">
        <f t="shared" si="14"/>
        <v>6474.7707510747941</v>
      </c>
      <c r="G264" s="881">
        <f t="shared" si="15"/>
        <v>327384.87168609456</v>
      </c>
    </row>
    <row r="265" spans="2:7" x14ac:dyDescent="0.3">
      <c r="B265" s="583">
        <v>256</v>
      </c>
      <c r="C265" s="881">
        <f t="shared" si="12"/>
        <v>8179.9002911065363</v>
      </c>
      <c r="D265" s="881">
        <f t="shared" si="13"/>
        <v>1671.406775703228</v>
      </c>
      <c r="E265" s="881">
        <f t="shared" si="14"/>
        <v>6508.4935154033083</v>
      </c>
      <c r="G265" s="881">
        <f t="shared" si="15"/>
        <v>320910.10093501979</v>
      </c>
    </row>
    <row r="266" spans="2:7" x14ac:dyDescent="0.3">
      <c r="B266" s="583">
        <v>257</v>
      </c>
      <c r="C266" s="881">
        <f t="shared" ref="C266:C329" si="16">IF($C$3&lt;G266+(G266*($C$4/$C$6)),$C$3,G266+(G266*($C$4/$C$6)))</f>
        <v>8179.9002911065363</v>
      </c>
      <c r="D266" s="881">
        <f t="shared" ref="D266:D329" si="17">G266*$C$4/$C$6</f>
        <v>1637.5083719771692</v>
      </c>
      <c r="E266" s="881">
        <f t="shared" ref="E266:E329" si="18">C266-D266</f>
        <v>6542.3919191293671</v>
      </c>
      <c r="G266" s="881">
        <f t="shared" si="15"/>
        <v>314401.60741961648</v>
      </c>
    </row>
    <row r="267" spans="2:7" x14ac:dyDescent="0.3">
      <c r="B267" s="583">
        <v>258</v>
      </c>
      <c r="C267" s="881">
        <f t="shared" si="16"/>
        <v>8179.9002911065363</v>
      </c>
      <c r="D267" s="881">
        <f t="shared" si="17"/>
        <v>1603.4334140650371</v>
      </c>
      <c r="E267" s="881">
        <f t="shared" si="18"/>
        <v>6576.4668770414992</v>
      </c>
      <c r="G267" s="881">
        <f t="shared" ref="G267:G330" si="19">G266-E266-F266</f>
        <v>307859.21550048713</v>
      </c>
    </row>
    <row r="268" spans="2:7" x14ac:dyDescent="0.3">
      <c r="B268" s="583">
        <v>259</v>
      </c>
      <c r="C268" s="881">
        <f t="shared" si="16"/>
        <v>8179.9002911065363</v>
      </c>
      <c r="D268" s="881">
        <f t="shared" si="17"/>
        <v>1569.1809824137792</v>
      </c>
      <c r="E268" s="881">
        <f t="shared" si="18"/>
        <v>6610.7193086927573</v>
      </c>
      <c r="G268" s="881">
        <f t="shared" si="19"/>
        <v>301282.74862344563</v>
      </c>
    </row>
    <row r="269" spans="2:7" x14ac:dyDescent="0.3">
      <c r="B269" s="583">
        <v>260</v>
      </c>
      <c r="C269" s="881">
        <f t="shared" si="16"/>
        <v>8179.9002911065363</v>
      </c>
      <c r="D269" s="881">
        <f t="shared" si="17"/>
        <v>1534.7501526810047</v>
      </c>
      <c r="E269" s="881">
        <f t="shared" si="18"/>
        <v>6645.1501384255316</v>
      </c>
      <c r="G269" s="881">
        <f t="shared" si="19"/>
        <v>294672.0293147529</v>
      </c>
    </row>
    <row r="270" spans="2:7" x14ac:dyDescent="0.3">
      <c r="B270" s="583">
        <v>261</v>
      </c>
      <c r="C270" s="881">
        <f t="shared" si="16"/>
        <v>8179.9002911065363</v>
      </c>
      <c r="D270" s="881">
        <f t="shared" si="17"/>
        <v>1500.1399957100384</v>
      </c>
      <c r="E270" s="881">
        <f t="shared" si="18"/>
        <v>6679.7602953964979</v>
      </c>
      <c r="G270" s="881">
        <f t="shared" si="19"/>
        <v>288026.87917632738</v>
      </c>
    </row>
    <row r="271" spans="2:7" x14ac:dyDescent="0.3">
      <c r="B271" s="583">
        <v>262</v>
      </c>
      <c r="C271" s="881">
        <f t="shared" si="16"/>
        <v>8179.9002911065363</v>
      </c>
      <c r="D271" s="881">
        <f t="shared" si="17"/>
        <v>1465.3495775048484</v>
      </c>
      <c r="E271" s="881">
        <f t="shared" si="18"/>
        <v>6714.5507136016877</v>
      </c>
      <c r="G271" s="881">
        <f t="shared" si="19"/>
        <v>281347.11888093088</v>
      </c>
    </row>
    <row r="272" spans="2:7" x14ac:dyDescent="0.3">
      <c r="B272" s="583">
        <v>263</v>
      </c>
      <c r="C272" s="881">
        <f t="shared" si="16"/>
        <v>8179.9002911065363</v>
      </c>
      <c r="D272" s="881">
        <f t="shared" si="17"/>
        <v>1430.3779592048395</v>
      </c>
      <c r="E272" s="881">
        <f t="shared" si="18"/>
        <v>6749.5223319016968</v>
      </c>
      <c r="G272" s="881">
        <f t="shared" si="19"/>
        <v>274632.56816732918</v>
      </c>
    </row>
    <row r="273" spans="2:7" x14ac:dyDescent="0.3">
      <c r="B273" s="583">
        <v>264</v>
      </c>
      <c r="C273" s="881">
        <f t="shared" si="16"/>
        <v>8179.9002911065363</v>
      </c>
      <c r="D273" s="881">
        <f t="shared" si="17"/>
        <v>1395.224197059518</v>
      </c>
      <c r="E273" s="881">
        <f t="shared" si="18"/>
        <v>6784.6760940470185</v>
      </c>
      <c r="G273" s="881">
        <f t="shared" si="19"/>
        <v>267883.04583542747</v>
      </c>
    </row>
    <row r="274" spans="2:7" x14ac:dyDescent="0.3">
      <c r="B274" s="583">
        <v>265</v>
      </c>
      <c r="C274" s="881">
        <f t="shared" si="16"/>
        <v>8179.9002911065363</v>
      </c>
      <c r="D274" s="881">
        <f t="shared" si="17"/>
        <v>1359.8873424030232</v>
      </c>
      <c r="E274" s="881">
        <f t="shared" si="18"/>
        <v>6820.0129487035128</v>
      </c>
      <c r="G274" s="881">
        <f t="shared" si="19"/>
        <v>261098.36974138045</v>
      </c>
    </row>
    <row r="275" spans="2:7" x14ac:dyDescent="0.3">
      <c r="B275" s="583">
        <v>266</v>
      </c>
      <c r="C275" s="881">
        <f t="shared" si="16"/>
        <v>8179.9002911065363</v>
      </c>
      <c r="D275" s="881">
        <f t="shared" si="17"/>
        <v>1324.3664416285258</v>
      </c>
      <c r="E275" s="881">
        <f t="shared" si="18"/>
        <v>6855.5338494780108</v>
      </c>
      <c r="G275" s="881">
        <f t="shared" si="19"/>
        <v>254278.35679267693</v>
      </c>
    </row>
    <row r="276" spans="2:7" x14ac:dyDescent="0.3">
      <c r="B276" s="583">
        <v>267</v>
      </c>
      <c r="C276" s="881">
        <f t="shared" si="16"/>
        <v>8179.9002911065363</v>
      </c>
      <c r="D276" s="881">
        <f t="shared" si="17"/>
        <v>1288.6605361624945</v>
      </c>
      <c r="E276" s="881">
        <f t="shared" si="18"/>
        <v>6891.239754944042</v>
      </c>
      <c r="G276" s="881">
        <f t="shared" si="19"/>
        <v>247422.82294319893</v>
      </c>
    </row>
    <row r="277" spans="2:7" x14ac:dyDescent="0.3">
      <c r="B277" s="583">
        <v>268</v>
      </c>
      <c r="C277" s="881">
        <f t="shared" si="16"/>
        <v>8179.9002911065363</v>
      </c>
      <c r="D277" s="881">
        <f t="shared" si="17"/>
        <v>1252.7686624388275</v>
      </c>
      <c r="E277" s="881">
        <f t="shared" si="18"/>
        <v>6927.1316286677084</v>
      </c>
      <c r="G277" s="881">
        <f t="shared" si="19"/>
        <v>240531.58318825488</v>
      </c>
    </row>
    <row r="278" spans="2:7" x14ac:dyDescent="0.3">
      <c r="B278" s="583">
        <v>269</v>
      </c>
      <c r="C278" s="881">
        <f t="shared" si="16"/>
        <v>8179.9002911065363</v>
      </c>
      <c r="D278" s="881">
        <f t="shared" si="17"/>
        <v>1216.6898518728499</v>
      </c>
      <c r="E278" s="881">
        <f t="shared" si="18"/>
        <v>6963.210439233686</v>
      </c>
      <c r="G278" s="881">
        <f t="shared" si="19"/>
        <v>233604.45155958718</v>
      </c>
    </row>
    <row r="279" spans="2:7" x14ac:dyDescent="0.3">
      <c r="B279" s="583">
        <v>270</v>
      </c>
      <c r="C279" s="881">
        <f t="shared" si="16"/>
        <v>8179.9002911065363</v>
      </c>
      <c r="D279" s="881">
        <f t="shared" si="17"/>
        <v>1180.4231308351743</v>
      </c>
      <c r="E279" s="881">
        <f t="shared" si="18"/>
        <v>6999.4771602713618</v>
      </c>
      <c r="G279" s="881">
        <f t="shared" si="19"/>
        <v>226641.24112035349</v>
      </c>
    </row>
    <row r="280" spans="2:7" x14ac:dyDescent="0.3">
      <c r="B280" s="583">
        <v>271</v>
      </c>
      <c r="C280" s="881">
        <f t="shared" si="16"/>
        <v>8179.9002911065363</v>
      </c>
      <c r="D280" s="881">
        <f t="shared" si="17"/>
        <v>1143.9675206254276</v>
      </c>
      <c r="E280" s="881">
        <f t="shared" si="18"/>
        <v>7035.9327704811085</v>
      </c>
      <c r="G280" s="881">
        <f t="shared" si="19"/>
        <v>219641.76396008211</v>
      </c>
    </row>
    <row r="281" spans="2:7" x14ac:dyDescent="0.3">
      <c r="B281" s="583">
        <v>272</v>
      </c>
      <c r="C281" s="881">
        <f t="shared" si="16"/>
        <v>8179.9002911065363</v>
      </c>
      <c r="D281" s="881">
        <f t="shared" si="17"/>
        <v>1107.3220374458385</v>
      </c>
      <c r="E281" s="881">
        <f t="shared" si="18"/>
        <v>7072.5782536606976</v>
      </c>
      <c r="G281" s="881">
        <f t="shared" si="19"/>
        <v>212605.83118960101</v>
      </c>
    </row>
    <row r="282" spans="2:7" x14ac:dyDescent="0.3">
      <c r="B282" s="583">
        <v>273</v>
      </c>
      <c r="C282" s="881">
        <f t="shared" si="16"/>
        <v>8179.9002911065363</v>
      </c>
      <c r="D282" s="881">
        <f t="shared" si="17"/>
        <v>1070.4856923746891</v>
      </c>
      <c r="E282" s="881">
        <f t="shared" si="18"/>
        <v>7109.414598731847</v>
      </c>
      <c r="G282" s="881">
        <f t="shared" si="19"/>
        <v>205533.25293594031</v>
      </c>
    </row>
    <row r="283" spans="2:7" x14ac:dyDescent="0.3">
      <c r="B283" s="583">
        <v>274</v>
      </c>
      <c r="C283" s="881">
        <f t="shared" si="16"/>
        <v>8179.9002911065363</v>
      </c>
      <c r="D283" s="881">
        <f t="shared" si="17"/>
        <v>1033.4574913396275</v>
      </c>
      <c r="E283" s="881">
        <f t="shared" si="18"/>
        <v>7146.442799766909</v>
      </c>
      <c r="G283" s="881">
        <f t="shared" si="19"/>
        <v>198423.83833720846</v>
      </c>
    </row>
    <row r="284" spans="2:7" x14ac:dyDescent="0.3">
      <c r="B284" s="583">
        <v>275</v>
      </c>
      <c r="C284" s="881">
        <f t="shared" si="16"/>
        <v>8179.9002911065363</v>
      </c>
      <c r="D284" s="881">
        <f t="shared" si="17"/>
        <v>996.2364350908415</v>
      </c>
      <c r="E284" s="881">
        <f t="shared" si="18"/>
        <v>7183.6638560156953</v>
      </c>
      <c r="G284" s="881">
        <f t="shared" si="19"/>
        <v>191277.39553744157</v>
      </c>
    </row>
    <row r="285" spans="2:7" x14ac:dyDescent="0.3">
      <c r="B285" s="583">
        <v>276</v>
      </c>
      <c r="C285" s="881">
        <f t="shared" si="16"/>
        <v>8179.9002911065363</v>
      </c>
      <c r="D285" s="881">
        <f t="shared" si="17"/>
        <v>958.82151917409317</v>
      </c>
      <c r="E285" s="881">
        <f t="shared" si="18"/>
        <v>7221.0787719324435</v>
      </c>
      <c r="G285" s="881">
        <f t="shared" si="19"/>
        <v>184093.73168142588</v>
      </c>
    </row>
    <row r="286" spans="2:7" x14ac:dyDescent="0.3">
      <c r="B286" s="583">
        <v>277</v>
      </c>
      <c r="C286" s="881">
        <f t="shared" si="16"/>
        <v>8179.9002911065363</v>
      </c>
      <c r="D286" s="881">
        <f t="shared" si="17"/>
        <v>921.21173390361162</v>
      </c>
      <c r="E286" s="881">
        <f t="shared" si="18"/>
        <v>7258.688557202925</v>
      </c>
      <c r="G286" s="881">
        <f t="shared" si="19"/>
        <v>176872.65290949342</v>
      </c>
    </row>
    <row r="287" spans="2:7" x14ac:dyDescent="0.3">
      <c r="B287" s="583">
        <v>278</v>
      </c>
      <c r="C287" s="881">
        <f t="shared" si="16"/>
        <v>8179.9002911065363</v>
      </c>
      <c r="D287" s="881">
        <f t="shared" si="17"/>
        <v>883.40606433484629</v>
      </c>
      <c r="E287" s="881">
        <f t="shared" si="18"/>
        <v>7296.4942267716897</v>
      </c>
      <c r="G287" s="881">
        <f t="shared" si="19"/>
        <v>169613.9643522905</v>
      </c>
    </row>
    <row r="288" spans="2:7" x14ac:dyDescent="0.3">
      <c r="B288" s="583">
        <v>279</v>
      </c>
      <c r="C288" s="881">
        <f t="shared" si="16"/>
        <v>8179.9002911065363</v>
      </c>
      <c r="D288" s="881">
        <f t="shared" si="17"/>
        <v>845.40349023707711</v>
      </c>
      <c r="E288" s="881">
        <f t="shared" si="18"/>
        <v>7334.4968008694595</v>
      </c>
      <c r="G288" s="881">
        <f t="shared" si="19"/>
        <v>162317.4701255188</v>
      </c>
    </row>
    <row r="289" spans="2:7" x14ac:dyDescent="0.3">
      <c r="B289" s="583">
        <v>280</v>
      </c>
      <c r="C289" s="881">
        <f t="shared" si="16"/>
        <v>8179.9002911065363</v>
      </c>
      <c r="D289" s="881">
        <f t="shared" si="17"/>
        <v>807.20298606588187</v>
      </c>
      <c r="E289" s="881">
        <f t="shared" si="18"/>
        <v>7372.6973050406541</v>
      </c>
      <c r="G289" s="881">
        <f t="shared" si="19"/>
        <v>154982.97332464933</v>
      </c>
    </row>
    <row r="290" spans="2:7" x14ac:dyDescent="0.3">
      <c r="B290" s="583">
        <v>281</v>
      </c>
      <c r="C290" s="881">
        <f t="shared" si="16"/>
        <v>8179.9002911065363</v>
      </c>
      <c r="D290" s="881">
        <f t="shared" si="17"/>
        <v>768.80352093546173</v>
      </c>
      <c r="E290" s="881">
        <f t="shared" si="18"/>
        <v>7411.0967701710742</v>
      </c>
      <c r="G290" s="881">
        <f t="shared" si="19"/>
        <v>147610.27601960866</v>
      </c>
    </row>
    <row r="291" spans="2:7" x14ac:dyDescent="0.3">
      <c r="B291" s="583">
        <v>282</v>
      </c>
      <c r="C291" s="881">
        <f t="shared" si="16"/>
        <v>8179.9002911065363</v>
      </c>
      <c r="D291" s="881">
        <f t="shared" si="17"/>
        <v>730.20405859082075</v>
      </c>
      <c r="E291" s="881">
        <f t="shared" si="18"/>
        <v>7449.6962325157156</v>
      </c>
      <c r="G291" s="881">
        <f t="shared" si="19"/>
        <v>140199.17924943758</v>
      </c>
    </row>
    <row r="292" spans="2:7" x14ac:dyDescent="0.3">
      <c r="B292" s="583">
        <v>283</v>
      </c>
      <c r="C292" s="881">
        <f t="shared" si="16"/>
        <v>8179.9002911065363</v>
      </c>
      <c r="D292" s="881">
        <f t="shared" si="17"/>
        <v>691.40355737980144</v>
      </c>
      <c r="E292" s="881">
        <f t="shared" si="18"/>
        <v>7488.4967337267353</v>
      </c>
      <c r="G292" s="881">
        <f t="shared" si="19"/>
        <v>132749.48301692188</v>
      </c>
    </row>
    <row r="293" spans="2:7" x14ac:dyDescent="0.3">
      <c r="B293" s="583">
        <v>284</v>
      </c>
      <c r="C293" s="881">
        <f t="shared" si="16"/>
        <v>8179.9002911065363</v>
      </c>
      <c r="D293" s="881">
        <f t="shared" si="17"/>
        <v>652.40097022497469</v>
      </c>
      <c r="E293" s="881">
        <f t="shared" si="18"/>
        <v>7527.4993208815613</v>
      </c>
      <c r="G293" s="881">
        <f t="shared" si="19"/>
        <v>125260.98628319515</v>
      </c>
    </row>
    <row r="294" spans="2:7" x14ac:dyDescent="0.3">
      <c r="B294" s="583">
        <v>285</v>
      </c>
      <c r="C294" s="881">
        <f t="shared" si="16"/>
        <v>8179.9002911065363</v>
      </c>
      <c r="D294" s="881">
        <f t="shared" si="17"/>
        <v>613.19524459538331</v>
      </c>
      <c r="E294" s="881">
        <f t="shared" si="18"/>
        <v>7566.7050465111533</v>
      </c>
      <c r="G294" s="881">
        <f t="shared" si="19"/>
        <v>117733.48696231359</v>
      </c>
    </row>
    <row r="295" spans="2:7" x14ac:dyDescent="0.3">
      <c r="B295" s="583">
        <v>286</v>
      </c>
      <c r="C295" s="881">
        <f t="shared" si="16"/>
        <v>8179.9002911065363</v>
      </c>
      <c r="D295" s="881">
        <f t="shared" si="17"/>
        <v>573.78532247813769</v>
      </c>
      <c r="E295" s="881">
        <f t="shared" si="18"/>
        <v>7606.1149686283989</v>
      </c>
      <c r="G295" s="881">
        <f t="shared" si="19"/>
        <v>110166.78191580244</v>
      </c>
    </row>
    <row r="296" spans="2:7" x14ac:dyDescent="0.3">
      <c r="B296" s="583">
        <v>287</v>
      </c>
      <c r="C296" s="881">
        <f t="shared" si="16"/>
        <v>8179.9002911065363</v>
      </c>
      <c r="D296" s="881">
        <f t="shared" si="17"/>
        <v>534.17014034986471</v>
      </c>
      <c r="E296" s="881">
        <f t="shared" si="18"/>
        <v>7645.7301507566717</v>
      </c>
      <c r="G296" s="881">
        <f t="shared" si="19"/>
        <v>102560.66694717403</v>
      </c>
    </row>
    <row r="297" spans="2:7" x14ac:dyDescent="0.3">
      <c r="B297" s="583">
        <v>288</v>
      </c>
      <c r="C297" s="881">
        <f t="shared" si="16"/>
        <v>8179.9002911065363</v>
      </c>
      <c r="D297" s="881">
        <f t="shared" si="17"/>
        <v>494.34862914800709</v>
      </c>
      <c r="E297" s="881">
        <f t="shared" si="18"/>
        <v>7685.5516619585296</v>
      </c>
      <c r="G297" s="881">
        <f t="shared" si="19"/>
        <v>94914.936796417358</v>
      </c>
    </row>
    <row r="298" spans="2:7" x14ac:dyDescent="0.3">
      <c r="B298" s="583">
        <v>289</v>
      </c>
      <c r="C298" s="881">
        <f t="shared" si="16"/>
        <v>8179.9002911065363</v>
      </c>
      <c r="D298" s="881">
        <f t="shared" si="17"/>
        <v>454.31971424197309</v>
      </c>
      <c r="E298" s="881">
        <f t="shared" si="18"/>
        <v>7725.5805768645632</v>
      </c>
      <c r="G298" s="881">
        <f t="shared" si="19"/>
        <v>87229.385134458833</v>
      </c>
    </row>
    <row r="299" spans="2:7" x14ac:dyDescent="0.3">
      <c r="B299" s="583">
        <v>290</v>
      </c>
      <c r="C299" s="881">
        <f t="shared" si="16"/>
        <v>8179.9002911065363</v>
      </c>
      <c r="D299" s="881">
        <f t="shared" si="17"/>
        <v>414.08231540413681</v>
      </c>
      <c r="E299" s="881">
        <f t="shared" si="18"/>
        <v>7765.8179757023991</v>
      </c>
      <c r="G299" s="881">
        <f t="shared" si="19"/>
        <v>79503.804557594267</v>
      </c>
    </row>
    <row r="300" spans="2:7" x14ac:dyDescent="0.3">
      <c r="B300" s="583">
        <v>291</v>
      </c>
      <c r="C300" s="881">
        <f t="shared" si="16"/>
        <v>8179.9002911065363</v>
      </c>
      <c r="D300" s="881">
        <f t="shared" si="17"/>
        <v>373.6353467806868</v>
      </c>
      <c r="E300" s="881">
        <f t="shared" si="18"/>
        <v>7806.2649443258497</v>
      </c>
      <c r="G300" s="881">
        <f t="shared" si="19"/>
        <v>71737.986581891862</v>
      </c>
    </row>
    <row r="301" spans="2:7" x14ac:dyDescent="0.3">
      <c r="B301" s="583">
        <v>292</v>
      </c>
      <c r="C301" s="881">
        <f t="shared" si="16"/>
        <v>8179.9002911065363</v>
      </c>
      <c r="D301" s="881">
        <f t="shared" si="17"/>
        <v>332.97771686232301</v>
      </c>
      <c r="E301" s="881">
        <f t="shared" si="18"/>
        <v>7846.9225742442131</v>
      </c>
      <c r="G301" s="881">
        <f t="shared" si="19"/>
        <v>63931.721637566014</v>
      </c>
    </row>
    <row r="302" spans="2:7" x14ac:dyDescent="0.3">
      <c r="B302" s="583">
        <v>293</v>
      </c>
      <c r="C302" s="881">
        <f t="shared" si="16"/>
        <v>8179.9002911065363</v>
      </c>
      <c r="D302" s="881">
        <f t="shared" si="17"/>
        <v>292.10832845480104</v>
      </c>
      <c r="E302" s="881">
        <f t="shared" si="18"/>
        <v>7887.791962651735</v>
      </c>
      <c r="G302" s="881">
        <f t="shared" si="19"/>
        <v>56084.7990633218</v>
      </c>
    </row>
    <row r="303" spans="2:7" x14ac:dyDescent="0.3">
      <c r="B303" s="583">
        <v>294</v>
      </c>
      <c r="C303" s="881">
        <f t="shared" si="16"/>
        <v>8179.9002911065363</v>
      </c>
      <c r="D303" s="881">
        <f t="shared" si="17"/>
        <v>251.02607864932327</v>
      </c>
      <c r="E303" s="881">
        <f t="shared" si="18"/>
        <v>7928.8742124572127</v>
      </c>
      <c r="G303" s="881">
        <f t="shared" si="19"/>
        <v>48197.007100670067</v>
      </c>
    </row>
    <row r="304" spans="2:7" x14ac:dyDescent="0.3">
      <c r="B304" s="583">
        <v>295</v>
      </c>
      <c r="C304" s="881">
        <f t="shared" si="16"/>
        <v>8179.9002911065363</v>
      </c>
      <c r="D304" s="881">
        <f t="shared" si="17"/>
        <v>209.7298587927753</v>
      </c>
      <c r="E304" s="881">
        <f t="shared" si="18"/>
        <v>7970.170432313761</v>
      </c>
      <c r="G304" s="881">
        <f t="shared" si="19"/>
        <v>40268.132888212858</v>
      </c>
    </row>
    <row r="305" spans="2:7" x14ac:dyDescent="0.3">
      <c r="B305" s="583">
        <v>296</v>
      </c>
      <c r="C305" s="881">
        <f t="shared" si="16"/>
        <v>8179.9002911065363</v>
      </c>
      <c r="D305" s="881">
        <f t="shared" si="17"/>
        <v>168.21855445780781</v>
      </c>
      <c r="E305" s="881">
        <f t="shared" si="18"/>
        <v>8011.6817366487285</v>
      </c>
      <c r="G305" s="881">
        <f t="shared" si="19"/>
        <v>32297.962455899098</v>
      </c>
    </row>
    <row r="306" spans="2:7" x14ac:dyDescent="0.3">
      <c r="B306" s="583">
        <v>297</v>
      </c>
      <c r="C306" s="881">
        <f t="shared" si="16"/>
        <v>8179.9002911065363</v>
      </c>
      <c r="D306" s="881">
        <f t="shared" si="17"/>
        <v>126.49104541276233</v>
      </c>
      <c r="E306" s="881">
        <f t="shared" si="18"/>
        <v>8053.4092456937742</v>
      </c>
      <c r="G306" s="881">
        <f t="shared" si="19"/>
        <v>24286.280719250368</v>
      </c>
    </row>
    <row r="307" spans="2:7" x14ac:dyDescent="0.3">
      <c r="B307" s="583">
        <v>298</v>
      </c>
      <c r="C307" s="881">
        <f t="shared" si="16"/>
        <v>8179.9002911065363</v>
      </c>
      <c r="D307" s="881">
        <f t="shared" si="17"/>
        <v>84.546205591440597</v>
      </c>
      <c r="E307" s="881">
        <f t="shared" si="18"/>
        <v>8095.3540855150959</v>
      </c>
      <c r="G307" s="881">
        <f t="shared" si="19"/>
        <v>16232.871473556594</v>
      </c>
    </row>
    <row r="308" spans="2:7" x14ac:dyDescent="0.3">
      <c r="B308" s="583">
        <v>299</v>
      </c>
      <c r="C308" s="881">
        <f t="shared" si="16"/>
        <v>8179.9002911042135</v>
      </c>
      <c r="D308" s="881">
        <f t="shared" si="17"/>
        <v>42.382903062716132</v>
      </c>
      <c r="E308" s="881">
        <f t="shared" si="18"/>
        <v>8137.5173880414977</v>
      </c>
      <c r="G308" s="881">
        <f t="shared" si="19"/>
        <v>8137.5173880414977</v>
      </c>
    </row>
    <row r="309" spans="2:7" x14ac:dyDescent="0.3">
      <c r="B309" s="583">
        <v>300</v>
      </c>
      <c r="C309" s="881">
        <f t="shared" si="16"/>
        <v>0</v>
      </c>
      <c r="D309" s="881">
        <f t="shared" si="17"/>
        <v>0</v>
      </c>
      <c r="E309" s="881">
        <f t="shared" si="18"/>
        <v>0</v>
      </c>
      <c r="G309" s="881">
        <f t="shared" si="19"/>
        <v>0</v>
      </c>
    </row>
    <row r="310" spans="2:7" x14ac:dyDescent="0.3">
      <c r="B310" s="583">
        <v>301</v>
      </c>
      <c r="C310" s="881">
        <f t="shared" si="16"/>
        <v>0</v>
      </c>
      <c r="D310" s="881">
        <f t="shared" si="17"/>
        <v>0</v>
      </c>
      <c r="E310" s="881">
        <f t="shared" si="18"/>
        <v>0</v>
      </c>
      <c r="G310" s="881">
        <f t="shared" si="19"/>
        <v>0</v>
      </c>
    </row>
    <row r="311" spans="2:7" x14ac:dyDescent="0.3">
      <c r="B311" s="583">
        <v>302</v>
      </c>
      <c r="C311" s="881">
        <f t="shared" si="16"/>
        <v>0</v>
      </c>
      <c r="D311" s="881">
        <f t="shared" si="17"/>
        <v>0</v>
      </c>
      <c r="E311" s="881">
        <f t="shared" si="18"/>
        <v>0</v>
      </c>
      <c r="G311" s="881">
        <f t="shared" si="19"/>
        <v>0</v>
      </c>
    </row>
    <row r="312" spans="2:7" x14ac:dyDescent="0.3">
      <c r="B312" s="583">
        <v>303</v>
      </c>
      <c r="C312" s="881">
        <f t="shared" si="16"/>
        <v>0</v>
      </c>
      <c r="D312" s="881">
        <f t="shared" si="17"/>
        <v>0</v>
      </c>
      <c r="E312" s="881">
        <f t="shared" si="18"/>
        <v>0</v>
      </c>
      <c r="G312" s="881">
        <f t="shared" si="19"/>
        <v>0</v>
      </c>
    </row>
    <row r="313" spans="2:7" x14ac:dyDescent="0.3">
      <c r="B313" s="583">
        <v>304</v>
      </c>
      <c r="C313" s="881">
        <f t="shared" si="16"/>
        <v>0</v>
      </c>
      <c r="D313" s="881">
        <f t="shared" si="17"/>
        <v>0</v>
      </c>
      <c r="E313" s="881">
        <f t="shared" si="18"/>
        <v>0</v>
      </c>
      <c r="G313" s="881">
        <f t="shared" si="19"/>
        <v>0</v>
      </c>
    </row>
    <row r="314" spans="2:7" x14ac:dyDescent="0.3">
      <c r="B314" s="583">
        <v>305</v>
      </c>
      <c r="C314" s="881">
        <f t="shared" si="16"/>
        <v>0</v>
      </c>
      <c r="D314" s="881">
        <f t="shared" si="17"/>
        <v>0</v>
      </c>
      <c r="E314" s="881">
        <f t="shared" si="18"/>
        <v>0</v>
      </c>
      <c r="G314" s="881">
        <f t="shared" si="19"/>
        <v>0</v>
      </c>
    </row>
    <row r="315" spans="2:7" x14ac:dyDescent="0.3">
      <c r="B315" s="583">
        <v>306</v>
      </c>
      <c r="C315" s="881">
        <f t="shared" si="16"/>
        <v>0</v>
      </c>
      <c r="D315" s="881">
        <f t="shared" si="17"/>
        <v>0</v>
      </c>
      <c r="E315" s="881">
        <f t="shared" si="18"/>
        <v>0</v>
      </c>
      <c r="G315" s="881">
        <f t="shared" si="19"/>
        <v>0</v>
      </c>
    </row>
    <row r="316" spans="2:7" x14ac:dyDescent="0.3">
      <c r="B316" s="583">
        <v>307</v>
      </c>
      <c r="C316" s="881">
        <f t="shared" si="16"/>
        <v>0</v>
      </c>
      <c r="D316" s="881">
        <f t="shared" si="17"/>
        <v>0</v>
      </c>
      <c r="E316" s="881">
        <f t="shared" si="18"/>
        <v>0</v>
      </c>
      <c r="G316" s="881">
        <f t="shared" si="19"/>
        <v>0</v>
      </c>
    </row>
    <row r="317" spans="2:7" x14ac:dyDescent="0.3">
      <c r="B317" s="583">
        <v>308</v>
      </c>
      <c r="C317" s="881">
        <f t="shared" si="16"/>
        <v>0</v>
      </c>
      <c r="D317" s="881">
        <f t="shared" si="17"/>
        <v>0</v>
      </c>
      <c r="E317" s="881">
        <f t="shared" si="18"/>
        <v>0</v>
      </c>
      <c r="G317" s="881">
        <f t="shared" si="19"/>
        <v>0</v>
      </c>
    </row>
    <row r="318" spans="2:7" x14ac:dyDescent="0.3">
      <c r="B318" s="583">
        <v>309</v>
      </c>
      <c r="C318" s="881">
        <f t="shared" si="16"/>
        <v>0</v>
      </c>
      <c r="D318" s="881">
        <f t="shared" si="17"/>
        <v>0</v>
      </c>
      <c r="E318" s="881">
        <f t="shared" si="18"/>
        <v>0</v>
      </c>
      <c r="G318" s="881">
        <f t="shared" si="19"/>
        <v>0</v>
      </c>
    </row>
    <row r="319" spans="2:7" x14ac:dyDescent="0.3">
      <c r="B319" s="583">
        <v>310</v>
      </c>
      <c r="C319" s="881">
        <f t="shared" si="16"/>
        <v>0</v>
      </c>
      <c r="D319" s="881">
        <f t="shared" si="17"/>
        <v>0</v>
      </c>
      <c r="E319" s="881">
        <f t="shared" si="18"/>
        <v>0</v>
      </c>
      <c r="G319" s="881">
        <f t="shared" si="19"/>
        <v>0</v>
      </c>
    </row>
    <row r="320" spans="2:7" x14ac:dyDescent="0.3">
      <c r="B320" s="583">
        <v>311</v>
      </c>
      <c r="C320" s="881">
        <f t="shared" si="16"/>
        <v>0</v>
      </c>
      <c r="D320" s="881">
        <f t="shared" si="17"/>
        <v>0</v>
      </c>
      <c r="E320" s="881">
        <f t="shared" si="18"/>
        <v>0</v>
      </c>
      <c r="G320" s="881">
        <f t="shared" si="19"/>
        <v>0</v>
      </c>
    </row>
    <row r="321" spans="2:7" x14ac:dyDescent="0.3">
      <c r="B321" s="583">
        <v>312</v>
      </c>
      <c r="C321" s="881">
        <f t="shared" si="16"/>
        <v>0</v>
      </c>
      <c r="D321" s="881">
        <f t="shared" si="17"/>
        <v>0</v>
      </c>
      <c r="E321" s="881">
        <f t="shared" si="18"/>
        <v>0</v>
      </c>
      <c r="G321" s="881">
        <f t="shared" si="19"/>
        <v>0</v>
      </c>
    </row>
    <row r="322" spans="2:7" x14ac:dyDescent="0.3">
      <c r="B322" s="583">
        <v>313</v>
      </c>
      <c r="C322" s="881">
        <f t="shared" si="16"/>
        <v>0</v>
      </c>
      <c r="D322" s="881">
        <f t="shared" si="17"/>
        <v>0</v>
      </c>
      <c r="E322" s="881">
        <f t="shared" si="18"/>
        <v>0</v>
      </c>
      <c r="G322" s="881">
        <f t="shared" si="19"/>
        <v>0</v>
      </c>
    </row>
    <row r="323" spans="2:7" x14ac:dyDescent="0.3">
      <c r="B323" s="583">
        <v>314</v>
      </c>
      <c r="C323" s="881">
        <f t="shared" si="16"/>
        <v>0</v>
      </c>
      <c r="D323" s="881">
        <f t="shared" si="17"/>
        <v>0</v>
      </c>
      <c r="E323" s="881">
        <f t="shared" si="18"/>
        <v>0</v>
      </c>
      <c r="G323" s="881">
        <f t="shared" si="19"/>
        <v>0</v>
      </c>
    </row>
    <row r="324" spans="2:7" x14ac:dyDescent="0.3">
      <c r="B324" s="583">
        <v>315</v>
      </c>
      <c r="C324" s="881">
        <f t="shared" si="16"/>
        <v>0</v>
      </c>
      <c r="D324" s="881">
        <f t="shared" si="17"/>
        <v>0</v>
      </c>
      <c r="E324" s="881">
        <f t="shared" si="18"/>
        <v>0</v>
      </c>
      <c r="G324" s="881">
        <f t="shared" si="19"/>
        <v>0</v>
      </c>
    </row>
    <row r="325" spans="2:7" x14ac:dyDescent="0.3">
      <c r="B325" s="583">
        <v>316</v>
      </c>
      <c r="C325" s="881">
        <f t="shared" si="16"/>
        <v>0</v>
      </c>
      <c r="D325" s="881">
        <f t="shared" si="17"/>
        <v>0</v>
      </c>
      <c r="E325" s="881">
        <f t="shared" si="18"/>
        <v>0</v>
      </c>
      <c r="G325" s="881">
        <f t="shared" si="19"/>
        <v>0</v>
      </c>
    </row>
    <row r="326" spans="2:7" x14ac:dyDescent="0.3">
      <c r="B326" s="583">
        <v>317</v>
      </c>
      <c r="C326" s="881">
        <f t="shared" si="16"/>
        <v>0</v>
      </c>
      <c r="D326" s="881">
        <f t="shared" si="17"/>
        <v>0</v>
      </c>
      <c r="E326" s="881">
        <f t="shared" si="18"/>
        <v>0</v>
      </c>
      <c r="G326" s="881">
        <f t="shared" si="19"/>
        <v>0</v>
      </c>
    </row>
    <row r="327" spans="2:7" x14ac:dyDescent="0.3">
      <c r="B327" s="583">
        <v>318</v>
      </c>
      <c r="C327" s="881">
        <f t="shared" si="16"/>
        <v>0</v>
      </c>
      <c r="D327" s="881">
        <f t="shared" si="17"/>
        <v>0</v>
      </c>
      <c r="E327" s="881">
        <f t="shared" si="18"/>
        <v>0</v>
      </c>
      <c r="G327" s="881">
        <f t="shared" si="19"/>
        <v>0</v>
      </c>
    </row>
    <row r="328" spans="2:7" x14ac:dyDescent="0.3">
      <c r="B328" s="583">
        <v>319</v>
      </c>
      <c r="C328" s="881">
        <f t="shared" si="16"/>
        <v>0</v>
      </c>
      <c r="D328" s="881">
        <f t="shared" si="17"/>
        <v>0</v>
      </c>
      <c r="E328" s="881">
        <f t="shared" si="18"/>
        <v>0</v>
      </c>
      <c r="G328" s="881">
        <f t="shared" si="19"/>
        <v>0</v>
      </c>
    </row>
    <row r="329" spans="2:7" x14ac:dyDescent="0.3">
      <c r="B329" s="583">
        <v>320</v>
      </c>
      <c r="C329" s="881">
        <f t="shared" si="16"/>
        <v>0</v>
      </c>
      <c r="D329" s="881">
        <f t="shared" si="17"/>
        <v>0</v>
      </c>
      <c r="E329" s="881">
        <f t="shared" si="18"/>
        <v>0</v>
      </c>
      <c r="G329" s="881">
        <f t="shared" si="19"/>
        <v>0</v>
      </c>
    </row>
    <row r="330" spans="2:7" x14ac:dyDescent="0.3">
      <c r="B330" s="583">
        <v>321</v>
      </c>
      <c r="C330" s="881">
        <f t="shared" ref="C330:C371" si="20">IF($C$3&lt;G330+(G330*($C$4/$C$6)),$C$3,G330+(G330*($C$4/$C$6)))</f>
        <v>0</v>
      </c>
      <c r="D330" s="881">
        <f t="shared" ref="D330:D371" si="21">G330*$C$4/$C$6</f>
        <v>0</v>
      </c>
      <c r="E330" s="881">
        <f t="shared" ref="E330:E371" si="22">C330-D330</f>
        <v>0</v>
      </c>
      <c r="G330" s="881">
        <f t="shared" si="19"/>
        <v>0</v>
      </c>
    </row>
    <row r="331" spans="2:7" x14ac:dyDescent="0.3">
      <c r="B331" s="583">
        <v>322</v>
      </c>
      <c r="C331" s="881">
        <f t="shared" si="20"/>
        <v>0</v>
      </c>
      <c r="D331" s="881">
        <f t="shared" si="21"/>
        <v>0</v>
      </c>
      <c r="E331" s="881">
        <f t="shared" si="22"/>
        <v>0</v>
      </c>
      <c r="G331" s="881">
        <f t="shared" ref="G331:G371" si="23">G330-E330-F330</f>
        <v>0</v>
      </c>
    </row>
    <row r="332" spans="2:7" x14ac:dyDescent="0.3">
      <c r="B332" s="583">
        <v>323</v>
      </c>
      <c r="C332" s="881">
        <f t="shared" si="20"/>
        <v>0</v>
      </c>
      <c r="D332" s="881">
        <f t="shared" si="21"/>
        <v>0</v>
      </c>
      <c r="E332" s="881">
        <f t="shared" si="22"/>
        <v>0</v>
      </c>
      <c r="G332" s="881">
        <f t="shared" si="23"/>
        <v>0</v>
      </c>
    </row>
    <row r="333" spans="2:7" x14ac:dyDescent="0.3">
      <c r="B333" s="583">
        <v>324</v>
      </c>
      <c r="C333" s="881">
        <f t="shared" si="20"/>
        <v>0</v>
      </c>
      <c r="D333" s="881">
        <f t="shared" si="21"/>
        <v>0</v>
      </c>
      <c r="E333" s="881">
        <f t="shared" si="22"/>
        <v>0</v>
      </c>
      <c r="G333" s="881">
        <f t="shared" si="23"/>
        <v>0</v>
      </c>
    </row>
    <row r="334" spans="2:7" x14ac:dyDescent="0.3">
      <c r="B334" s="583">
        <v>325</v>
      </c>
      <c r="C334" s="881">
        <f t="shared" si="20"/>
        <v>0</v>
      </c>
      <c r="D334" s="881">
        <f t="shared" si="21"/>
        <v>0</v>
      </c>
      <c r="E334" s="881">
        <f t="shared" si="22"/>
        <v>0</v>
      </c>
      <c r="G334" s="881">
        <f t="shared" si="23"/>
        <v>0</v>
      </c>
    </row>
    <row r="335" spans="2:7" x14ac:dyDescent="0.3">
      <c r="B335" s="583">
        <v>326</v>
      </c>
      <c r="C335" s="881">
        <f t="shared" si="20"/>
        <v>0</v>
      </c>
      <c r="D335" s="881">
        <f t="shared" si="21"/>
        <v>0</v>
      </c>
      <c r="E335" s="881">
        <f t="shared" si="22"/>
        <v>0</v>
      </c>
      <c r="G335" s="881">
        <f t="shared" si="23"/>
        <v>0</v>
      </c>
    </row>
    <row r="336" spans="2:7" x14ac:dyDescent="0.3">
      <c r="B336" s="583">
        <v>327</v>
      </c>
      <c r="C336" s="881">
        <f t="shared" si="20"/>
        <v>0</v>
      </c>
      <c r="D336" s="881">
        <f t="shared" si="21"/>
        <v>0</v>
      </c>
      <c r="E336" s="881">
        <f t="shared" si="22"/>
        <v>0</v>
      </c>
      <c r="G336" s="881">
        <f t="shared" si="23"/>
        <v>0</v>
      </c>
    </row>
    <row r="337" spans="2:7" x14ac:dyDescent="0.3">
      <c r="B337" s="583">
        <v>328</v>
      </c>
      <c r="C337" s="881">
        <f t="shared" si="20"/>
        <v>0</v>
      </c>
      <c r="D337" s="881">
        <f t="shared" si="21"/>
        <v>0</v>
      </c>
      <c r="E337" s="881">
        <f t="shared" si="22"/>
        <v>0</v>
      </c>
      <c r="G337" s="881">
        <f t="shared" si="23"/>
        <v>0</v>
      </c>
    </row>
    <row r="338" spans="2:7" x14ac:dyDescent="0.3">
      <c r="B338" s="583">
        <v>329</v>
      </c>
      <c r="C338" s="881">
        <f t="shared" si="20"/>
        <v>0</v>
      </c>
      <c r="D338" s="881">
        <f t="shared" si="21"/>
        <v>0</v>
      </c>
      <c r="E338" s="881">
        <f t="shared" si="22"/>
        <v>0</v>
      </c>
      <c r="G338" s="881">
        <f t="shared" si="23"/>
        <v>0</v>
      </c>
    </row>
    <row r="339" spans="2:7" x14ac:dyDescent="0.3">
      <c r="B339" s="583">
        <v>330</v>
      </c>
      <c r="C339" s="881">
        <f t="shared" si="20"/>
        <v>0</v>
      </c>
      <c r="D339" s="881">
        <f t="shared" si="21"/>
        <v>0</v>
      </c>
      <c r="E339" s="881">
        <f t="shared" si="22"/>
        <v>0</v>
      </c>
      <c r="G339" s="881">
        <f t="shared" si="23"/>
        <v>0</v>
      </c>
    </row>
    <row r="340" spans="2:7" x14ac:dyDescent="0.3">
      <c r="B340" s="583">
        <v>331</v>
      </c>
      <c r="C340" s="881">
        <f t="shared" si="20"/>
        <v>0</v>
      </c>
      <c r="D340" s="881">
        <f t="shared" si="21"/>
        <v>0</v>
      </c>
      <c r="E340" s="881">
        <f t="shared" si="22"/>
        <v>0</v>
      </c>
      <c r="G340" s="881">
        <f t="shared" si="23"/>
        <v>0</v>
      </c>
    </row>
    <row r="341" spans="2:7" x14ac:dyDescent="0.3">
      <c r="B341" s="583">
        <v>332</v>
      </c>
      <c r="C341" s="881">
        <f t="shared" si="20"/>
        <v>0</v>
      </c>
      <c r="D341" s="881">
        <f t="shared" si="21"/>
        <v>0</v>
      </c>
      <c r="E341" s="881">
        <f t="shared" si="22"/>
        <v>0</v>
      </c>
      <c r="G341" s="881">
        <f t="shared" si="23"/>
        <v>0</v>
      </c>
    </row>
    <row r="342" spans="2:7" x14ac:dyDescent="0.3">
      <c r="B342" s="583">
        <v>333</v>
      </c>
      <c r="C342" s="881">
        <f t="shared" si="20"/>
        <v>0</v>
      </c>
      <c r="D342" s="881">
        <f t="shared" si="21"/>
        <v>0</v>
      </c>
      <c r="E342" s="881">
        <f t="shared" si="22"/>
        <v>0</v>
      </c>
      <c r="G342" s="881">
        <f t="shared" si="23"/>
        <v>0</v>
      </c>
    </row>
    <row r="343" spans="2:7" x14ac:dyDescent="0.3">
      <c r="B343" s="583">
        <v>334</v>
      </c>
      <c r="C343" s="881">
        <f t="shared" si="20"/>
        <v>0</v>
      </c>
      <c r="D343" s="881">
        <f t="shared" si="21"/>
        <v>0</v>
      </c>
      <c r="E343" s="881">
        <f t="shared" si="22"/>
        <v>0</v>
      </c>
      <c r="G343" s="881">
        <f t="shared" si="23"/>
        <v>0</v>
      </c>
    </row>
    <row r="344" spans="2:7" x14ac:dyDescent="0.3">
      <c r="B344" s="583">
        <v>335</v>
      </c>
      <c r="C344" s="881">
        <f t="shared" si="20"/>
        <v>0</v>
      </c>
      <c r="D344" s="881">
        <f t="shared" si="21"/>
        <v>0</v>
      </c>
      <c r="E344" s="881">
        <f t="shared" si="22"/>
        <v>0</v>
      </c>
      <c r="G344" s="881">
        <f t="shared" si="23"/>
        <v>0</v>
      </c>
    </row>
    <row r="345" spans="2:7" x14ac:dyDescent="0.3">
      <c r="B345" s="583">
        <v>336</v>
      </c>
      <c r="C345" s="881">
        <f t="shared" si="20"/>
        <v>0</v>
      </c>
      <c r="D345" s="881">
        <f t="shared" si="21"/>
        <v>0</v>
      </c>
      <c r="E345" s="881">
        <f t="shared" si="22"/>
        <v>0</v>
      </c>
      <c r="G345" s="881">
        <f t="shared" si="23"/>
        <v>0</v>
      </c>
    </row>
    <row r="346" spans="2:7" x14ac:dyDescent="0.3">
      <c r="B346" s="583">
        <v>337</v>
      </c>
      <c r="C346" s="881">
        <f t="shared" si="20"/>
        <v>0</v>
      </c>
      <c r="D346" s="881">
        <f t="shared" si="21"/>
        <v>0</v>
      </c>
      <c r="E346" s="881">
        <f t="shared" si="22"/>
        <v>0</v>
      </c>
      <c r="G346" s="881">
        <f t="shared" si="23"/>
        <v>0</v>
      </c>
    </row>
    <row r="347" spans="2:7" x14ac:dyDescent="0.3">
      <c r="B347" s="583">
        <v>338</v>
      </c>
      <c r="C347" s="881">
        <f t="shared" si="20"/>
        <v>0</v>
      </c>
      <c r="D347" s="881">
        <f t="shared" si="21"/>
        <v>0</v>
      </c>
      <c r="E347" s="881">
        <f t="shared" si="22"/>
        <v>0</v>
      </c>
      <c r="G347" s="881">
        <f t="shared" si="23"/>
        <v>0</v>
      </c>
    </row>
    <row r="348" spans="2:7" x14ac:dyDescent="0.3">
      <c r="B348" s="583">
        <v>339</v>
      </c>
      <c r="C348" s="881">
        <f t="shared" si="20"/>
        <v>0</v>
      </c>
      <c r="D348" s="881">
        <f t="shared" si="21"/>
        <v>0</v>
      </c>
      <c r="E348" s="881">
        <f t="shared" si="22"/>
        <v>0</v>
      </c>
      <c r="G348" s="881">
        <f t="shared" si="23"/>
        <v>0</v>
      </c>
    </row>
    <row r="349" spans="2:7" x14ac:dyDescent="0.3">
      <c r="B349" s="583">
        <v>340</v>
      </c>
      <c r="C349" s="881">
        <f t="shared" si="20"/>
        <v>0</v>
      </c>
      <c r="D349" s="881">
        <f t="shared" si="21"/>
        <v>0</v>
      </c>
      <c r="E349" s="881">
        <f t="shared" si="22"/>
        <v>0</v>
      </c>
      <c r="G349" s="881">
        <f t="shared" si="23"/>
        <v>0</v>
      </c>
    </row>
    <row r="350" spans="2:7" x14ac:dyDescent="0.3">
      <c r="B350" s="583">
        <v>341</v>
      </c>
      <c r="C350" s="881">
        <f t="shared" si="20"/>
        <v>0</v>
      </c>
      <c r="D350" s="881">
        <f t="shared" si="21"/>
        <v>0</v>
      </c>
      <c r="E350" s="881">
        <f t="shared" si="22"/>
        <v>0</v>
      </c>
      <c r="G350" s="881">
        <f t="shared" si="23"/>
        <v>0</v>
      </c>
    </row>
    <row r="351" spans="2:7" x14ac:dyDescent="0.3">
      <c r="B351" s="583">
        <v>342</v>
      </c>
      <c r="C351" s="881">
        <f t="shared" si="20"/>
        <v>0</v>
      </c>
      <c r="D351" s="881">
        <f t="shared" si="21"/>
        <v>0</v>
      </c>
      <c r="E351" s="881">
        <f t="shared" si="22"/>
        <v>0</v>
      </c>
      <c r="G351" s="881">
        <f t="shared" si="23"/>
        <v>0</v>
      </c>
    </row>
    <row r="352" spans="2:7" x14ac:dyDescent="0.3">
      <c r="B352" s="583">
        <v>343</v>
      </c>
      <c r="C352" s="881">
        <f t="shared" si="20"/>
        <v>0</v>
      </c>
      <c r="D352" s="881">
        <f t="shared" si="21"/>
        <v>0</v>
      </c>
      <c r="E352" s="881">
        <f t="shared" si="22"/>
        <v>0</v>
      </c>
      <c r="G352" s="881">
        <f t="shared" si="23"/>
        <v>0</v>
      </c>
    </row>
    <row r="353" spans="2:7" x14ac:dyDescent="0.3">
      <c r="B353" s="583">
        <v>344</v>
      </c>
      <c r="C353" s="881">
        <f t="shared" si="20"/>
        <v>0</v>
      </c>
      <c r="D353" s="881">
        <f t="shared" si="21"/>
        <v>0</v>
      </c>
      <c r="E353" s="881">
        <f t="shared" si="22"/>
        <v>0</v>
      </c>
      <c r="G353" s="881">
        <f t="shared" si="23"/>
        <v>0</v>
      </c>
    </row>
    <row r="354" spans="2:7" x14ac:dyDescent="0.3">
      <c r="B354" s="583">
        <v>345</v>
      </c>
      <c r="C354" s="881">
        <f t="shared" si="20"/>
        <v>0</v>
      </c>
      <c r="D354" s="881">
        <f t="shared" si="21"/>
        <v>0</v>
      </c>
      <c r="E354" s="881">
        <f t="shared" si="22"/>
        <v>0</v>
      </c>
      <c r="G354" s="881">
        <f t="shared" si="23"/>
        <v>0</v>
      </c>
    </row>
    <row r="355" spans="2:7" x14ac:dyDescent="0.3">
      <c r="B355" s="583">
        <v>346</v>
      </c>
      <c r="C355" s="881">
        <f t="shared" si="20"/>
        <v>0</v>
      </c>
      <c r="D355" s="881">
        <f t="shared" si="21"/>
        <v>0</v>
      </c>
      <c r="E355" s="881">
        <f t="shared" si="22"/>
        <v>0</v>
      </c>
      <c r="G355" s="881">
        <f t="shared" si="23"/>
        <v>0</v>
      </c>
    </row>
    <row r="356" spans="2:7" x14ac:dyDescent="0.3">
      <c r="B356" s="583">
        <v>347</v>
      </c>
      <c r="C356" s="881">
        <f t="shared" si="20"/>
        <v>0</v>
      </c>
      <c r="D356" s="881">
        <f t="shared" si="21"/>
        <v>0</v>
      </c>
      <c r="E356" s="881">
        <f t="shared" si="22"/>
        <v>0</v>
      </c>
      <c r="G356" s="881">
        <f t="shared" si="23"/>
        <v>0</v>
      </c>
    </row>
    <row r="357" spans="2:7" x14ac:dyDescent="0.3">
      <c r="B357" s="583">
        <v>348</v>
      </c>
      <c r="C357" s="881">
        <f t="shared" si="20"/>
        <v>0</v>
      </c>
      <c r="D357" s="881">
        <f t="shared" si="21"/>
        <v>0</v>
      </c>
      <c r="E357" s="881">
        <f t="shared" si="22"/>
        <v>0</v>
      </c>
      <c r="G357" s="881">
        <f t="shared" si="23"/>
        <v>0</v>
      </c>
    </row>
    <row r="358" spans="2:7" x14ac:dyDescent="0.3">
      <c r="B358" s="583">
        <v>349</v>
      </c>
      <c r="C358" s="881">
        <f t="shared" si="20"/>
        <v>0</v>
      </c>
      <c r="D358" s="881">
        <f t="shared" si="21"/>
        <v>0</v>
      </c>
      <c r="E358" s="881">
        <f t="shared" si="22"/>
        <v>0</v>
      </c>
      <c r="G358" s="881">
        <f t="shared" si="23"/>
        <v>0</v>
      </c>
    </row>
    <row r="359" spans="2:7" x14ac:dyDescent="0.3">
      <c r="B359" s="583">
        <v>350</v>
      </c>
      <c r="C359" s="881">
        <f t="shared" si="20"/>
        <v>0</v>
      </c>
      <c r="D359" s="881">
        <f t="shared" si="21"/>
        <v>0</v>
      </c>
      <c r="E359" s="881">
        <f t="shared" si="22"/>
        <v>0</v>
      </c>
      <c r="G359" s="881">
        <f t="shared" si="23"/>
        <v>0</v>
      </c>
    </row>
    <row r="360" spans="2:7" x14ac:dyDescent="0.3">
      <c r="B360" s="583">
        <v>351</v>
      </c>
      <c r="C360" s="881">
        <f t="shared" si="20"/>
        <v>0</v>
      </c>
      <c r="D360" s="881">
        <f t="shared" si="21"/>
        <v>0</v>
      </c>
      <c r="E360" s="881">
        <f t="shared" si="22"/>
        <v>0</v>
      </c>
      <c r="G360" s="881">
        <f t="shared" si="23"/>
        <v>0</v>
      </c>
    </row>
    <row r="361" spans="2:7" x14ac:dyDescent="0.3">
      <c r="B361" s="583">
        <v>352</v>
      </c>
      <c r="C361" s="881">
        <f t="shared" si="20"/>
        <v>0</v>
      </c>
      <c r="D361" s="881">
        <f t="shared" si="21"/>
        <v>0</v>
      </c>
      <c r="E361" s="881">
        <f t="shared" si="22"/>
        <v>0</v>
      </c>
      <c r="G361" s="881">
        <f t="shared" si="23"/>
        <v>0</v>
      </c>
    </row>
    <row r="362" spans="2:7" x14ac:dyDescent="0.3">
      <c r="B362" s="583">
        <v>353</v>
      </c>
      <c r="C362" s="881">
        <f t="shared" si="20"/>
        <v>0</v>
      </c>
      <c r="D362" s="881">
        <f t="shared" si="21"/>
        <v>0</v>
      </c>
      <c r="E362" s="881">
        <f t="shared" si="22"/>
        <v>0</v>
      </c>
      <c r="G362" s="881">
        <f t="shared" si="23"/>
        <v>0</v>
      </c>
    </row>
    <row r="363" spans="2:7" x14ac:dyDescent="0.3">
      <c r="B363" s="583">
        <v>354</v>
      </c>
      <c r="C363" s="881">
        <f t="shared" si="20"/>
        <v>0</v>
      </c>
      <c r="D363" s="881">
        <f t="shared" si="21"/>
        <v>0</v>
      </c>
      <c r="E363" s="881">
        <f t="shared" si="22"/>
        <v>0</v>
      </c>
      <c r="G363" s="881">
        <f t="shared" si="23"/>
        <v>0</v>
      </c>
    </row>
    <row r="364" spans="2:7" x14ac:dyDescent="0.3">
      <c r="B364" s="583">
        <v>355</v>
      </c>
      <c r="C364" s="881">
        <f t="shared" si="20"/>
        <v>0</v>
      </c>
      <c r="D364" s="881">
        <f t="shared" si="21"/>
        <v>0</v>
      </c>
      <c r="E364" s="881">
        <f t="shared" si="22"/>
        <v>0</v>
      </c>
      <c r="G364" s="881">
        <f t="shared" si="23"/>
        <v>0</v>
      </c>
    </row>
    <row r="365" spans="2:7" x14ac:dyDescent="0.3">
      <c r="B365" s="583">
        <v>356</v>
      </c>
      <c r="C365" s="881">
        <f t="shared" si="20"/>
        <v>0</v>
      </c>
      <c r="D365" s="881">
        <f t="shared" si="21"/>
        <v>0</v>
      </c>
      <c r="E365" s="881">
        <f t="shared" si="22"/>
        <v>0</v>
      </c>
      <c r="G365" s="881">
        <f t="shared" si="23"/>
        <v>0</v>
      </c>
    </row>
    <row r="366" spans="2:7" x14ac:dyDescent="0.3">
      <c r="B366" s="583">
        <v>357</v>
      </c>
      <c r="C366" s="881">
        <f t="shared" si="20"/>
        <v>0</v>
      </c>
      <c r="D366" s="881">
        <f t="shared" si="21"/>
        <v>0</v>
      </c>
      <c r="E366" s="881">
        <f t="shared" si="22"/>
        <v>0</v>
      </c>
      <c r="G366" s="881">
        <f t="shared" si="23"/>
        <v>0</v>
      </c>
    </row>
    <row r="367" spans="2:7" x14ac:dyDescent="0.3">
      <c r="B367" s="583">
        <v>358</v>
      </c>
      <c r="C367" s="881">
        <f t="shared" si="20"/>
        <v>0</v>
      </c>
      <c r="D367" s="881">
        <f t="shared" si="21"/>
        <v>0</v>
      </c>
      <c r="E367" s="881">
        <f t="shared" si="22"/>
        <v>0</v>
      </c>
      <c r="G367" s="881">
        <f t="shared" si="23"/>
        <v>0</v>
      </c>
    </row>
    <row r="368" spans="2:7" x14ac:dyDescent="0.3">
      <c r="B368" s="583">
        <v>359</v>
      </c>
      <c r="C368" s="881">
        <f t="shared" si="20"/>
        <v>0</v>
      </c>
      <c r="D368" s="881">
        <f t="shared" si="21"/>
        <v>0</v>
      </c>
      <c r="E368" s="881">
        <f t="shared" si="22"/>
        <v>0</v>
      </c>
      <c r="G368" s="881">
        <f t="shared" si="23"/>
        <v>0</v>
      </c>
    </row>
    <row r="369" spans="2:7" x14ac:dyDescent="0.3">
      <c r="B369" s="583">
        <v>360</v>
      </c>
      <c r="C369" s="881">
        <f t="shared" si="20"/>
        <v>0</v>
      </c>
      <c r="D369" s="881">
        <f t="shared" si="21"/>
        <v>0</v>
      </c>
      <c r="E369" s="881">
        <f t="shared" si="22"/>
        <v>0</v>
      </c>
      <c r="G369" s="881">
        <f t="shared" si="23"/>
        <v>0</v>
      </c>
    </row>
    <row r="370" spans="2:7" x14ac:dyDescent="0.3">
      <c r="B370" s="583">
        <v>361</v>
      </c>
      <c r="C370" s="881">
        <f t="shared" si="20"/>
        <v>0</v>
      </c>
      <c r="D370" s="881">
        <f t="shared" si="21"/>
        <v>0</v>
      </c>
      <c r="E370" s="881">
        <f t="shared" si="22"/>
        <v>0</v>
      </c>
      <c r="G370" s="881">
        <f t="shared" si="23"/>
        <v>0</v>
      </c>
    </row>
    <row r="371" spans="2:7" x14ac:dyDescent="0.3">
      <c r="B371" s="583">
        <v>362</v>
      </c>
      <c r="C371" s="881">
        <f t="shared" si="20"/>
        <v>0</v>
      </c>
      <c r="D371" s="881">
        <f t="shared" si="21"/>
        <v>0</v>
      </c>
      <c r="E371" s="881">
        <f t="shared" si="22"/>
        <v>0</v>
      </c>
      <c r="G371" s="881">
        <f t="shared" si="23"/>
        <v>0</v>
      </c>
    </row>
  </sheetData>
  <sheetProtection algorithmName="SHA-512" hashValue="LBrDOuXvCG2u/LMgYwou3pFM0sOcpOlzpT9v6E9Gn3Slvtz50b2UiHiVSi6scmdAq6uIVAkXZuuRjv0dY1ro7g==" saltValue="Xj2BUA77W2Q6NlXc9/j18g==" spinCount="100000" sheet="1" objects="1" scenarios="1"/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897D4ACB-3120-4083-837B-3598AC9AC15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9165-30DB-411F-BC0B-8247EB6E6022}">
  <sheetPr codeName="Sheet3">
    <tabColor theme="4"/>
  </sheetPr>
  <dimension ref="A1:A70"/>
  <sheetViews>
    <sheetView workbookViewId="0"/>
  </sheetViews>
  <sheetFormatPr defaultColWidth="8.77734375" defaultRowHeight="13.8" x14ac:dyDescent="0.25"/>
  <cols>
    <col min="1" max="1" width="5.6640625" style="552" customWidth="1"/>
    <col min="2" max="13" width="8.77734375" style="552"/>
    <col min="14" max="14" width="25.44140625" style="552" customWidth="1"/>
    <col min="15" max="16384" width="8.77734375" style="552"/>
  </cols>
  <sheetData>
    <row r="1" spans="1:1" ht="14.4" x14ac:dyDescent="0.3">
      <c r="A1" s="735" t="s">
        <v>454</v>
      </c>
    </row>
    <row r="70" spans="1:1" x14ac:dyDescent="0.25">
      <c r="A70" s="553"/>
    </row>
  </sheetData>
  <sheetProtection algorithmName="SHA-512" hashValue="0uqXezNW8YNO23S93Ex4V9ZJ1lno0x+PGMqgRPAmI6istPOXwPgIaIACgemctti90A9PR7jtbxLtVq65YTF1gQ==" saltValue="eWoII5J4gzCa42CbKZb6wA==" spinCount="100000" sheet="1" objects="1" scenarios="1"/>
  <hyperlinks>
    <hyperlink ref="A1" location="'Table of contents'!A1" display="Table of contents" xr:uid="{31463FDB-12D4-4C6F-AAA2-C158C56B9288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1FAB-509C-4139-833B-C5953F857165}">
  <sheetPr codeName="Sheet19">
    <tabColor theme="6" tint="-0.249977111117893"/>
  </sheetPr>
  <dimension ref="A1:J35"/>
  <sheetViews>
    <sheetView workbookViewId="0">
      <selection activeCell="C9" sqref="C9"/>
    </sheetView>
  </sheetViews>
  <sheetFormatPr defaultColWidth="0" defaultRowHeight="14.4" zeroHeight="1" x14ac:dyDescent="0.3"/>
  <cols>
    <col min="1" max="1" width="5.21875" style="583" customWidth="1"/>
    <col min="2" max="2" width="24.21875" style="583" customWidth="1"/>
    <col min="3" max="3" width="19.109375" style="583" customWidth="1"/>
    <col min="4" max="4" width="3.88671875" style="583" customWidth="1"/>
    <col min="5" max="5" width="19.109375" style="583" customWidth="1"/>
    <col min="6" max="6" width="20" style="583" customWidth="1"/>
    <col min="7" max="7" width="3.44140625" style="583" customWidth="1"/>
    <col min="8" max="8" width="20.88671875" style="583" customWidth="1"/>
    <col min="9" max="9" width="15" style="583" customWidth="1"/>
    <col min="10" max="10" width="8.77734375" style="583" customWidth="1"/>
    <col min="11" max="16384" width="8.77734375" style="583" hidden="1"/>
  </cols>
  <sheetData>
    <row r="1" spans="1:9" x14ac:dyDescent="0.3">
      <c r="A1" s="628" t="s">
        <v>454</v>
      </c>
    </row>
    <row r="2" spans="1:9" ht="16.2" thickBot="1" x14ac:dyDescent="0.35">
      <c r="A2" s="812" t="s">
        <v>293</v>
      </c>
      <c r="E2" s="812" t="s">
        <v>294</v>
      </c>
      <c r="H2" s="813" t="s">
        <v>305</v>
      </c>
    </row>
    <row r="3" spans="1:9" x14ac:dyDescent="0.3">
      <c r="B3" s="814" t="s">
        <v>281</v>
      </c>
      <c r="C3" s="815">
        <f>SUM(C4:C7)</f>
        <v>361400</v>
      </c>
      <c r="E3" s="825" t="s">
        <v>281</v>
      </c>
      <c r="F3" s="826">
        <f>SUM(F4:F7)</f>
        <v>361400</v>
      </c>
      <c r="H3" s="836" t="s">
        <v>281</v>
      </c>
      <c r="I3" s="837">
        <f>SUM(I4:I7)</f>
        <v>361400</v>
      </c>
    </row>
    <row r="4" spans="1:9" x14ac:dyDescent="0.3">
      <c r="B4" s="816" t="s">
        <v>160</v>
      </c>
      <c r="C4" s="817">
        <f>'Total Result'!C17</f>
        <v>310000</v>
      </c>
      <c r="E4" s="827" t="s">
        <v>160</v>
      </c>
      <c r="F4" s="828">
        <f>C4</f>
        <v>310000</v>
      </c>
      <c r="H4" s="838" t="s">
        <v>160</v>
      </c>
      <c r="I4" s="839">
        <f>C4</f>
        <v>310000</v>
      </c>
    </row>
    <row r="5" spans="1:9" x14ac:dyDescent="0.3">
      <c r="B5" s="816" t="s">
        <v>94</v>
      </c>
      <c r="C5" s="817">
        <f>'Total Result'!C18</f>
        <v>51400</v>
      </c>
      <c r="E5" s="827" t="s">
        <v>94</v>
      </c>
      <c r="F5" s="828">
        <f>C5</f>
        <v>51400</v>
      </c>
      <c r="H5" s="838" t="s">
        <v>94</v>
      </c>
      <c r="I5" s="839">
        <f>C5</f>
        <v>51400</v>
      </c>
    </row>
    <row r="6" spans="1:9" x14ac:dyDescent="0.3">
      <c r="B6" s="816" t="s">
        <v>15</v>
      </c>
      <c r="C6" s="817">
        <f>'ROI Number insert'!F13</f>
        <v>0</v>
      </c>
      <c r="E6" s="827" t="s">
        <v>15</v>
      </c>
      <c r="F6" s="828">
        <f>C6</f>
        <v>0</v>
      </c>
      <c r="H6" s="838" t="s">
        <v>15</v>
      </c>
      <c r="I6" s="839">
        <f>C6</f>
        <v>0</v>
      </c>
    </row>
    <row r="7" spans="1:9" ht="15" thickBot="1" x14ac:dyDescent="0.35">
      <c r="B7" s="816" t="s">
        <v>26</v>
      </c>
      <c r="C7" s="817">
        <f>'ROI Number insert'!F15</f>
        <v>0</v>
      </c>
      <c r="E7" s="827" t="s">
        <v>26</v>
      </c>
      <c r="F7" s="828">
        <f>C7</f>
        <v>0</v>
      </c>
      <c r="H7" s="838" t="s">
        <v>26</v>
      </c>
      <c r="I7" s="839">
        <f>C7</f>
        <v>0</v>
      </c>
    </row>
    <row r="8" spans="1:9" ht="15.6" thickTop="1" thickBot="1" x14ac:dyDescent="0.35">
      <c r="B8" s="816" t="s">
        <v>282</v>
      </c>
      <c r="C8" s="676">
        <v>7.0000000000000007E-2</v>
      </c>
      <c r="E8" s="827" t="s">
        <v>282</v>
      </c>
      <c r="F8" s="676">
        <v>0.13</v>
      </c>
      <c r="H8" s="838" t="s">
        <v>282</v>
      </c>
      <c r="I8" s="676">
        <v>0.15</v>
      </c>
    </row>
    <row r="9" spans="1:9" ht="15.6" thickTop="1" thickBot="1" x14ac:dyDescent="0.35">
      <c r="B9" s="816" t="s">
        <v>275</v>
      </c>
      <c r="C9" s="676">
        <v>4.7500000000000001E-2</v>
      </c>
      <c r="E9" s="827" t="s">
        <v>275</v>
      </c>
      <c r="F9" s="851">
        <f>C9</f>
        <v>4.7500000000000001E-2</v>
      </c>
      <c r="H9" s="840" t="s">
        <v>275</v>
      </c>
      <c r="I9" s="852">
        <f>C9</f>
        <v>4.7500000000000001E-2</v>
      </c>
    </row>
    <row r="10" spans="1:9" ht="15" thickTop="1" x14ac:dyDescent="0.3">
      <c r="B10" s="816" t="s">
        <v>283</v>
      </c>
      <c r="C10" s="818">
        <f>C3*-1</f>
        <v>-361400</v>
      </c>
      <c r="E10" s="827" t="s">
        <v>283</v>
      </c>
      <c r="F10" s="829">
        <f>F3*-1</f>
        <v>-361400</v>
      </c>
      <c r="H10" s="836" t="s">
        <v>283</v>
      </c>
      <c r="I10" s="841">
        <f>I3*-1</f>
        <v>-361400</v>
      </c>
    </row>
    <row r="11" spans="1:9" x14ac:dyDescent="0.3">
      <c r="B11" s="816" t="s">
        <v>284</v>
      </c>
      <c r="C11" s="818">
        <f>'ROI details'!C32</f>
        <v>-60714.892742690201</v>
      </c>
      <c r="E11" s="827" t="s">
        <v>284</v>
      </c>
      <c r="F11" s="829">
        <f>C11</f>
        <v>-60714.892742690201</v>
      </c>
      <c r="H11" s="838" t="s">
        <v>205</v>
      </c>
      <c r="I11" s="842">
        <f>'ROI details'!I19</f>
        <v>161325.24496000004</v>
      </c>
    </row>
    <row r="12" spans="1:9" x14ac:dyDescent="0.3">
      <c r="B12" s="816" t="s">
        <v>285</v>
      </c>
      <c r="C12" s="819">
        <f>'ROI details'!C33</f>
        <v>-60449.902178792552</v>
      </c>
      <c r="E12" s="827" t="s">
        <v>285</v>
      </c>
      <c r="F12" s="830">
        <f>C12</f>
        <v>-60449.902178792552</v>
      </c>
      <c r="H12" s="838" t="s">
        <v>289</v>
      </c>
      <c r="I12" s="843">
        <f>NPV(I9,I11)-I3</f>
        <v>-207390.21960859187</v>
      </c>
    </row>
    <row r="13" spans="1:9" x14ac:dyDescent="0.3">
      <c r="B13" s="816" t="s">
        <v>286</v>
      </c>
      <c r="C13" s="819">
        <f>'ROI details'!C34</f>
        <v>-60198.241478184849</v>
      </c>
      <c r="E13" s="827" t="s">
        <v>286</v>
      </c>
      <c r="F13" s="830">
        <f>C13</f>
        <v>-60198.241478184849</v>
      </c>
      <c r="H13" s="838" t="s">
        <v>20</v>
      </c>
      <c r="I13" s="844">
        <f>C27</f>
        <v>0.2</v>
      </c>
    </row>
    <row r="14" spans="1:9" x14ac:dyDescent="0.3">
      <c r="B14" s="816" t="s">
        <v>287</v>
      </c>
      <c r="C14" s="819">
        <f>'ROI details'!C35</f>
        <v>-59960.894480603754</v>
      </c>
      <c r="E14" s="827" t="s">
        <v>287</v>
      </c>
      <c r="F14" s="830">
        <f>C14</f>
        <v>-59960.894480603754</v>
      </c>
      <c r="H14" s="838" t="s">
        <v>95</v>
      </c>
      <c r="I14" s="843">
        <f>(I3-I6-I7-I5*80%)/I13</f>
        <v>1601400</v>
      </c>
    </row>
    <row r="15" spans="1:9" x14ac:dyDescent="0.3">
      <c r="B15" s="816" t="s">
        <v>288</v>
      </c>
      <c r="C15" s="819">
        <f>'ROI details'!C36</f>
        <v>-59738.892316415775</v>
      </c>
      <c r="E15" s="827" t="s">
        <v>288</v>
      </c>
      <c r="F15" s="830">
        <f>C15+'ROI details'!I4</f>
        <v>63500.978063431874</v>
      </c>
      <c r="H15" s="838" t="s">
        <v>290</v>
      </c>
      <c r="I15" s="845">
        <f>IRR(I10:I11)</f>
        <v>-0.55361027957941333</v>
      </c>
    </row>
    <row r="16" spans="1:9" x14ac:dyDescent="0.3">
      <c r="B16" s="816" t="s">
        <v>295</v>
      </c>
      <c r="C16" s="819">
        <f>'ROI details'!C37</f>
        <v>-59533.31541556256</v>
      </c>
      <c r="E16" s="827" t="s">
        <v>295</v>
      </c>
      <c r="F16" s="830">
        <f>C16</f>
        <v>-59533.31541556256</v>
      </c>
      <c r="H16" s="838" t="s">
        <v>291</v>
      </c>
      <c r="I16" s="846">
        <f>I12+I3</f>
        <v>154009.78039140813</v>
      </c>
    </row>
    <row r="17" spans="2:9" ht="15" thickBot="1" x14ac:dyDescent="0.35">
      <c r="B17" s="816" t="s">
        <v>296</v>
      </c>
      <c r="C17" s="819">
        <f>'ROI details'!C38</f>
        <v>-59345.295597615608</v>
      </c>
      <c r="E17" s="827" t="s">
        <v>296</v>
      </c>
      <c r="F17" s="830">
        <f>C17</f>
        <v>-59345.295597615608</v>
      </c>
      <c r="H17" s="847" t="s">
        <v>292</v>
      </c>
      <c r="I17" s="848">
        <f>I16/I3</f>
        <v>0.42614770445879396</v>
      </c>
    </row>
    <row r="18" spans="2:9" x14ac:dyDescent="0.3">
      <c r="B18" s="816" t="s">
        <v>297</v>
      </c>
      <c r="C18" s="819">
        <f>'ROI details'!C39</f>
        <v>-59176.018246138636</v>
      </c>
      <c r="E18" s="827" t="s">
        <v>297</v>
      </c>
      <c r="F18" s="830">
        <f>C18</f>
        <v>-59176.018246138636</v>
      </c>
      <c r="H18" s="836" t="s">
        <v>283</v>
      </c>
      <c r="I18" s="841">
        <f>I10</f>
        <v>-361400</v>
      </c>
    </row>
    <row r="19" spans="2:9" x14ac:dyDescent="0.3">
      <c r="B19" s="816" t="s">
        <v>298</v>
      </c>
      <c r="C19" s="819">
        <f>'ROI details'!C40</f>
        <v>-59026.724570679879</v>
      </c>
      <c r="E19" s="827" t="s">
        <v>298</v>
      </c>
      <c r="F19" s="830">
        <f>C19</f>
        <v>-59026.724570679879</v>
      </c>
      <c r="H19" s="849" t="s">
        <v>144</v>
      </c>
      <c r="I19" s="850">
        <f>'ROI details'!I20</f>
        <v>248838.27878898033</v>
      </c>
    </row>
    <row r="20" spans="2:9" x14ac:dyDescent="0.3">
      <c r="B20" s="816" t="s">
        <v>299</v>
      </c>
      <c r="C20" s="819">
        <f>'ROI details'!C41</f>
        <v>-58898.713959847104</v>
      </c>
      <c r="E20" s="827" t="s">
        <v>299</v>
      </c>
      <c r="F20" s="830">
        <f>C20+'ROI details'!I8-'ROI details'!I4</f>
        <v>107062.46669133753</v>
      </c>
      <c r="H20" s="838" t="s">
        <v>289</v>
      </c>
      <c r="I20" s="843">
        <f>NPV(I9,I19)-I3</f>
        <v>-123845.55724202358</v>
      </c>
    </row>
    <row r="21" spans="2:9" x14ac:dyDescent="0.3">
      <c r="B21" s="816" t="s">
        <v>300</v>
      </c>
      <c r="C21" s="819">
        <f>'ROI details'!C42</f>
        <v>-58793.346429051009</v>
      </c>
      <c r="E21" s="827" t="s">
        <v>300</v>
      </c>
      <c r="F21" s="830">
        <f>C21</f>
        <v>-58793.346429051009</v>
      </c>
      <c r="H21" s="838" t="s">
        <v>20</v>
      </c>
      <c r="I21" s="844">
        <f>C27</f>
        <v>0.2</v>
      </c>
    </row>
    <row r="22" spans="2:9" x14ac:dyDescent="0.3">
      <c r="B22" s="816" t="s">
        <v>301</v>
      </c>
      <c r="C22" s="819">
        <f>'ROI details'!C43</f>
        <v>-58712.045166644093</v>
      </c>
      <c r="E22" s="827" t="s">
        <v>301</v>
      </c>
      <c r="F22" s="830">
        <f>C22</f>
        <v>-58712.045166644093</v>
      </c>
      <c r="H22" s="838" t="s">
        <v>95</v>
      </c>
      <c r="I22" s="843">
        <f>(I20-I6-I7-I5*80%)/I13</f>
        <v>-824827.78621011786</v>
      </c>
    </row>
    <row r="23" spans="2:9" x14ac:dyDescent="0.3">
      <c r="B23" s="816" t="s">
        <v>302</v>
      </c>
      <c r="C23" s="819">
        <f>'ROI details'!C44</f>
        <v>-58656.299182325805</v>
      </c>
      <c r="E23" s="827" t="s">
        <v>302</v>
      </c>
      <c r="F23" s="830">
        <f>C23</f>
        <v>-58656.299182325805</v>
      </c>
      <c r="H23" s="838" t="s">
        <v>290</v>
      </c>
      <c r="I23" s="845">
        <f>IRR(I18:I19)</f>
        <v>-0.31146021364421583</v>
      </c>
    </row>
    <row r="24" spans="2:9" x14ac:dyDescent="0.3">
      <c r="B24" s="816" t="s">
        <v>303</v>
      </c>
      <c r="C24" s="819">
        <f>'ROI details'!C45</f>
        <v>-58627.66606183644</v>
      </c>
      <c r="E24" s="827" t="s">
        <v>303</v>
      </c>
      <c r="F24" s="830">
        <f>C24</f>
        <v>-58627.66606183644</v>
      </c>
      <c r="H24" s="838" t="s">
        <v>291</v>
      </c>
      <c r="I24" s="846">
        <f>I20+I3</f>
        <v>237554.44275797642</v>
      </c>
    </row>
    <row r="25" spans="2:9" ht="15" thickBot="1" x14ac:dyDescent="0.35">
      <c r="B25" s="816" t="s">
        <v>304</v>
      </c>
      <c r="C25" s="819">
        <f>'ROI details'!C46</f>
        <v>-58627.774832117851</v>
      </c>
      <c r="E25" s="827" t="s">
        <v>304</v>
      </c>
      <c r="F25" s="830">
        <f>C25</f>
        <v>-58627.774832117851</v>
      </c>
      <c r="H25" s="847" t="s">
        <v>292</v>
      </c>
      <c r="I25" s="848">
        <f>I24/I10</f>
        <v>-0.65731721847807534</v>
      </c>
    </row>
    <row r="26" spans="2:9" x14ac:dyDescent="0.3">
      <c r="B26" s="816" t="s">
        <v>289</v>
      </c>
      <c r="C26" s="819">
        <f>NPV(C9,C11:C25)-C3</f>
        <v>-989537.6060816258</v>
      </c>
      <c r="E26" s="827" t="s">
        <v>289</v>
      </c>
      <c r="F26" s="830">
        <f>NPV(F9,F11:F25)-F3</f>
        <v>-787474.45040829154</v>
      </c>
      <c r="H26" s="836" t="s">
        <v>283</v>
      </c>
      <c r="I26" s="841">
        <f>I10</f>
        <v>-361400</v>
      </c>
    </row>
    <row r="27" spans="2:9" x14ac:dyDescent="0.3">
      <c r="B27" s="816" t="s">
        <v>20</v>
      </c>
      <c r="C27" s="820">
        <f>'ROI Number insert'!F9</f>
        <v>0.2</v>
      </c>
      <c r="E27" s="827" t="s">
        <v>20</v>
      </c>
      <c r="F27" s="831">
        <f>C27</f>
        <v>0.2</v>
      </c>
      <c r="H27" s="838" t="s">
        <v>148</v>
      </c>
      <c r="I27" s="842">
        <f>'ROI details'!I21</f>
        <v>536095.92440240039</v>
      </c>
    </row>
    <row r="28" spans="2:9" x14ac:dyDescent="0.3">
      <c r="B28" s="816" t="s">
        <v>95</v>
      </c>
      <c r="C28" s="819">
        <f>(C26-C6-C7-C5*80%)/C27</f>
        <v>-5153288.0304081291</v>
      </c>
      <c r="E28" s="827" t="s">
        <v>95</v>
      </c>
      <c r="F28" s="830">
        <f>(F26-F6-F7-F5*80%)/F27</f>
        <v>-4142972.2520414577</v>
      </c>
      <c r="H28" s="838" t="s">
        <v>289</v>
      </c>
      <c r="I28" s="843">
        <f>NPV(I9,I27)-I3</f>
        <v>150386.08534835355</v>
      </c>
    </row>
    <row r="29" spans="2:9" x14ac:dyDescent="0.3">
      <c r="B29" s="816" t="s">
        <v>290</v>
      </c>
      <c r="C29" s="821" t="e">
        <f>IRR(C10:C25)</f>
        <v>#NUM!</v>
      </c>
      <c r="E29" s="827" t="s">
        <v>290</v>
      </c>
      <c r="F29" s="832" t="e">
        <f>IRR(F10:F25)</f>
        <v>#NUM!</v>
      </c>
      <c r="H29" s="838" t="s">
        <v>20</v>
      </c>
      <c r="I29" s="844">
        <f>C27</f>
        <v>0.2</v>
      </c>
    </row>
    <row r="30" spans="2:9" x14ac:dyDescent="0.3">
      <c r="B30" s="816" t="s">
        <v>291</v>
      </c>
      <c r="C30" s="822">
        <f>C26+C3</f>
        <v>-628137.6060816258</v>
      </c>
      <c r="E30" s="827" t="s">
        <v>291</v>
      </c>
      <c r="F30" s="833">
        <f>F26+F3</f>
        <v>-426074.45040829154</v>
      </c>
      <c r="H30" s="838" t="s">
        <v>95</v>
      </c>
      <c r="I30" s="843">
        <f>(I28-I6-I7-I5*80%)/I13</f>
        <v>546330.42674176767</v>
      </c>
    </row>
    <row r="31" spans="2:9" ht="15" thickBot="1" x14ac:dyDescent="0.35">
      <c r="B31" s="823" t="s">
        <v>292</v>
      </c>
      <c r="C31" s="824">
        <f>C30/C3</f>
        <v>-1.7380675320465573</v>
      </c>
      <c r="E31" s="834" t="s">
        <v>292</v>
      </c>
      <c r="F31" s="835">
        <f>F30/F3</f>
        <v>-1.1789553138026883</v>
      </c>
      <c r="H31" s="838" t="s">
        <v>290</v>
      </c>
      <c r="I31" s="845">
        <f>IRR(I26:I27)</f>
        <v>0.48338661981848463</v>
      </c>
    </row>
    <row r="32" spans="2:9" x14ac:dyDescent="0.3">
      <c r="H32" s="838" t="s">
        <v>291</v>
      </c>
      <c r="I32" s="846">
        <f>I28+I19</f>
        <v>399224.36413733388</v>
      </c>
    </row>
    <row r="33" spans="8:9" ht="15" thickBot="1" x14ac:dyDescent="0.35">
      <c r="H33" s="847" t="s">
        <v>292</v>
      </c>
      <c r="I33" s="848">
        <f>I32/I19</f>
        <v>1.6043526987898991</v>
      </c>
    </row>
    <row r="34" spans="8:9" x14ac:dyDescent="0.3"/>
    <row r="35" spans="8:9" x14ac:dyDescent="0.3"/>
  </sheetData>
  <sheetProtection algorithmName="SHA-512" hashValue="gSswEvgU9849dL60it4rBEZBrI26OaVR5y/Z9KAiWrGur71pGiT2Jflz5RYGSCwf9OHD7DZBGvmCcuo2WOeU3Q==" saltValue="QBdiu5hCmISmK9Djq34ZyA==" spinCount="100000" sheet="1" objects="1" scenarios="1"/>
  <hyperlinks>
    <hyperlink ref="A1" location="'Table of contents'!A1" display="Table of contents" xr:uid="{950EB45E-DF0F-41D3-A026-B15CC5665D68}"/>
  </hyperlinks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FE85-8BB3-4347-A831-DBE7CB9E4D70}">
  <sheetPr codeName="Sheet4">
    <tabColor theme="6"/>
  </sheetPr>
  <dimension ref="A1:F38"/>
  <sheetViews>
    <sheetView workbookViewId="0"/>
  </sheetViews>
  <sheetFormatPr defaultColWidth="8.77734375" defaultRowHeight="14.4" x14ac:dyDescent="0.3"/>
  <cols>
    <col min="1" max="1" width="3.77734375" style="1" customWidth="1"/>
    <col min="2" max="2" width="4" style="1" customWidth="1"/>
    <col min="3" max="3" width="46.88671875" style="1" customWidth="1"/>
    <col min="4" max="4" width="17.21875" style="1" customWidth="1"/>
    <col min="5" max="16384" width="8.77734375" style="1"/>
  </cols>
  <sheetData>
    <row r="1" spans="1:6" x14ac:dyDescent="0.3">
      <c r="A1" s="628" t="s">
        <v>454</v>
      </c>
    </row>
    <row r="2" spans="1:6" x14ac:dyDescent="0.3">
      <c r="A2" s="554" t="s">
        <v>348</v>
      </c>
    </row>
    <row r="3" spans="1:6" ht="28.95" customHeight="1" x14ac:dyDescent="0.35">
      <c r="A3" s="120"/>
      <c r="B3" s="981" t="s">
        <v>361</v>
      </c>
      <c r="C3" s="981"/>
      <c r="D3" s="981"/>
      <c r="E3" s="981"/>
      <c r="F3" s="981"/>
    </row>
    <row r="4" spans="1:6" x14ac:dyDescent="0.3">
      <c r="C4" s="1" t="s">
        <v>358</v>
      </c>
      <c r="D4" s="127">
        <f>'Total Result'!C21</f>
        <v>361400</v>
      </c>
    </row>
    <row r="5" spans="1:6" x14ac:dyDescent="0.3">
      <c r="C5" s="1" t="s">
        <v>349</v>
      </c>
      <c r="D5" s="292">
        <v>25000</v>
      </c>
      <c r="F5" s="429"/>
    </row>
    <row r="6" spans="1:6" x14ac:dyDescent="0.3">
      <c r="C6" s="1" t="s">
        <v>350</v>
      </c>
      <c r="D6" s="1">
        <f>ROUNDUP(D4/D5,0)+2</f>
        <v>17</v>
      </c>
    </row>
    <row r="7" spans="1:6" x14ac:dyDescent="0.3">
      <c r="C7" s="1" t="s">
        <v>359</v>
      </c>
      <c r="D7" s="127">
        <f>D6*D5</f>
        <v>425000</v>
      </c>
    </row>
    <row r="8" spans="1:6" x14ac:dyDescent="0.3">
      <c r="B8" s="290" t="s">
        <v>363</v>
      </c>
      <c r="D8" s="127"/>
    </row>
    <row r="9" spans="1:6" x14ac:dyDescent="0.3">
      <c r="C9" s="1" t="s">
        <v>360</v>
      </c>
      <c r="D9" s="127">
        <f>D7-D4</f>
        <v>63600</v>
      </c>
    </row>
    <row r="10" spans="1:6" ht="28.95" customHeight="1" x14ac:dyDescent="0.3">
      <c r="B10" s="982" t="s">
        <v>367</v>
      </c>
      <c r="C10" s="982"/>
      <c r="D10" s="982"/>
      <c r="E10" s="982"/>
      <c r="F10" s="982"/>
    </row>
    <row r="11" spans="1:6" ht="14.55" customHeight="1" x14ac:dyDescent="0.3">
      <c r="B11" s="423"/>
      <c r="C11" s="424" t="s">
        <v>368</v>
      </c>
      <c r="D11" s="425">
        <f>D9/D6</f>
        <v>3741.1764705882351</v>
      </c>
      <c r="E11" s="423"/>
      <c r="F11" s="423"/>
    </row>
    <row r="12" spans="1:6" x14ac:dyDescent="0.3">
      <c r="B12" s="555" t="s">
        <v>356</v>
      </c>
      <c r="D12" s="127"/>
    </row>
    <row r="13" spans="1:6" x14ac:dyDescent="0.3">
      <c r="C13" s="429" t="s">
        <v>351</v>
      </c>
      <c r="D13" s="127">
        <f>'Financial Statement'!C22/12</f>
        <v>-5059.5743952241837</v>
      </c>
    </row>
    <row r="14" spans="1:6" x14ac:dyDescent="0.3">
      <c r="C14" s="429" t="s">
        <v>355</v>
      </c>
      <c r="D14" s="127">
        <f>D13*85%</f>
        <v>-4300.6382359405561</v>
      </c>
    </row>
    <row r="15" spans="1:6" x14ac:dyDescent="0.3">
      <c r="C15" s="1" t="s">
        <v>353</v>
      </c>
      <c r="D15" s="127">
        <f>D14/D6</f>
        <v>-252.97871976120919</v>
      </c>
    </row>
    <row r="16" spans="1:6" x14ac:dyDescent="0.3">
      <c r="C16" s="1" t="s">
        <v>354</v>
      </c>
      <c r="D16" s="413">
        <f>D15*12/D5</f>
        <v>-0.12142978548538041</v>
      </c>
    </row>
    <row r="17" spans="1:6" x14ac:dyDescent="0.3">
      <c r="C17" s="1" t="s">
        <v>352</v>
      </c>
      <c r="D17" s="127">
        <f>D13-D14</f>
        <v>-758.9361592836276</v>
      </c>
    </row>
    <row r="18" spans="1:6" x14ac:dyDescent="0.3">
      <c r="C18" s="1" t="s">
        <v>357</v>
      </c>
      <c r="D18" s="426">
        <f>'Total Result'!C13</f>
        <v>-5.952411075345446</v>
      </c>
    </row>
    <row r="19" spans="1:6" ht="28.95" customHeight="1" x14ac:dyDescent="0.35">
      <c r="A19" s="120"/>
      <c r="B19" s="981" t="s">
        <v>362</v>
      </c>
      <c r="C19" s="981"/>
      <c r="D19" s="981"/>
      <c r="E19" s="981"/>
      <c r="F19" s="981"/>
    </row>
    <row r="20" spans="1:6" x14ac:dyDescent="0.3">
      <c r="C20" s="1" t="s">
        <v>364</v>
      </c>
    </row>
    <row r="21" spans="1:6" x14ac:dyDescent="0.3">
      <c r="C21" s="1" t="s">
        <v>365</v>
      </c>
    </row>
    <row r="22" spans="1:6" x14ac:dyDescent="0.3">
      <c r="B22" s="290" t="s">
        <v>366</v>
      </c>
    </row>
    <row r="23" spans="1:6" ht="41.55" customHeight="1" x14ac:dyDescent="0.3">
      <c r="B23" s="982" t="s">
        <v>369</v>
      </c>
      <c r="C23" s="982"/>
      <c r="D23" s="982"/>
      <c r="E23" s="982"/>
      <c r="F23" s="982"/>
    </row>
    <row r="24" spans="1:6" x14ac:dyDescent="0.3">
      <c r="C24" s="1" t="s">
        <v>370</v>
      </c>
    </row>
    <row r="25" spans="1:6" x14ac:dyDescent="0.3">
      <c r="C25" s="1" t="s">
        <v>371</v>
      </c>
    </row>
    <row r="26" spans="1:6" ht="28.95" customHeight="1" x14ac:dyDescent="0.3">
      <c r="C26" s="983" t="s">
        <v>372</v>
      </c>
      <c r="D26" s="983"/>
      <c r="E26" s="983"/>
      <c r="F26" s="983"/>
    </row>
    <row r="28" spans="1:6" ht="18" x14ac:dyDescent="0.35">
      <c r="A28" s="120" t="s">
        <v>373</v>
      </c>
    </row>
    <row r="29" spans="1:6" x14ac:dyDescent="0.3">
      <c r="B29" s="290" t="s">
        <v>382</v>
      </c>
    </row>
    <row r="30" spans="1:6" x14ac:dyDescent="0.3">
      <c r="C30" s="1" t="s">
        <v>374</v>
      </c>
    </row>
    <row r="31" spans="1:6" x14ac:dyDescent="0.3">
      <c r="C31" s="1" t="s">
        <v>375</v>
      </c>
      <c r="D31" s="127">
        <f>'Total Result'!C25</f>
        <v>1588000</v>
      </c>
    </row>
    <row r="32" spans="1:6" x14ac:dyDescent="0.3">
      <c r="C32" s="1" t="s">
        <v>376</v>
      </c>
      <c r="D32" s="127">
        <f>'Total Result'!C26</f>
        <v>1550000</v>
      </c>
    </row>
    <row r="33" spans="2:4" x14ac:dyDescent="0.3">
      <c r="C33" s="1" t="s">
        <v>377</v>
      </c>
      <c r="D33" s="127">
        <f>D31-D32</f>
        <v>38000</v>
      </c>
    </row>
    <row r="34" spans="2:4" x14ac:dyDescent="0.3">
      <c r="C34" s="1" t="s">
        <v>378</v>
      </c>
      <c r="D34" s="127">
        <f>D33*10%</f>
        <v>3800</v>
      </c>
    </row>
    <row r="35" spans="2:4" x14ac:dyDescent="0.3">
      <c r="C35" s="1" t="s">
        <v>379</v>
      </c>
      <c r="D35" s="127">
        <f>D32+D34</f>
        <v>1553800</v>
      </c>
    </row>
    <row r="36" spans="2:4" x14ac:dyDescent="0.3">
      <c r="C36" s="1" t="s">
        <v>380</v>
      </c>
      <c r="D36" s="127">
        <f>D31-D35</f>
        <v>34200</v>
      </c>
    </row>
    <row r="37" spans="2:4" x14ac:dyDescent="0.3">
      <c r="C37" s="1" t="s">
        <v>381</v>
      </c>
      <c r="D37" s="413">
        <f>D36/D31</f>
        <v>2.1536523929471033E-2</v>
      </c>
    </row>
    <row r="38" spans="2:4" x14ac:dyDescent="0.3">
      <c r="B38" s="290" t="s">
        <v>383</v>
      </c>
    </row>
  </sheetData>
  <sheetProtection algorithmName="SHA-512" hashValue="SwvefjZ85ngWEFJgefvqA2mmSbpDrj9H3s1uDAkSg3qmgcMDbeDuPWdOYfSb3bm1EjJkfhbMSiZQEUp+frg1+A==" saltValue="n76Kd8yx0PIa0vmJtHCMjA==" spinCount="100000" sheet="1" objects="1" scenarios="1"/>
  <mergeCells count="5">
    <mergeCell ref="B3:F3"/>
    <mergeCell ref="B19:F19"/>
    <mergeCell ref="B10:F10"/>
    <mergeCell ref="B23:F23"/>
    <mergeCell ref="C26:F26"/>
  </mergeCells>
  <hyperlinks>
    <hyperlink ref="A1" location="'Table of contents'!A1" display="Table of contents" xr:uid="{7F4FF498-03CB-4828-A291-E2D112AA9945}"/>
  </hyperlinks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C832-ECBE-4BAF-B4C3-F82EB940B8EA}">
  <sheetPr codeName="Sheet17">
    <tabColor rgb="FFFFFF00"/>
  </sheetPr>
  <dimension ref="A1:H21"/>
  <sheetViews>
    <sheetView workbookViewId="0">
      <selection activeCell="H9" sqref="H9"/>
    </sheetView>
  </sheetViews>
  <sheetFormatPr defaultColWidth="0" defaultRowHeight="14.4" zeroHeight="1" x14ac:dyDescent="0.3"/>
  <cols>
    <col min="1" max="1" width="34.77734375" style="900" customWidth="1"/>
    <col min="2" max="2" width="23" style="900" customWidth="1"/>
    <col min="3" max="3" width="14.21875" style="900" customWidth="1"/>
    <col min="4" max="4" width="4.33203125" style="900" customWidth="1"/>
    <col min="5" max="5" width="23" style="900" customWidth="1"/>
    <col min="6" max="6" width="14.21875" style="900" customWidth="1"/>
    <col min="7" max="7" width="8.77734375" style="900" customWidth="1"/>
    <col min="8" max="8" width="27.77734375" style="900" customWidth="1"/>
    <col min="9" max="16384" width="8.77734375" style="900" hidden="1"/>
  </cols>
  <sheetData>
    <row r="1" spans="1:8" ht="16.2" thickBot="1" x14ac:dyDescent="0.35">
      <c r="A1" s="899" t="s">
        <v>454</v>
      </c>
      <c r="B1" s="988" t="s">
        <v>318</v>
      </c>
      <c r="C1" s="988"/>
      <c r="E1" s="988" t="s">
        <v>319</v>
      </c>
      <c r="F1" s="988"/>
    </row>
    <row r="2" spans="1:8" ht="18" x14ac:dyDescent="0.3">
      <c r="B2" s="984" t="s">
        <v>155</v>
      </c>
      <c r="C2" s="985"/>
      <c r="E2" s="986" t="s">
        <v>155</v>
      </c>
      <c r="F2" s="987"/>
      <c r="H2" s="901"/>
    </row>
    <row r="3" spans="1:8" ht="15.6" x14ac:dyDescent="0.3">
      <c r="B3" s="902" t="s">
        <v>95</v>
      </c>
      <c r="C3" s="903">
        <f>'ROI Number insert'!F3</f>
        <v>1550000</v>
      </c>
      <c r="E3" s="913" t="s">
        <v>313</v>
      </c>
      <c r="F3" s="914">
        <f>'ROI Number insert ARV'!E3</f>
        <v>0</v>
      </c>
      <c r="H3" s="901"/>
    </row>
    <row r="4" spans="1:8" ht="15.6" x14ac:dyDescent="0.3">
      <c r="B4" s="902" t="s">
        <v>20</v>
      </c>
      <c r="C4" s="904">
        <f>'Calculating offering price'!C13</f>
        <v>0.2</v>
      </c>
      <c r="E4" s="913" t="s">
        <v>20</v>
      </c>
      <c r="F4" s="915">
        <f>'ROI Number insert ARV'!E9</f>
        <v>0.2</v>
      </c>
      <c r="H4" s="901"/>
    </row>
    <row r="5" spans="1:8" ht="15.6" x14ac:dyDescent="0.3">
      <c r="B5" s="902" t="s">
        <v>156</v>
      </c>
      <c r="C5" s="905">
        <f>'ROI Number insert'!F4</f>
        <v>25</v>
      </c>
      <c r="E5" s="913" t="s">
        <v>156</v>
      </c>
      <c r="F5" s="916">
        <f>'ROI Number insert ARV'!E4</f>
        <v>0</v>
      </c>
      <c r="H5" s="901"/>
    </row>
    <row r="6" spans="1:8" ht="15.6" x14ac:dyDescent="0.3">
      <c r="B6" s="902" t="s">
        <v>157</v>
      </c>
      <c r="C6" s="906">
        <v>12</v>
      </c>
      <c r="E6" s="913" t="s">
        <v>157</v>
      </c>
      <c r="F6" s="917">
        <v>12</v>
      </c>
      <c r="H6" s="901"/>
    </row>
    <row r="7" spans="1:8" ht="15.6" x14ac:dyDescent="0.3">
      <c r="B7" s="902" t="s">
        <v>158</v>
      </c>
      <c r="C7" s="904">
        <f>'ROI Number insert'!F5</f>
        <v>6.25E-2</v>
      </c>
      <c r="E7" s="913" t="s">
        <v>158</v>
      </c>
      <c r="F7" s="915">
        <f>'ROI Number insert ARV'!E5</f>
        <v>0</v>
      </c>
      <c r="H7" s="901"/>
    </row>
    <row r="8" spans="1:8" ht="15.6" x14ac:dyDescent="0.3">
      <c r="B8" s="902" t="s">
        <v>159</v>
      </c>
      <c r="C8" s="907">
        <f>C5*C6</f>
        <v>300</v>
      </c>
      <c r="E8" s="913" t="s">
        <v>159</v>
      </c>
      <c r="F8" s="918">
        <f>F5*F6</f>
        <v>0</v>
      </c>
      <c r="H8" s="901"/>
    </row>
    <row r="9" spans="1:8" ht="15.6" x14ac:dyDescent="0.3">
      <c r="B9" s="902" t="s">
        <v>160</v>
      </c>
      <c r="C9" s="903">
        <f>C3*C4</f>
        <v>310000</v>
      </c>
      <c r="E9" s="913" t="s">
        <v>160</v>
      </c>
      <c r="F9" s="914">
        <f>F3*F4</f>
        <v>0</v>
      </c>
      <c r="H9" s="901"/>
    </row>
    <row r="10" spans="1:8" ht="15.6" x14ac:dyDescent="0.3">
      <c r="B10" s="902" t="s">
        <v>109</v>
      </c>
      <c r="C10" s="903">
        <f>C3-C9</f>
        <v>1240000</v>
      </c>
      <c r="E10" s="913" t="s">
        <v>109</v>
      </c>
      <c r="F10" s="914">
        <f>F3-F9</f>
        <v>0</v>
      </c>
      <c r="H10" s="901"/>
    </row>
    <row r="11" spans="1:8" ht="16.2" thickBot="1" x14ac:dyDescent="0.35">
      <c r="B11" s="908" t="s">
        <v>161</v>
      </c>
      <c r="C11" s="909">
        <f>-PMT(C7/C6,C8,C10,0)</f>
        <v>8179.9002911065363</v>
      </c>
      <c r="E11" s="919" t="s">
        <v>161</v>
      </c>
      <c r="F11" s="920" t="e">
        <f>-PMT(F7/F6,F8,F10,0)</f>
        <v>#NUM!</v>
      </c>
      <c r="H11" s="901"/>
    </row>
    <row r="12" spans="1:8" ht="15" thickBot="1" x14ac:dyDescent="0.35">
      <c r="H12" s="901"/>
    </row>
    <row r="13" spans="1:8" ht="18.600000000000001" thickBot="1" x14ac:dyDescent="0.35">
      <c r="B13" s="984" t="s">
        <v>244</v>
      </c>
      <c r="C13" s="985"/>
      <c r="E13" s="986" t="s">
        <v>244</v>
      </c>
      <c r="F13" s="987"/>
      <c r="H13" s="901"/>
    </row>
    <row r="14" spans="1:8" ht="16.8" thickTop="1" thickBot="1" x14ac:dyDescent="0.35">
      <c r="B14" s="910" t="s">
        <v>245</v>
      </c>
      <c r="C14" s="911">
        <v>0</v>
      </c>
      <c r="E14" s="921" t="s">
        <v>245</v>
      </c>
      <c r="F14" s="653">
        <v>0</v>
      </c>
      <c r="H14" s="901"/>
    </row>
    <row r="15" spans="1:8" ht="16.8" thickTop="1" thickBot="1" x14ac:dyDescent="0.35">
      <c r="B15" s="902" t="s">
        <v>156</v>
      </c>
      <c r="C15" s="912">
        <v>0</v>
      </c>
      <c r="E15" s="913" t="s">
        <v>156</v>
      </c>
      <c r="F15" s="651">
        <v>0</v>
      </c>
      <c r="H15" s="901"/>
    </row>
    <row r="16" spans="1:8" ht="16.8" thickTop="1" thickBot="1" x14ac:dyDescent="0.35">
      <c r="B16" s="902" t="s">
        <v>157</v>
      </c>
      <c r="C16" s="906">
        <v>12</v>
      </c>
      <c r="E16" s="913" t="s">
        <v>157</v>
      </c>
      <c r="F16" s="917">
        <v>12</v>
      </c>
      <c r="H16" s="901"/>
    </row>
    <row r="17" spans="2:6" ht="16.8" thickTop="1" thickBot="1" x14ac:dyDescent="0.35">
      <c r="B17" s="902" t="s">
        <v>158</v>
      </c>
      <c r="C17" s="698">
        <v>0</v>
      </c>
      <c r="E17" s="913" t="s">
        <v>158</v>
      </c>
      <c r="F17" s="698">
        <v>0</v>
      </c>
    </row>
    <row r="18" spans="2:6" ht="16.2" thickTop="1" x14ac:dyDescent="0.3">
      <c r="B18" s="902" t="s">
        <v>159</v>
      </c>
      <c r="C18" s="907">
        <f>C15*C16</f>
        <v>0</v>
      </c>
      <c r="E18" s="913" t="s">
        <v>159</v>
      </c>
      <c r="F18" s="918">
        <f>F15*F16</f>
        <v>0</v>
      </c>
    </row>
    <row r="19" spans="2:6" ht="16.2" thickBot="1" x14ac:dyDescent="0.35">
      <c r="B19" s="908" t="s">
        <v>161</v>
      </c>
      <c r="C19" s="909" t="e">
        <f>-PMT(C17/C16,C18,C14,0)</f>
        <v>#NUM!</v>
      </c>
      <c r="E19" s="919" t="s">
        <v>161</v>
      </c>
      <c r="F19" s="920" t="e">
        <f>-PMT(F17/F16,F18,F14,0)</f>
        <v>#NUM!</v>
      </c>
    </row>
    <row r="20" spans="2:6" x14ac:dyDescent="0.3"/>
    <row r="21" spans="2:6" x14ac:dyDescent="0.3"/>
  </sheetData>
  <sheetProtection algorithmName="SHA-512" hashValue="rT7sNWoiBKIKRbCq3wjvmkgFxPFxvvhYMXu7smJfchQT3U1CC74neG5OeidJbuFhu7eku3Yi2q8Ge+DbNOfN7A==" saltValue="RbMwFyD/5nwre9IknJriLQ==" spinCount="100000" sheet="1" objects="1" scenarios="1"/>
  <mergeCells count="6">
    <mergeCell ref="B2:C2"/>
    <mergeCell ref="B13:C13"/>
    <mergeCell ref="E2:F2"/>
    <mergeCell ref="E13:F13"/>
    <mergeCell ref="B1:C1"/>
    <mergeCell ref="E1:F1"/>
  </mergeCells>
  <hyperlinks>
    <hyperlink ref="A1" location="'Table of contents'!A1" display="Table of contents" xr:uid="{E0D21217-816E-47D1-A10B-FAE215A1758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A803-7845-49F8-9A08-7AB41A9D3784}">
  <sheetPr codeName="Sheet18">
    <tabColor rgb="FFFFFF00"/>
  </sheetPr>
  <dimension ref="A1:H17"/>
  <sheetViews>
    <sheetView tabSelected="1" workbookViewId="0">
      <selection activeCell="C5" sqref="C5"/>
    </sheetView>
  </sheetViews>
  <sheetFormatPr defaultColWidth="0" defaultRowHeight="14.4" zeroHeight="1" x14ac:dyDescent="0.3"/>
  <cols>
    <col min="1" max="1" width="35.21875" style="583" customWidth="1"/>
    <col min="2" max="2" width="22.33203125" style="583" customWidth="1"/>
    <col min="3" max="3" width="12.77734375" style="583" customWidth="1"/>
    <col min="4" max="4" width="3.21875" style="583" customWidth="1"/>
    <col min="5" max="5" width="22.33203125" style="583" customWidth="1"/>
    <col min="6" max="6" width="12.77734375" style="583" customWidth="1"/>
    <col min="7" max="7" width="8.77734375" style="583" customWidth="1"/>
    <col min="8" max="8" width="27.33203125" style="583" hidden="1" customWidth="1"/>
    <col min="9" max="16384" width="8.77734375" style="583" hidden="1"/>
  </cols>
  <sheetData>
    <row r="1" spans="1:8" ht="16.2" thickBot="1" x14ac:dyDescent="0.35">
      <c r="A1" s="628" t="s">
        <v>454</v>
      </c>
      <c r="B1" s="993" t="s">
        <v>318</v>
      </c>
      <c r="C1" s="993"/>
      <c r="E1" s="993" t="s">
        <v>319</v>
      </c>
      <c r="F1" s="993"/>
      <c r="H1" s="1"/>
    </row>
    <row r="2" spans="1:8" ht="16.2" thickBot="1" x14ac:dyDescent="0.35">
      <c r="B2" s="989" t="s">
        <v>162</v>
      </c>
      <c r="C2" s="990"/>
      <c r="E2" s="991" t="s">
        <v>162</v>
      </c>
      <c r="F2" s="992"/>
      <c r="H2" s="1"/>
    </row>
    <row r="3" spans="1:8" ht="16.8" thickTop="1" thickBot="1" x14ac:dyDescent="0.35">
      <c r="B3" s="886" t="s">
        <v>163</v>
      </c>
      <c r="C3" s="715">
        <v>0</v>
      </c>
      <c r="E3" s="890" t="s">
        <v>163</v>
      </c>
      <c r="F3" s="715">
        <v>0</v>
      </c>
      <c r="H3" s="1"/>
    </row>
    <row r="4" spans="1:8" ht="16.8" thickTop="1" thickBot="1" x14ac:dyDescent="0.35">
      <c r="B4" s="887" t="s">
        <v>164</v>
      </c>
      <c r="C4" s="676">
        <v>0</v>
      </c>
      <c r="E4" s="891" t="s">
        <v>164</v>
      </c>
      <c r="F4" s="676">
        <v>0</v>
      </c>
      <c r="H4" s="1"/>
    </row>
    <row r="5" spans="1:8" ht="16.8" thickTop="1" thickBot="1" x14ac:dyDescent="0.35">
      <c r="B5" s="887" t="s">
        <v>165</v>
      </c>
      <c r="C5" s="715">
        <v>0</v>
      </c>
      <c r="E5" s="891" t="s">
        <v>165</v>
      </c>
      <c r="F5" s="715">
        <v>0</v>
      </c>
      <c r="H5" s="1"/>
    </row>
    <row r="6" spans="1:8" ht="16.8" thickTop="1" thickBot="1" x14ac:dyDescent="0.35">
      <c r="B6" s="888" t="s">
        <v>166</v>
      </c>
      <c r="C6" s="889">
        <f>C3*C4/12+C5</f>
        <v>0</v>
      </c>
      <c r="E6" s="892" t="s">
        <v>166</v>
      </c>
      <c r="F6" s="893">
        <f>F3*F4/12+F5</f>
        <v>0</v>
      </c>
      <c r="H6" s="1"/>
    </row>
    <row r="7" spans="1:8" x14ac:dyDescent="0.3">
      <c r="H7" s="1"/>
    </row>
    <row r="8" spans="1:8" hidden="1" x14ac:dyDescent="0.3">
      <c r="H8" s="1"/>
    </row>
    <row r="9" spans="1:8" hidden="1" x14ac:dyDescent="0.3">
      <c r="H9" s="1"/>
    </row>
    <row r="10" spans="1:8" hidden="1" x14ac:dyDescent="0.3">
      <c r="H10" s="1"/>
    </row>
    <row r="11" spans="1:8" hidden="1" x14ac:dyDescent="0.3">
      <c r="H11" s="1"/>
    </row>
    <row r="12" spans="1:8" hidden="1" x14ac:dyDescent="0.3">
      <c r="H12" s="1"/>
    </row>
    <row r="13" spans="1:8" hidden="1" x14ac:dyDescent="0.3">
      <c r="H13" s="1"/>
    </row>
    <row r="14" spans="1:8" hidden="1" x14ac:dyDescent="0.3">
      <c r="H14" s="1"/>
    </row>
    <row r="15" spans="1:8" hidden="1" x14ac:dyDescent="0.3">
      <c r="H15" s="1"/>
    </row>
    <row r="16" spans="1:8" hidden="1" x14ac:dyDescent="0.3">
      <c r="H16" s="1"/>
    </row>
    <row r="17" spans="8:8" hidden="1" x14ac:dyDescent="0.3">
      <c r="H17" s="1"/>
    </row>
  </sheetData>
  <sheetProtection algorithmName="SHA-512" hashValue="B6H6R3/b+yHEvcLkmwjRd+xGonp/6MuqLEYke9HT+tZ71ZUtm2hAvXNxeYDAPpPSHABMMyXIIoz1pvobkOuz2A==" saltValue="uc+laD/GAfBsQg20t1UUpw==" spinCount="100000" sheet="1" objects="1" scenarios="1"/>
  <mergeCells count="4">
    <mergeCell ref="B2:C2"/>
    <mergeCell ref="E2:F2"/>
    <mergeCell ref="B1:C1"/>
    <mergeCell ref="E1:F1"/>
  </mergeCells>
  <hyperlinks>
    <hyperlink ref="A1" location="'Table of contents'!A1" display="Table of contents" xr:uid="{4C28D523-3EC5-48BF-8D82-1DC89155162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EA68-8534-44D7-B79F-279E69C2F6EB}">
  <sheetPr codeName="Sheet8">
    <tabColor theme="4" tint="0.39997558519241921"/>
  </sheetPr>
  <dimension ref="A1:C22"/>
  <sheetViews>
    <sheetView workbookViewId="0">
      <selection activeCell="E19" sqref="E19"/>
    </sheetView>
  </sheetViews>
  <sheetFormatPr defaultColWidth="8.77734375" defaultRowHeight="14.4" x14ac:dyDescent="0.3"/>
  <cols>
    <col min="1" max="1" width="8.77734375" style="1"/>
    <col min="2" max="2" width="39.77734375" style="1" customWidth="1"/>
    <col min="3" max="3" width="19.21875" style="1" customWidth="1"/>
    <col min="4" max="4" width="8.77734375" style="1"/>
    <col min="5" max="5" width="27.21875" style="1" customWidth="1"/>
    <col min="6" max="16384" width="8.77734375" style="1"/>
  </cols>
  <sheetData>
    <row r="1" spans="1:3" x14ac:dyDescent="0.3">
      <c r="A1" s="628" t="s">
        <v>454</v>
      </c>
    </row>
    <row r="2" spans="1:3" ht="21" x14ac:dyDescent="0.4">
      <c r="B2" s="977" t="s">
        <v>253</v>
      </c>
      <c r="C2" s="977"/>
    </row>
    <row r="3" spans="1:3" x14ac:dyDescent="0.3">
      <c r="B3" s="290" t="s">
        <v>240</v>
      </c>
      <c r="C3" s="298">
        <f>SUM(C4:C6)</f>
        <v>0</v>
      </c>
    </row>
    <row r="4" spans="1:3" x14ac:dyDescent="0.3">
      <c r="B4" s="295" t="s">
        <v>254</v>
      </c>
      <c r="C4" s="292">
        <f>('Calculating offering price ARV'!C51+'Calculating offering price ARV'!D49+'Calculating offering price ARV'!E49)*12</f>
        <v>0</v>
      </c>
    </row>
    <row r="5" spans="1:3" x14ac:dyDescent="0.3">
      <c r="B5" s="295" t="s">
        <v>255</v>
      </c>
      <c r="C5" s="293">
        <f>SUM('Calculating offering price ARV'!C53:C56)</f>
        <v>0</v>
      </c>
    </row>
    <row r="6" spans="1:3" x14ac:dyDescent="0.3">
      <c r="B6" s="296" t="s">
        <v>256</v>
      </c>
      <c r="C6" s="294">
        <f>-'ROI Number insert ARV'!E26</f>
        <v>0</v>
      </c>
    </row>
    <row r="7" spans="1:3" x14ac:dyDescent="0.3">
      <c r="B7" s="290" t="s">
        <v>241</v>
      </c>
      <c r="C7" s="298">
        <f>SUM(C8:C18)</f>
        <v>17888.089249411765</v>
      </c>
    </row>
    <row r="8" spans="1:3" x14ac:dyDescent="0.3">
      <c r="B8" s="295" t="s">
        <v>257</v>
      </c>
      <c r="C8" s="292">
        <f>'ROI Number insert ARV'!E41</f>
        <v>0</v>
      </c>
    </row>
    <row r="9" spans="1:3" x14ac:dyDescent="0.3">
      <c r="B9" s="295" t="s">
        <v>258</v>
      </c>
      <c r="C9" s="292">
        <f>'ROI Number insert ARV'!E38</f>
        <v>1500</v>
      </c>
    </row>
    <row r="10" spans="1:3" x14ac:dyDescent="0.3">
      <c r="B10" s="295" t="s">
        <v>259</v>
      </c>
      <c r="C10" s="292">
        <f>'ROI Number insert ARV'!E35</f>
        <v>1571.1435294117646</v>
      </c>
    </row>
    <row r="11" spans="1:3" x14ac:dyDescent="0.3">
      <c r="B11" s="295" t="s">
        <v>260</v>
      </c>
      <c r="C11" s="292">
        <f>'ROI Number insert ARV'!E39</f>
        <v>0</v>
      </c>
    </row>
    <row r="12" spans="1:3" x14ac:dyDescent="0.3">
      <c r="B12" s="295" t="s">
        <v>261</v>
      </c>
      <c r="C12" s="292">
        <f>'ROI Number insert ARV'!E40</f>
        <v>0</v>
      </c>
    </row>
    <row r="13" spans="1:3" x14ac:dyDescent="0.3">
      <c r="B13" s="295" t="s">
        <v>262</v>
      </c>
      <c r="C13" s="292">
        <f>'ROI Number insert ARV'!E34</f>
        <v>0</v>
      </c>
    </row>
    <row r="14" spans="1:3" x14ac:dyDescent="0.3">
      <c r="B14" s="295" t="s">
        <v>39</v>
      </c>
      <c r="C14" s="292">
        <f>'ROI Number insert ARV'!E37</f>
        <v>10884</v>
      </c>
    </row>
    <row r="15" spans="1:3" x14ac:dyDescent="0.3">
      <c r="B15" s="295" t="s">
        <v>190</v>
      </c>
      <c r="C15" s="292">
        <f>'ROI Number insert ARV'!E42</f>
        <v>0</v>
      </c>
    </row>
    <row r="16" spans="1:3" x14ac:dyDescent="0.3">
      <c r="B16" s="295" t="s">
        <v>263</v>
      </c>
      <c r="C16" s="292">
        <f>'ROI Number insert ARV'!E43</f>
        <v>0</v>
      </c>
    </row>
    <row r="17" spans="2:3" x14ac:dyDescent="0.3">
      <c r="B17" s="295" t="s">
        <v>267</v>
      </c>
      <c r="C17" s="292">
        <f>'ROI Number insert ARV'!H16</f>
        <v>0</v>
      </c>
    </row>
    <row r="18" spans="2:3" x14ac:dyDescent="0.3">
      <c r="B18" s="296" t="s">
        <v>264</v>
      </c>
      <c r="C18" s="297">
        <f>'ROI Number insert ARV'!E32</f>
        <v>3932.9457199999997</v>
      </c>
    </row>
    <row r="19" spans="2:3" x14ac:dyDescent="0.3">
      <c r="B19" s="299" t="s">
        <v>218</v>
      </c>
      <c r="C19" s="300">
        <f>C3-C7</f>
        <v>-17888.089249411765</v>
      </c>
    </row>
    <row r="20" spans="2:3" x14ac:dyDescent="0.3">
      <c r="B20" s="1" t="s">
        <v>265</v>
      </c>
      <c r="C20" s="292" t="e">
        <f>'ROI Number insert ARV'!E30</f>
        <v>#NUM!</v>
      </c>
    </row>
    <row r="21" spans="2:3" x14ac:dyDescent="0.3">
      <c r="B21" s="291" t="s">
        <v>266</v>
      </c>
      <c r="C21" s="297">
        <f>'ROI Number insert ARV'!H17</f>
        <v>0</v>
      </c>
    </row>
    <row r="22" spans="2:3" ht="15.6" x14ac:dyDescent="0.3">
      <c r="B22" s="177" t="s">
        <v>141</v>
      </c>
      <c r="C22" s="301" t="e">
        <f>C19-SUM(C20:C21)</f>
        <v>#NUM!</v>
      </c>
    </row>
  </sheetData>
  <mergeCells count="1">
    <mergeCell ref="B2:C2"/>
  </mergeCells>
  <hyperlinks>
    <hyperlink ref="A1" location="'Table of contents'!A1" display="Table of contents" xr:uid="{2DA52B62-911F-4E39-B3E7-73EC9FBA699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6C6F-B511-49D2-890F-A02756542E87}">
  <sheetPr codeName="Sheet10">
    <tabColor theme="4" tint="0.39997558519241921"/>
  </sheetPr>
  <dimension ref="A1:J118"/>
  <sheetViews>
    <sheetView workbookViewId="0">
      <selection activeCell="C1" sqref="C1"/>
    </sheetView>
  </sheetViews>
  <sheetFormatPr defaultColWidth="8.77734375" defaultRowHeight="14.4" x14ac:dyDescent="0.3"/>
  <cols>
    <col min="1" max="1" width="17.109375" style="3" customWidth="1"/>
    <col min="2" max="2" width="49.44140625" style="362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2.109375" style="3" hidden="1" customWidth="1"/>
    <col min="7" max="7" width="27.21875" style="3" customWidth="1"/>
    <col min="8" max="16384" width="8.77734375" style="3"/>
  </cols>
  <sheetData>
    <row r="1" spans="1:8" ht="19.5" customHeight="1" thickBot="1" x14ac:dyDescent="0.35">
      <c r="A1" s="5" t="s">
        <v>454</v>
      </c>
      <c r="B1" s="313" t="s">
        <v>0</v>
      </c>
      <c r="D1" s="4"/>
      <c r="H1" s="4"/>
    </row>
    <row r="2" spans="1:8" ht="24" thickBot="1" x14ac:dyDescent="0.35">
      <c r="B2" s="994" t="s">
        <v>1</v>
      </c>
      <c r="C2" s="995"/>
      <c r="F2" s="5"/>
    </row>
    <row r="3" spans="1:8" ht="31.05" customHeight="1" x14ac:dyDescent="0.3">
      <c r="B3" s="314" t="s">
        <v>2</v>
      </c>
      <c r="C3" s="374" t="str">
        <f>'Calculating offering price'!C3</f>
        <v>Commercial</v>
      </c>
      <c r="F3" s="6" t="s">
        <v>4</v>
      </c>
    </row>
    <row r="4" spans="1:8" ht="15.6" x14ac:dyDescent="0.3">
      <c r="B4" s="315" t="s">
        <v>5</v>
      </c>
      <c r="C4" s="373">
        <f>'Calculating offering price'!C4</f>
        <v>1588000</v>
      </c>
      <c r="F4" s="7" t="s">
        <v>6</v>
      </c>
      <c r="H4" s="4"/>
    </row>
    <row r="5" spans="1:8" ht="15.6" x14ac:dyDescent="0.3">
      <c r="B5" s="316" t="s">
        <v>7</v>
      </c>
      <c r="C5" s="375">
        <f>'Calculating offering price'!C5</f>
        <v>516823.52941176464</v>
      </c>
      <c r="D5" s="8" t="s">
        <v>236</v>
      </c>
      <c r="F5" s="3" t="s">
        <v>8</v>
      </c>
      <c r="H5" s="4"/>
    </row>
    <row r="6" spans="1:8" ht="13.5" customHeight="1" x14ac:dyDescent="0.3">
      <c r="B6" s="316" t="s">
        <v>9</v>
      </c>
      <c r="C6" s="376">
        <f>'Calculating offering price'!C6</f>
        <v>1861</v>
      </c>
      <c r="F6" s="3" t="s">
        <v>10</v>
      </c>
      <c r="H6" s="4"/>
    </row>
    <row r="7" spans="1:8" ht="15.6" x14ac:dyDescent="0.3">
      <c r="B7" s="316" t="s">
        <v>11</v>
      </c>
      <c r="C7" s="9">
        <f>C5*0.8</f>
        <v>413458.82352941175</v>
      </c>
      <c r="F7" s="3" t="s">
        <v>12</v>
      </c>
      <c r="H7" s="4"/>
    </row>
    <row r="8" spans="1:8" ht="15" customHeight="1" thickBot="1" x14ac:dyDescent="0.35">
      <c r="B8" s="316" t="s">
        <v>13</v>
      </c>
      <c r="C8" s="9">
        <f>C5*6%</f>
        <v>31009.411764705877</v>
      </c>
      <c r="D8" s="2"/>
      <c r="F8" s="3" t="s">
        <v>14</v>
      </c>
      <c r="H8" s="4"/>
    </row>
    <row r="9" spans="1:8" ht="16.8" thickTop="1" thickBot="1" x14ac:dyDescent="0.35">
      <c r="B9" s="317" t="s">
        <v>15</v>
      </c>
      <c r="C9" s="650">
        <v>0</v>
      </c>
      <c r="D9" s="4"/>
      <c r="F9" s="3" t="s">
        <v>16</v>
      </c>
      <c r="H9" s="4"/>
    </row>
    <row r="10" spans="1:8" ht="16.8" thickTop="1" thickBot="1" x14ac:dyDescent="0.35">
      <c r="B10" s="316" t="s">
        <v>17</v>
      </c>
      <c r="C10" s="9" t="e">
        <f>C37</f>
        <v>#NUM!</v>
      </c>
      <c r="D10" s="4"/>
      <c r="F10" s="3" t="s">
        <v>3</v>
      </c>
      <c r="H10" s="4"/>
    </row>
    <row r="11" spans="1:8" ht="16.8" thickTop="1" thickBot="1" x14ac:dyDescent="0.35">
      <c r="B11" s="316" t="s">
        <v>18</v>
      </c>
      <c r="C11" s="651">
        <v>0</v>
      </c>
      <c r="D11" s="4"/>
      <c r="H11" s="4"/>
    </row>
    <row r="12" spans="1:8" ht="16.2" thickTop="1" x14ac:dyDescent="0.3">
      <c r="B12" s="316" t="s">
        <v>19</v>
      </c>
      <c r="C12" s="9" t="e">
        <f>C10*C11</f>
        <v>#NUM!</v>
      </c>
      <c r="D12" s="4"/>
      <c r="H12" s="10"/>
    </row>
    <row r="13" spans="1:8" ht="15.6" x14ac:dyDescent="0.3">
      <c r="B13" s="316" t="s">
        <v>20</v>
      </c>
      <c r="C13" s="391">
        <f>'Calculating offering price'!C13</f>
        <v>0.2</v>
      </c>
      <c r="D13" s="4"/>
      <c r="H13" s="4"/>
    </row>
    <row r="14" spans="1:8" ht="16.2" thickBot="1" x14ac:dyDescent="0.35">
      <c r="A14" s="196"/>
      <c r="B14" s="318" t="s">
        <v>214</v>
      </c>
      <c r="C14" s="11" t="e">
        <f>C7-C9-C12-C8</f>
        <v>#NUM!</v>
      </c>
      <c r="D14" s="4"/>
      <c r="H14" s="4"/>
    </row>
    <row r="15" spans="1:8" ht="16.2" thickBot="1" x14ac:dyDescent="0.35">
      <c r="B15" s="996" t="s">
        <v>21</v>
      </c>
      <c r="C15" s="997"/>
      <c r="D15" s="4"/>
      <c r="H15" s="4"/>
    </row>
    <row r="16" spans="1:8" ht="15.6" x14ac:dyDescent="0.3">
      <c r="B16" s="319" t="s">
        <v>22</v>
      </c>
      <c r="C16" s="239" t="e">
        <f>C14*C13</f>
        <v>#NUM!</v>
      </c>
      <c r="D16" s="4"/>
      <c r="H16" s="4"/>
    </row>
    <row r="17" spans="2:9" ht="15.6" x14ac:dyDescent="0.3">
      <c r="B17" s="320" t="s">
        <v>234</v>
      </c>
      <c r="C17" s="240" t="e">
        <f>C14*4.5%</f>
        <v>#NUM!</v>
      </c>
      <c r="D17" s="8" t="s">
        <v>23</v>
      </c>
      <c r="H17" s="4"/>
    </row>
    <row r="18" spans="2:9" ht="15.6" x14ac:dyDescent="0.3">
      <c r="B18" s="320" t="s">
        <v>24</v>
      </c>
      <c r="C18" s="240" t="e">
        <f>C9+C16+C17</f>
        <v>#NUM!</v>
      </c>
      <c r="D18" s="4"/>
      <c r="H18" s="4"/>
    </row>
    <row r="19" spans="2:9" ht="16.05" customHeight="1" thickBot="1" x14ac:dyDescent="0.35">
      <c r="B19" s="321" t="s">
        <v>232</v>
      </c>
      <c r="C19" s="241">
        <f>'Calculating offering price'!C19</f>
        <v>208051</v>
      </c>
      <c r="D19" s="933" t="s">
        <v>235</v>
      </c>
      <c r="E19" s="934"/>
      <c r="F19" s="934"/>
      <c r="G19" s="934"/>
      <c r="H19" s="934"/>
    </row>
    <row r="20" spans="2:9" ht="21.75" customHeight="1" thickBot="1" x14ac:dyDescent="0.35">
      <c r="B20" s="998" t="s">
        <v>7</v>
      </c>
      <c r="C20" s="999"/>
      <c r="D20" s="8"/>
      <c r="E20" s="8"/>
      <c r="F20" s="8"/>
      <c r="G20" s="4"/>
      <c r="H20" s="4"/>
    </row>
    <row r="21" spans="2:9" ht="27.45" customHeight="1" x14ac:dyDescent="0.3">
      <c r="B21" s="322" t="s">
        <v>242</v>
      </c>
      <c r="C21" s="242" t="e">
        <f>C46*C6</f>
        <v>#DIV/0!</v>
      </c>
      <c r="D21" s="935" t="s">
        <v>25</v>
      </c>
      <c r="E21" s="936"/>
      <c r="F21" s="936"/>
      <c r="G21" s="936"/>
      <c r="H21" s="936"/>
      <c r="I21" s="244"/>
    </row>
    <row r="22" spans="2:9" ht="18.75" customHeight="1" x14ac:dyDescent="0.3">
      <c r="B22" s="323" t="str">
        <f>B66</f>
        <v>Conservative CF Multiplier Evaluation</v>
      </c>
      <c r="C22" s="12">
        <f>C78</f>
        <v>-113375</v>
      </c>
      <c r="F22" s="4"/>
      <c r="G22" s="4"/>
      <c r="H22" s="4"/>
    </row>
    <row r="23" spans="2:9" ht="16.2" thickBot="1" x14ac:dyDescent="0.35">
      <c r="B23" s="323" t="str">
        <f>B47</f>
        <v>CF Multiplier Evaluation</v>
      </c>
      <c r="C23" s="12">
        <f>C59</f>
        <v>-106705.88235294117</v>
      </c>
      <c r="H23" s="4"/>
    </row>
    <row r="24" spans="2:9" ht="16.2" thickBot="1" x14ac:dyDescent="0.35">
      <c r="B24" s="931" t="s">
        <v>26</v>
      </c>
      <c r="C24" s="932"/>
      <c r="H24" s="4"/>
    </row>
    <row r="25" spans="2:9" ht="15.6" x14ac:dyDescent="0.3">
      <c r="B25" s="324" t="s">
        <v>27</v>
      </c>
      <c r="C25" s="243" t="e">
        <f>C14*(100%-C13)</f>
        <v>#NUM!</v>
      </c>
      <c r="D25" s="8" t="s">
        <v>28</v>
      </c>
      <c r="H25" s="4"/>
    </row>
    <row r="26" spans="2:9" x14ac:dyDescent="0.3">
      <c r="B26" s="325" t="s">
        <v>29</v>
      </c>
      <c r="C26" s="311" t="e">
        <f>'Mortgage Caculator'!F11</f>
        <v>#NUM!</v>
      </c>
      <c r="D26" s="2" t="s">
        <v>30</v>
      </c>
    </row>
    <row r="27" spans="2:9" ht="15.6" x14ac:dyDescent="0.3">
      <c r="B27" s="326" t="s">
        <v>31</v>
      </c>
      <c r="C27" s="13" t="e">
        <f>C26*12</f>
        <v>#NUM!</v>
      </c>
      <c r="H27" s="4"/>
    </row>
    <row r="28" spans="2:9" ht="15.6" x14ac:dyDescent="0.3">
      <c r="B28" s="327" t="s">
        <v>32</v>
      </c>
      <c r="C28" s="377">
        <f>'Calculating offering price'!C28</f>
        <v>3932.9457199999997</v>
      </c>
      <c r="D28" s="3" t="s">
        <v>211</v>
      </c>
      <c r="H28" s="4"/>
    </row>
    <row r="29" spans="2:9" ht="15.6" x14ac:dyDescent="0.3">
      <c r="B29" s="328" t="s">
        <v>33</v>
      </c>
      <c r="C29" s="14">
        <f>C28/12</f>
        <v>327.74547666666666</v>
      </c>
      <c r="E29" s="15"/>
      <c r="F29" s="15"/>
      <c r="H29" s="4"/>
    </row>
    <row r="30" spans="2:9" ht="27" customHeight="1" thickBot="1" x14ac:dyDescent="0.35">
      <c r="B30" s="329" t="s">
        <v>34</v>
      </c>
      <c r="C30" s="245">
        <f>'Debt payment Calculator'!F6</f>
        <v>0</v>
      </c>
      <c r="D30" s="937" t="s">
        <v>35</v>
      </c>
      <c r="E30" s="936"/>
      <c r="F30" s="936"/>
      <c r="G30" s="936"/>
      <c r="H30" s="936"/>
    </row>
    <row r="31" spans="2:9" ht="16.5" customHeight="1" thickTop="1" thickBot="1" x14ac:dyDescent="0.35">
      <c r="B31" s="330" t="s">
        <v>246</v>
      </c>
      <c r="C31" s="650">
        <v>0</v>
      </c>
      <c r="D31" s="282" t="s">
        <v>30</v>
      </c>
      <c r="E31" s="271"/>
      <c r="F31" s="271"/>
      <c r="G31" s="271"/>
      <c r="H31" s="271"/>
    </row>
    <row r="32" spans="2:9" ht="16.2" thickTop="1" x14ac:dyDescent="0.3">
      <c r="B32" s="331" t="s">
        <v>36</v>
      </c>
      <c r="C32" s="377">
        <f>'Calculating offering price'!C32</f>
        <v>1500</v>
      </c>
      <c r="F32" s="4"/>
      <c r="G32" s="4"/>
      <c r="H32" s="4"/>
    </row>
    <row r="33" spans="2:9" ht="13.5" customHeight="1" x14ac:dyDescent="0.3">
      <c r="B33" s="331" t="s">
        <v>37</v>
      </c>
      <c r="C33" s="16">
        <f>'Calculating offering price'!C33</f>
        <v>1571.1435294117646</v>
      </c>
      <c r="D33" s="2" t="s">
        <v>38</v>
      </c>
      <c r="F33" s="4"/>
      <c r="G33" s="4"/>
      <c r="H33" s="4"/>
    </row>
    <row r="34" spans="2:9" ht="15.6" x14ac:dyDescent="0.3">
      <c r="B34" s="332" t="s">
        <v>39</v>
      </c>
      <c r="C34" s="378">
        <f>'Calculating offering price'!C34</f>
        <v>907</v>
      </c>
      <c r="F34" s="4"/>
      <c r="G34" s="4"/>
      <c r="H34" s="4"/>
    </row>
    <row r="35" spans="2:9" ht="15.6" x14ac:dyDescent="0.3">
      <c r="B35" s="333" t="s">
        <v>40</v>
      </c>
      <c r="C35" s="17">
        <f>C34*12</f>
        <v>10884</v>
      </c>
      <c r="F35" s="4"/>
      <c r="G35" s="4"/>
      <c r="H35" s="4"/>
    </row>
    <row r="36" spans="2:9" ht="15.6" x14ac:dyDescent="0.3">
      <c r="B36" s="334" t="s">
        <v>41</v>
      </c>
      <c r="C36" s="18" t="e">
        <f>C27+C28+(C30*12)+C32+C33+C35</f>
        <v>#NUM!</v>
      </c>
      <c r="F36" s="4"/>
      <c r="G36" s="4"/>
      <c r="H36" s="4"/>
    </row>
    <row r="37" spans="2:9" ht="16.2" thickBot="1" x14ac:dyDescent="0.35">
      <c r="B37" s="335" t="s">
        <v>42</v>
      </c>
      <c r="C37" s="19" t="e">
        <f>C36/12</f>
        <v>#NUM!</v>
      </c>
      <c r="F37" s="4"/>
      <c r="G37" s="4"/>
      <c r="H37" s="4"/>
    </row>
    <row r="38" spans="2:9" ht="18.600000000000001" thickBot="1" x14ac:dyDescent="0.4">
      <c r="B38" s="336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7"/>
      <c r="C39" s="246" t="s">
        <v>45</v>
      </c>
      <c r="D39" s="246" t="s">
        <v>46</v>
      </c>
      <c r="E39" s="247" t="s">
        <v>47</v>
      </c>
      <c r="F39" s="4"/>
      <c r="G39" s="4"/>
      <c r="H39" s="4"/>
    </row>
    <row r="40" spans="2:9" ht="15.6" x14ac:dyDescent="0.3">
      <c r="B40" s="338" t="s">
        <v>48</v>
      </c>
      <c r="C40" s="20" t="str">
        <f>C3</f>
        <v>Commercial</v>
      </c>
      <c r="D40" s="20" t="str">
        <f>C3</f>
        <v>Commercial</v>
      </c>
      <c r="E40" s="248" t="str">
        <f>C3</f>
        <v>Commercial</v>
      </c>
      <c r="F40" s="4"/>
      <c r="G40" s="21" t="s">
        <v>49</v>
      </c>
      <c r="H40" s="22" t="s">
        <v>50</v>
      </c>
    </row>
    <row r="41" spans="2:9" ht="15.6" x14ac:dyDescent="0.3">
      <c r="B41" s="338" t="s">
        <v>51</v>
      </c>
      <c r="C41" s="398">
        <v>0</v>
      </c>
      <c r="D41" s="20">
        <f>C41</f>
        <v>0</v>
      </c>
      <c r="E41" s="248">
        <f>C41</f>
        <v>0</v>
      </c>
      <c r="F41" s="4"/>
      <c r="G41" s="4"/>
      <c r="H41" s="4"/>
    </row>
    <row r="42" spans="2:9" ht="15.6" x14ac:dyDescent="0.3">
      <c r="B42" s="338" t="s">
        <v>52</v>
      </c>
      <c r="C42" s="398">
        <f>'Calculating offering price'!C42</f>
        <v>3</v>
      </c>
      <c r="D42" s="20">
        <f>C42</f>
        <v>3</v>
      </c>
      <c r="E42" s="248">
        <f>C42</f>
        <v>3</v>
      </c>
      <c r="F42" s="4"/>
      <c r="G42" s="4"/>
      <c r="H42" s="4"/>
    </row>
    <row r="43" spans="2:9" ht="15.6" x14ac:dyDescent="0.3">
      <c r="B43" s="338" t="s">
        <v>9</v>
      </c>
      <c r="C43" s="398">
        <f>'Calculating offering price'!C43</f>
        <v>0</v>
      </c>
      <c r="D43" s="20">
        <f>'Calculating offering price'!D43</f>
        <v>0</v>
      </c>
      <c r="E43" s="248">
        <f>'Calculating offering price'!E43</f>
        <v>0</v>
      </c>
      <c r="F43" s="4"/>
      <c r="G43" s="4"/>
      <c r="H43" s="4"/>
    </row>
    <row r="44" spans="2:9" ht="28.95" customHeight="1" x14ac:dyDescent="0.3">
      <c r="B44" s="339" t="s">
        <v>53</v>
      </c>
      <c r="C44" s="399">
        <f>'Calculating offering price'!C44</f>
        <v>0</v>
      </c>
      <c r="D44" s="400">
        <f>'Calculating offering price'!D44</f>
        <v>0</v>
      </c>
      <c r="E44" s="401">
        <f>'Calculating offering price'!E44</f>
        <v>0</v>
      </c>
      <c r="F44" s="4"/>
      <c r="G44" s="934" t="s">
        <v>212</v>
      </c>
      <c r="H44" s="934"/>
      <c r="I44" s="934"/>
    </row>
    <row r="45" spans="2:9" ht="16.2" thickBot="1" x14ac:dyDescent="0.35">
      <c r="B45" s="340" t="s">
        <v>54</v>
      </c>
      <c r="C45" s="252" t="e">
        <f>C44/C43</f>
        <v>#DIV/0!</v>
      </c>
      <c r="D45" s="249" t="e">
        <f>D44/D43</f>
        <v>#DIV/0!</v>
      </c>
      <c r="E45" s="250" t="e">
        <f>E44/E43</f>
        <v>#DIV/0!</v>
      </c>
      <c r="F45" s="4"/>
      <c r="G45" s="4"/>
      <c r="H45" s="4"/>
    </row>
    <row r="46" spans="2:9" ht="16.2" thickBot="1" x14ac:dyDescent="0.35">
      <c r="B46" s="341" t="s">
        <v>55</v>
      </c>
      <c r="C46" s="251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2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29"/>
      <c r="C48" s="630" t="s">
        <v>56</v>
      </c>
      <c r="D48" s="646" t="s">
        <v>57</v>
      </c>
      <c r="E48" s="647" t="s">
        <v>58</v>
      </c>
      <c r="G48" s="4"/>
      <c r="H48" s="4"/>
    </row>
    <row r="49" spans="2:10" ht="16.8" thickTop="1" thickBot="1" x14ac:dyDescent="0.35">
      <c r="B49" s="631" t="s">
        <v>59</v>
      </c>
      <c r="C49" s="653">
        <v>0</v>
      </c>
      <c r="D49" s="674">
        <v>0</v>
      </c>
      <c r="E49" s="674">
        <v>0</v>
      </c>
      <c r="F49" s="8" t="s">
        <v>60</v>
      </c>
      <c r="G49" s="4"/>
      <c r="H49" s="4"/>
    </row>
    <row r="50" spans="2:10" ht="15" customHeight="1" thickTop="1" thickBot="1" x14ac:dyDescent="0.35">
      <c r="B50" s="632" t="s">
        <v>61</v>
      </c>
      <c r="C50" s="654">
        <v>0</v>
      </c>
      <c r="D50" s="23" t="s">
        <v>237</v>
      </c>
      <c r="E50" s="24"/>
      <c r="F50" s="24"/>
      <c r="G50" s="24"/>
      <c r="H50" s="24"/>
      <c r="I50" s="25"/>
      <c r="J50" s="25"/>
    </row>
    <row r="51" spans="2:10" ht="16.2" thickTop="1" x14ac:dyDescent="0.3">
      <c r="B51" s="632" t="s">
        <v>62</v>
      </c>
      <c r="C51" s="633">
        <f>C49*C50</f>
        <v>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32" t="s">
        <v>63</v>
      </c>
      <c r="C52" s="633">
        <f>C34</f>
        <v>907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32" t="s">
        <v>64</v>
      </c>
      <c r="C53" s="653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32" t="s">
        <v>65</v>
      </c>
      <c r="C54" s="653">
        <v>0</v>
      </c>
      <c r="D54" s="26"/>
      <c r="E54" s="27"/>
      <c r="F54" s="24"/>
      <c r="G54" s="24"/>
      <c r="H54" s="24"/>
      <c r="I54" s="25"/>
      <c r="J54" s="25"/>
    </row>
    <row r="55" spans="2:10" ht="16.8" thickTop="1" thickBot="1" x14ac:dyDescent="0.35">
      <c r="B55" s="632" t="s">
        <v>66</v>
      </c>
      <c r="C55" s="653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32" t="s">
        <v>67</v>
      </c>
      <c r="C56" s="653">
        <v>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32" t="s">
        <v>68</v>
      </c>
      <c r="C57" s="633">
        <f>SUM(D49,E49,C51,C53:C56)</f>
        <v>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34" t="s">
        <v>69</v>
      </c>
      <c r="C58" s="635">
        <f>C57-C52</f>
        <v>-907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36" t="s">
        <v>7</v>
      </c>
      <c r="C59" s="637">
        <f>C58/0.85%</f>
        <v>-106705.88235294117</v>
      </c>
      <c r="D59" s="24" t="s">
        <v>501</v>
      </c>
      <c r="E59" s="24"/>
      <c r="F59" s="24"/>
      <c r="G59" s="24"/>
      <c r="H59" s="24"/>
      <c r="I59" s="25"/>
      <c r="J59" s="25"/>
    </row>
    <row r="60" spans="2:10" ht="15.6" x14ac:dyDescent="0.3">
      <c r="B60" s="636" t="s">
        <v>5</v>
      </c>
      <c r="C60" s="637">
        <f>C4</f>
        <v>1588000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38" t="s">
        <v>72</v>
      </c>
      <c r="C61" s="639" t="e">
        <f>C14*0.6%</f>
        <v>#NUM!</v>
      </c>
      <c r="D61" s="924" t="s">
        <v>213</v>
      </c>
      <c r="E61" s="924"/>
      <c r="F61" s="924"/>
      <c r="G61" s="924"/>
      <c r="H61" s="924"/>
      <c r="I61" s="23"/>
      <c r="J61" s="23"/>
    </row>
    <row r="62" spans="2:10" s="32" customFormat="1" ht="15.6" x14ac:dyDescent="0.3">
      <c r="B62" s="640" t="s">
        <v>74</v>
      </c>
      <c r="C62" s="641" t="e">
        <f>(C60-C14)/C60</f>
        <v>#NUM!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642" t="s">
        <v>76</v>
      </c>
      <c r="C63" s="643">
        <f>C60*0.6%+C52</f>
        <v>10435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644" t="s">
        <v>78</v>
      </c>
      <c r="C64" s="645">
        <f>(C60-C59)/C60</f>
        <v>1.0671951400207438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3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2" t="s">
        <v>278</v>
      </c>
      <c r="C66" s="4"/>
      <c r="D66" s="4"/>
      <c r="E66" s="4"/>
      <c r="G66" s="4"/>
      <c r="H66" s="4"/>
    </row>
    <row r="67" spans="2:9" ht="21" x14ac:dyDescent="0.4">
      <c r="B67" s="344"/>
      <c r="C67" s="264" t="s">
        <v>56</v>
      </c>
      <c r="D67" s="265" t="s">
        <v>57</v>
      </c>
      <c r="E67" s="253" t="s">
        <v>58</v>
      </c>
      <c r="G67" s="4"/>
      <c r="H67" s="4"/>
    </row>
    <row r="68" spans="2:9" ht="16.2" thickBot="1" x14ac:dyDescent="0.35">
      <c r="B68" s="345" t="s">
        <v>59</v>
      </c>
      <c r="C68" s="266">
        <f>C49</f>
        <v>0</v>
      </c>
      <c r="D68" s="267">
        <f>D49</f>
        <v>0</v>
      </c>
      <c r="E68" s="263">
        <f>E49</f>
        <v>0</v>
      </c>
      <c r="G68" s="4"/>
      <c r="H68" s="4"/>
    </row>
    <row r="69" spans="2:9" ht="15.6" x14ac:dyDescent="0.3">
      <c r="B69" s="346" t="s">
        <v>61</v>
      </c>
      <c r="C69" s="254">
        <f>C50</f>
        <v>0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6" t="s">
        <v>62</v>
      </c>
      <c r="C70" s="255">
        <f>C68*C69</f>
        <v>0</v>
      </c>
      <c r="D70" s="35"/>
      <c r="E70" s="35"/>
      <c r="F70" s="36"/>
      <c r="G70" s="35"/>
      <c r="H70" s="35"/>
      <c r="I70" s="36"/>
    </row>
    <row r="71" spans="2:9" ht="15.6" x14ac:dyDescent="0.3">
      <c r="B71" s="346" t="s">
        <v>63</v>
      </c>
      <c r="C71" s="255">
        <f>C52</f>
        <v>907</v>
      </c>
      <c r="D71" s="37"/>
      <c r="E71" s="38"/>
      <c r="F71" s="36"/>
      <c r="G71" s="35"/>
      <c r="H71" s="35"/>
      <c r="I71" s="36"/>
    </row>
    <row r="72" spans="2:9" ht="15.6" x14ac:dyDescent="0.3">
      <c r="B72" s="346" t="s">
        <v>64</v>
      </c>
      <c r="C72" s="255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6" t="s">
        <v>65</v>
      </c>
      <c r="C73" s="255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6" t="s">
        <v>66</v>
      </c>
      <c r="C74" s="255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6" t="s">
        <v>67</v>
      </c>
      <c r="C75" s="255">
        <f>C56</f>
        <v>0</v>
      </c>
      <c r="D75" s="37"/>
      <c r="E75" s="38"/>
      <c r="F75" s="36"/>
      <c r="G75" s="36"/>
      <c r="H75" s="36"/>
      <c r="I75" s="36"/>
    </row>
    <row r="76" spans="2:9" ht="15.6" x14ac:dyDescent="0.3">
      <c r="B76" s="346" t="s">
        <v>68</v>
      </c>
      <c r="C76" s="255">
        <f>SUM(D68,E68,C70,C72:C75)</f>
        <v>0</v>
      </c>
      <c r="D76" s="37"/>
      <c r="E76" s="38"/>
      <c r="F76" s="36"/>
      <c r="G76" s="36"/>
      <c r="H76" s="36"/>
      <c r="I76" s="36"/>
    </row>
    <row r="77" spans="2:9" ht="15.6" x14ac:dyDescent="0.3">
      <c r="B77" s="347" t="s">
        <v>69</v>
      </c>
      <c r="C77" s="256">
        <f>C76-C71</f>
        <v>-907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8" t="s">
        <v>7</v>
      </c>
      <c r="C78" s="257">
        <f>C77/0.8%</f>
        <v>-113375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9" t="s">
        <v>5</v>
      </c>
      <c r="C79" s="258">
        <f>C4</f>
        <v>1588000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50" t="s">
        <v>72</v>
      </c>
      <c r="C80" s="259" t="e">
        <f>C14*0.8%</f>
        <v>#NUM!</v>
      </c>
      <c r="D80" s="938" t="s">
        <v>73</v>
      </c>
      <c r="E80" s="938"/>
      <c r="F80" s="938"/>
      <c r="G80" s="938"/>
      <c r="H80" s="938"/>
      <c r="I80" s="938"/>
    </row>
    <row r="81" spans="2:9" ht="15.6" x14ac:dyDescent="0.3">
      <c r="B81" s="351" t="s">
        <v>74</v>
      </c>
      <c r="C81" s="260" t="e">
        <f>(C79-C14)/C79</f>
        <v>#NUM!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2" t="s">
        <v>76</v>
      </c>
      <c r="C82" s="261">
        <f>C79*0.8%+C71</f>
        <v>13611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3" t="s">
        <v>78</v>
      </c>
      <c r="C83" s="262">
        <f>(C79-C78)/C79</f>
        <v>1.0713948362720402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4" t="s">
        <v>80</v>
      </c>
      <c r="C84" s="33"/>
      <c r="D84" s="4"/>
      <c r="E84" s="4"/>
    </row>
    <row r="85" spans="2:9" ht="21.6" thickBot="1" x14ac:dyDescent="0.45">
      <c r="B85" s="355" t="s">
        <v>233</v>
      </c>
      <c r="C85" s="33"/>
      <c r="D85" s="4"/>
      <c r="E85" s="4"/>
    </row>
    <row r="86" spans="2:9" ht="18" x14ac:dyDescent="0.35">
      <c r="B86" s="939" t="s">
        <v>81</v>
      </c>
      <c r="C86" s="940"/>
      <c r="D86" s="2" t="s">
        <v>224</v>
      </c>
    </row>
    <row r="87" spans="2:9" ht="15.6" x14ac:dyDescent="0.3">
      <c r="B87" s="356" t="s">
        <v>82</v>
      </c>
      <c r="C87" s="382">
        <f>'Calculating offering price'!C87</f>
        <v>0.02</v>
      </c>
      <c r="D87" s="2" t="s">
        <v>223</v>
      </c>
    </row>
    <row r="88" spans="2:9" ht="15.6" x14ac:dyDescent="0.3">
      <c r="B88" s="356" t="s">
        <v>83</v>
      </c>
      <c r="C88" s="383">
        <f>'Calculating offering price'!C88</f>
        <v>5</v>
      </c>
      <c r="D88" s="2" t="s">
        <v>84</v>
      </c>
    </row>
    <row r="89" spans="2:9" ht="15.6" x14ac:dyDescent="0.3">
      <c r="B89" s="356" t="s">
        <v>250</v>
      </c>
      <c r="C89" s="287">
        <f ca="1">TODAY()</f>
        <v>44974</v>
      </c>
      <c r="D89" s="2"/>
    </row>
    <row r="90" spans="2:9" ht="15.6" x14ac:dyDescent="0.3">
      <c r="B90" s="356" t="s">
        <v>251</v>
      </c>
      <c r="C90" s="287">
        <f ca="1">C89+C88*366</f>
        <v>46804</v>
      </c>
      <c r="D90" s="2"/>
    </row>
    <row r="91" spans="2:9" ht="15.6" x14ac:dyDescent="0.3">
      <c r="B91" s="356" t="s">
        <v>85</v>
      </c>
      <c r="C91" s="41">
        <f>C4</f>
        <v>1588000</v>
      </c>
      <c r="D91" s="286"/>
    </row>
    <row r="92" spans="2:9" ht="15.6" x14ac:dyDescent="0.3">
      <c r="B92" s="357" t="s">
        <v>86</v>
      </c>
      <c r="C92" s="42">
        <f>FV(C87,C88,,-C91,)</f>
        <v>1753280.3154816001</v>
      </c>
      <c r="D92" s="286"/>
    </row>
    <row r="93" spans="2:9" ht="16.2" thickBot="1" x14ac:dyDescent="0.35">
      <c r="B93" s="358" t="s">
        <v>87</v>
      </c>
      <c r="C93" s="43">
        <f>C92-'ROI Number insert ARV'!E3</f>
        <v>1753280.3154816001</v>
      </c>
    </row>
    <row r="94" spans="2:9" ht="15.6" x14ac:dyDescent="0.3">
      <c r="B94" s="359" t="s">
        <v>88</v>
      </c>
      <c r="C94" s="44">
        <f>'ROI Number insert'!F3</f>
        <v>1550000</v>
      </c>
    </row>
    <row r="95" spans="2:9" ht="15.6" x14ac:dyDescent="0.3">
      <c r="B95" s="360" t="s">
        <v>89</v>
      </c>
      <c r="C95" s="45">
        <f>FV(C87,C88,,-C94)</f>
        <v>1711325.24496</v>
      </c>
      <c r="D95" s="3" t="s">
        <v>90</v>
      </c>
    </row>
    <row r="96" spans="2:9" ht="16.2" thickBot="1" x14ac:dyDescent="0.35">
      <c r="B96" s="361" t="s">
        <v>91</v>
      </c>
      <c r="C96" s="46">
        <f>C95-C94</f>
        <v>161325.24496000004</v>
      </c>
      <c r="D96" s="3" t="s">
        <v>92</v>
      </c>
    </row>
    <row r="97" spans="2:4" ht="15" thickBot="1" x14ac:dyDescent="0.35"/>
    <row r="98" spans="2:4" ht="18" x14ac:dyDescent="0.35">
      <c r="B98" s="941" t="s">
        <v>219</v>
      </c>
      <c r="C98" s="942"/>
    </row>
    <row r="99" spans="2:4" ht="15.6" x14ac:dyDescent="0.3">
      <c r="B99" s="363" t="s">
        <v>82</v>
      </c>
      <c r="C99" s="384">
        <f>'Calculating offering price'!C99</f>
        <v>1.4999999999999999E-2</v>
      </c>
      <c r="D99" s="3" t="s">
        <v>221</v>
      </c>
    </row>
    <row r="100" spans="2:4" ht="15.6" x14ac:dyDescent="0.3">
      <c r="B100" s="363" t="s">
        <v>83</v>
      </c>
      <c r="C100" s="207">
        <v>10</v>
      </c>
    </row>
    <row r="101" spans="2:4" ht="15.6" x14ac:dyDescent="0.3">
      <c r="B101" s="363" t="s">
        <v>252</v>
      </c>
      <c r="C101" s="288">
        <f ca="1">C89+10*366</f>
        <v>48634</v>
      </c>
    </row>
    <row r="102" spans="2:4" ht="15.6" x14ac:dyDescent="0.3">
      <c r="B102" s="363" t="s">
        <v>85</v>
      </c>
      <c r="C102" s="47">
        <f>C91</f>
        <v>1588000</v>
      </c>
    </row>
    <row r="103" spans="2:4" ht="15.6" x14ac:dyDescent="0.3">
      <c r="B103" s="363" t="s">
        <v>86</v>
      </c>
      <c r="C103" s="47">
        <f>FV(C99,C100,,-C102)</f>
        <v>1842938.8301399359</v>
      </c>
    </row>
    <row r="104" spans="2:4" ht="16.2" thickBot="1" x14ac:dyDescent="0.35">
      <c r="B104" s="364" t="s">
        <v>87</v>
      </c>
      <c r="C104" s="48">
        <f>C103-'ROI Number insert ARV'!E3</f>
        <v>1842938.8301399359</v>
      </c>
    </row>
    <row r="105" spans="2:4" ht="15.6" x14ac:dyDescent="0.3">
      <c r="B105" s="365" t="s">
        <v>88</v>
      </c>
      <c r="C105" s="49">
        <f>'ROI Number insert'!F3</f>
        <v>1550000</v>
      </c>
    </row>
    <row r="106" spans="2:4" ht="15.6" x14ac:dyDescent="0.3">
      <c r="B106" s="363" t="s">
        <v>89</v>
      </c>
      <c r="C106" s="47">
        <f>FV(C99,C100,,-C105)</f>
        <v>1798838.2787889803</v>
      </c>
    </row>
    <row r="107" spans="2:4" ht="16.2" thickBot="1" x14ac:dyDescent="0.35">
      <c r="B107" s="364" t="s">
        <v>91</v>
      </c>
      <c r="C107" s="48">
        <f>C106-C105</f>
        <v>248838.27878898033</v>
      </c>
    </row>
    <row r="108" spans="2:4" ht="15" thickBot="1" x14ac:dyDescent="0.35"/>
    <row r="109" spans="2:4" ht="18" x14ac:dyDescent="0.35">
      <c r="B109" s="922" t="s">
        <v>220</v>
      </c>
      <c r="C109" s="923"/>
    </row>
    <row r="110" spans="2:4" ht="15.6" x14ac:dyDescent="0.3">
      <c r="B110" s="366" t="s">
        <v>82</v>
      </c>
      <c r="C110" s="385">
        <f>'Calculating offering price'!C110</f>
        <v>0.02</v>
      </c>
      <c r="D110" s="3" t="s">
        <v>222</v>
      </c>
    </row>
    <row r="111" spans="2:4" ht="15.6" x14ac:dyDescent="0.3">
      <c r="B111" s="366" t="s">
        <v>83</v>
      </c>
      <c r="C111" s="208">
        <v>15</v>
      </c>
    </row>
    <row r="112" spans="2:4" ht="15.6" x14ac:dyDescent="0.3">
      <c r="B112" s="366" t="s">
        <v>252</v>
      </c>
      <c r="C112" s="289">
        <f ca="1">C89+C111*366</f>
        <v>50464</v>
      </c>
    </row>
    <row r="113" spans="2:3" ht="15.6" x14ac:dyDescent="0.3">
      <c r="B113" s="366" t="s">
        <v>85</v>
      </c>
      <c r="C113" s="193">
        <f>C102</f>
        <v>1588000</v>
      </c>
    </row>
    <row r="114" spans="2:3" ht="15.6" x14ac:dyDescent="0.3">
      <c r="B114" s="366" t="s">
        <v>86</v>
      </c>
      <c r="C114" s="193">
        <f>FV(C110,C111,,-C113)</f>
        <v>2137238.9212587173</v>
      </c>
    </row>
    <row r="115" spans="2:3" ht="16.2" thickBot="1" x14ac:dyDescent="0.35">
      <c r="B115" s="367" t="s">
        <v>87</v>
      </c>
      <c r="C115" s="194">
        <f>C114-'ROI Number insert ARV'!E3</f>
        <v>2137238.9212587173</v>
      </c>
    </row>
    <row r="116" spans="2:3" ht="15.6" x14ac:dyDescent="0.3">
      <c r="B116" s="368" t="s">
        <v>88</v>
      </c>
      <c r="C116" s="195">
        <f>'ROI Number insert'!F3</f>
        <v>1550000</v>
      </c>
    </row>
    <row r="117" spans="2:3" ht="15.6" x14ac:dyDescent="0.3">
      <c r="B117" s="366" t="s">
        <v>89</v>
      </c>
      <c r="C117" s="193">
        <f>FV(C110,C111,,-'ROI Number insert'!F3)</f>
        <v>2086095.9244024004</v>
      </c>
    </row>
    <row r="118" spans="2:3" ht="16.2" thickBot="1" x14ac:dyDescent="0.35">
      <c r="B118" s="367" t="s">
        <v>91</v>
      </c>
      <c r="C118" s="194">
        <f>C117-C116</f>
        <v>536095.92440240039</v>
      </c>
    </row>
  </sheetData>
  <mergeCells count="13">
    <mergeCell ref="B109:C109"/>
    <mergeCell ref="D30:H30"/>
    <mergeCell ref="G44:I44"/>
    <mergeCell ref="D61:H61"/>
    <mergeCell ref="D80:I80"/>
    <mergeCell ref="B86:C86"/>
    <mergeCell ref="B98:C98"/>
    <mergeCell ref="B24:C24"/>
    <mergeCell ref="B2:C2"/>
    <mergeCell ref="B15:C15"/>
    <mergeCell ref="D19:H19"/>
    <mergeCell ref="B20:C20"/>
    <mergeCell ref="D21:H21"/>
  </mergeCells>
  <dataValidations count="1">
    <dataValidation type="list" allowBlank="1" showInputMessage="1" showErrorMessage="1" sqref="C3" xr:uid="{21C3F5E9-1E49-4473-B51E-12482D7B96B9}">
      <formula1>$F$4:$F$10</formula1>
    </dataValidation>
  </dataValidations>
  <hyperlinks>
    <hyperlink ref="B26" location="'Mortgage Caculator'!A1" display="Mortgage payment/month" xr:uid="{B39433A9-7AAC-46F2-9A11-80B6DA89CDF5}"/>
    <hyperlink ref="B30" location="'Debt payment Calculator'!A1" display="Debt Service/Month" xr:uid="{3DD408BF-61AE-4E3B-AB0E-24CE94DEEA9C}"/>
    <hyperlink ref="A1" location="'Table of contents'!A1" display="Table of contents" xr:uid="{2726E39B-17EE-4174-B303-01A4CF9E95B8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Spinner 1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Spinner 2">
              <controlPr defaultSize="0" autoPict="0">
                <anchor moveWithCells="1" sizeWithCells="1">
                  <from>
                    <xdr:col>7</xdr:col>
                    <xdr:colOff>198120</xdr:colOff>
                    <xdr:row>40</xdr:row>
                    <xdr:rowOff>30480</xdr:rowOff>
                  </from>
                  <to>
                    <xdr:col>7</xdr:col>
                    <xdr:colOff>441960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Spinner 3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Spinner 4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Spinner 5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Spinner 6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30AA-02C8-46DB-834C-BB2417C02D51}">
  <sheetPr codeName="Sheet6">
    <tabColor theme="4" tint="0.39997558519241921"/>
  </sheetPr>
  <dimension ref="A1:K50"/>
  <sheetViews>
    <sheetView workbookViewId="0"/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0.441406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6.77734375" style="1" customWidth="1"/>
    <col min="12" max="16384" width="8.77734375" style="1"/>
  </cols>
  <sheetData>
    <row r="1" spans="1:11" x14ac:dyDescent="0.3">
      <c r="A1" s="628" t="s">
        <v>454</v>
      </c>
    </row>
    <row r="2" spans="1:11" ht="21.6" thickBot="1" x14ac:dyDescent="0.45">
      <c r="B2" s="428" t="s">
        <v>141</v>
      </c>
      <c r="G2" s="427" t="s">
        <v>142</v>
      </c>
      <c r="I2" s="117"/>
    </row>
    <row r="3" spans="1:11" ht="15.6" x14ac:dyDescent="0.3">
      <c r="B3" s="1" t="s">
        <v>199</v>
      </c>
      <c r="G3" s="178" t="s">
        <v>205</v>
      </c>
      <c r="H3" s="179" t="s">
        <v>21</v>
      </c>
      <c r="I3" s="396">
        <f>C11</f>
        <v>1601400</v>
      </c>
    </row>
    <row r="4" spans="1:11" ht="15.6" x14ac:dyDescent="0.3">
      <c r="B4" s="168" t="s">
        <v>140</v>
      </c>
      <c r="C4" s="168" t="s">
        <v>149</v>
      </c>
      <c r="D4" s="168" t="s">
        <v>150</v>
      </c>
      <c r="E4" s="168" t="s">
        <v>151</v>
      </c>
      <c r="G4" s="163"/>
      <c r="H4" s="181" t="s">
        <v>145</v>
      </c>
      <c r="I4" s="182" t="e">
        <f>SUM('Principle Recapture ARV'!E9:E69)</f>
        <v>#NUM!</v>
      </c>
    </row>
    <row r="5" spans="1:11" ht="15.6" x14ac:dyDescent="0.3">
      <c r="B5" s="169">
        <v>1</v>
      </c>
      <c r="C5" s="170" t="e">
        <f>'ROI Number insert ARV'!E47</f>
        <v>#NUM!</v>
      </c>
      <c r="D5" s="171" t="e">
        <f>C5/$C$11</f>
        <v>#NUM!</v>
      </c>
      <c r="E5" s="172" t="e">
        <f>C5/12</f>
        <v>#NUM!</v>
      </c>
      <c r="G5" s="163"/>
      <c r="H5" s="181" t="s">
        <v>146</v>
      </c>
      <c r="I5" s="183" t="e">
        <f>I4/I3</f>
        <v>#NUM!</v>
      </c>
    </row>
    <row r="6" spans="1:11" ht="16.2" thickBot="1" x14ac:dyDescent="0.35">
      <c r="B6" s="169">
        <v>2</v>
      </c>
      <c r="C6" s="170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6" s="171" t="e">
        <f t="shared" ref="D6:D9" si="0">C6/$C$11</f>
        <v>#NUM!</v>
      </c>
      <c r="E6" s="172" t="e">
        <f>C6/12</f>
        <v>#NUM!</v>
      </c>
      <c r="G6" s="163"/>
      <c r="H6" s="181" t="s">
        <v>147</v>
      </c>
      <c r="I6" s="183" t="e">
        <f>I5/10</f>
        <v>#NUM!</v>
      </c>
    </row>
    <row r="7" spans="1:11" s="76" customFormat="1" ht="15.6" x14ac:dyDescent="0.3">
      <c r="B7" s="174">
        <v>3</v>
      </c>
      <c r="C7" s="170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7" s="171" t="e">
        <f t="shared" si="0"/>
        <v>#NUM!</v>
      </c>
      <c r="E7" s="175" t="e">
        <f>C7/12</f>
        <v>#NUM!</v>
      </c>
      <c r="G7" s="121" t="s">
        <v>144</v>
      </c>
      <c r="H7" s="122" t="s">
        <v>21</v>
      </c>
      <c r="I7" s="395">
        <f>C11</f>
        <v>1601400</v>
      </c>
      <c r="K7" s="1"/>
    </row>
    <row r="8" spans="1:11" ht="15.6" x14ac:dyDescent="0.3">
      <c r="B8" s="169">
        <v>4</v>
      </c>
      <c r="C8" s="170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8" s="171" t="e">
        <f t="shared" si="0"/>
        <v>#NUM!</v>
      </c>
      <c r="E8" s="172" t="e">
        <f>C8/12</f>
        <v>#NUM!</v>
      </c>
      <c r="G8" s="124"/>
      <c r="H8" s="125" t="s">
        <v>145</v>
      </c>
      <c r="I8" s="126" t="e">
        <f>SUM('Principle Recapture ARV'!E9:E129)</f>
        <v>#NUM!</v>
      </c>
    </row>
    <row r="9" spans="1:11" ht="15.6" x14ac:dyDescent="0.3">
      <c r="B9" s="169">
        <v>5</v>
      </c>
      <c r="C9" s="170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9" s="171" t="e">
        <f t="shared" si="0"/>
        <v>#NUM!</v>
      </c>
      <c r="E9" s="172" t="e">
        <f>C9/12</f>
        <v>#NUM!</v>
      </c>
      <c r="G9" s="124"/>
      <c r="H9" s="125" t="s">
        <v>146</v>
      </c>
      <c r="I9" s="129" t="e">
        <f>I8/I7</f>
        <v>#NUM!</v>
      </c>
    </row>
    <row r="10" spans="1:11" ht="16.2" thickBot="1" x14ac:dyDescent="0.35">
      <c r="B10" s="169" t="s">
        <v>152</v>
      </c>
      <c r="C10" s="170" t="e">
        <f>SUM(C5:C9)</f>
        <v>#NUM!</v>
      </c>
      <c r="G10" s="224"/>
      <c r="H10" s="130" t="s">
        <v>147</v>
      </c>
      <c r="I10" s="225" t="e">
        <f>I9/10</f>
        <v>#NUM!</v>
      </c>
    </row>
    <row r="11" spans="1:11" ht="15.6" x14ac:dyDescent="0.3">
      <c r="B11" s="169" t="s">
        <v>21</v>
      </c>
      <c r="C11" s="170">
        <f>'Total Result'!D6</f>
        <v>1601400</v>
      </c>
      <c r="G11" s="226" t="s">
        <v>148</v>
      </c>
      <c r="H11" s="227" t="s">
        <v>21</v>
      </c>
      <c r="I11" s="394">
        <f>C11</f>
        <v>1601400</v>
      </c>
    </row>
    <row r="12" spans="1:11" s="76" customFormat="1" ht="15.6" x14ac:dyDescent="0.3">
      <c r="B12" s="174" t="s">
        <v>153</v>
      </c>
      <c r="C12" s="176" t="e">
        <f>C10/C11/5</f>
        <v>#NUM!</v>
      </c>
      <c r="G12" s="131"/>
      <c r="H12" s="132" t="s">
        <v>145</v>
      </c>
      <c r="I12" s="133" t="e">
        <f>SUM('Principle Recapture ARV'!E9:E189)</f>
        <v>#NUM!</v>
      </c>
      <c r="K12" s="1"/>
    </row>
    <row r="13" spans="1:11" ht="31.2" x14ac:dyDescent="0.3">
      <c r="B13" s="173" t="s">
        <v>154</v>
      </c>
      <c r="C13" s="234" t="e">
        <f>_xlfn.RRI(10,D5,D9)</f>
        <v>#NUM!</v>
      </c>
      <c r="G13" s="131"/>
      <c r="H13" s="132" t="s">
        <v>146</v>
      </c>
      <c r="I13" s="134" t="e">
        <f>I12/I11</f>
        <v>#NUM!</v>
      </c>
    </row>
    <row r="14" spans="1:11" ht="16.2" thickBot="1" x14ac:dyDescent="0.35">
      <c r="B14" s="1" t="s">
        <v>198</v>
      </c>
      <c r="D14" s="117"/>
      <c r="G14" s="135"/>
      <c r="H14" s="136" t="s">
        <v>147</v>
      </c>
      <c r="I14" s="137" t="e">
        <f>I13/15</f>
        <v>#NUM!</v>
      </c>
    </row>
    <row r="15" spans="1:11" ht="21.6" thickBot="1" x14ac:dyDescent="0.45">
      <c r="B15" s="138" t="s">
        <v>140</v>
      </c>
      <c r="C15" s="138" t="s">
        <v>149</v>
      </c>
      <c r="D15" s="138" t="s">
        <v>150</v>
      </c>
      <c r="E15" s="138" t="s">
        <v>151</v>
      </c>
      <c r="G15" s="427" t="s">
        <v>143</v>
      </c>
    </row>
    <row r="16" spans="1:11" ht="15.6" x14ac:dyDescent="0.3">
      <c r="B16" s="139">
        <v>1</v>
      </c>
      <c r="C16" s="140" t="e">
        <f>C5</f>
        <v>#NUM!</v>
      </c>
      <c r="D16" s="141" t="e">
        <f>C16/$C$27</f>
        <v>#NUM!</v>
      </c>
      <c r="E16" s="142" t="e">
        <f>C16/12</f>
        <v>#NUM!</v>
      </c>
      <c r="G16" s="184" t="s">
        <v>95</v>
      </c>
      <c r="H16" s="215">
        <f>'ROI Number insert'!F3</f>
        <v>1550000</v>
      </c>
    </row>
    <row r="17" spans="2:11" ht="16.2" thickBot="1" x14ac:dyDescent="0.35">
      <c r="B17" s="139">
        <v>2</v>
      </c>
      <c r="C17" s="140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17" s="141" t="e">
        <f t="shared" ref="D17:D25" si="1">C17/$C$27</f>
        <v>#NUM!</v>
      </c>
      <c r="E17" s="142" t="e">
        <f t="shared" ref="E17:E25" si="2">C17/12</f>
        <v>#NUM!</v>
      </c>
      <c r="G17" s="185" t="s">
        <v>200</v>
      </c>
      <c r="H17" s="216">
        <f>'Calculating offering price'!C5</f>
        <v>516823.52941176464</v>
      </c>
    </row>
    <row r="18" spans="2:11" s="165" customFormat="1" ht="15.6" x14ac:dyDescent="0.3">
      <c r="B18" s="139">
        <v>3</v>
      </c>
      <c r="C18" s="140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18" s="141" t="e">
        <f t="shared" si="1"/>
        <v>#NUM!</v>
      </c>
      <c r="E18" s="142" t="e">
        <f t="shared" si="2"/>
        <v>#NUM!</v>
      </c>
      <c r="G18" s="186"/>
      <c r="H18" s="187" t="s">
        <v>113</v>
      </c>
      <c r="I18" s="189" t="s">
        <v>87</v>
      </c>
      <c r="J18" s="190" t="s">
        <v>193</v>
      </c>
      <c r="K18" s="191" t="s">
        <v>204</v>
      </c>
    </row>
    <row r="19" spans="2:11" ht="15.6" x14ac:dyDescent="0.3">
      <c r="B19" s="139">
        <v>4</v>
      </c>
      <c r="C19" s="140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19" s="141" t="e">
        <f t="shared" si="1"/>
        <v>#NUM!</v>
      </c>
      <c r="E19" s="142" t="e">
        <f t="shared" si="2"/>
        <v>#NUM!</v>
      </c>
      <c r="G19" s="186" t="s">
        <v>201</v>
      </c>
      <c r="H19" s="217">
        <f>'Calculating offering price ARV'!C95</f>
        <v>1711325.24496</v>
      </c>
      <c r="I19" s="218">
        <f>H19-H16</f>
        <v>161325.24496000004</v>
      </c>
      <c r="J19" s="221">
        <f>I19/C11</f>
        <v>0.10074013048582493</v>
      </c>
      <c r="K19" s="222">
        <f>_xlfn.RRI(5,H16,H19)</f>
        <v>2.0000000000000018E-2</v>
      </c>
    </row>
    <row r="20" spans="2:11" ht="15.6" x14ac:dyDescent="0.3">
      <c r="B20" s="139">
        <v>5</v>
      </c>
      <c r="C20" s="140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20" s="141" t="e">
        <f t="shared" si="1"/>
        <v>#NUM!</v>
      </c>
      <c r="E20" s="142" t="e">
        <f t="shared" si="2"/>
        <v>#NUM!</v>
      </c>
      <c r="G20" s="186" t="s">
        <v>202</v>
      </c>
      <c r="H20" s="392">
        <f>'Calculating offering price ARV'!C106</f>
        <v>1798838.2787889803</v>
      </c>
      <c r="I20" s="218">
        <f>H20-H16</f>
        <v>248838.27878898033</v>
      </c>
      <c r="J20" s="221">
        <f>I20/C11</f>
        <v>0.15538795977830669</v>
      </c>
      <c r="K20" s="222">
        <f>_xlfn.RRI(10,H16,H20)</f>
        <v>1.4999999999999902E-2</v>
      </c>
    </row>
    <row r="21" spans="2:11" ht="16.2" thickBot="1" x14ac:dyDescent="0.35">
      <c r="B21" s="139">
        <v>6</v>
      </c>
      <c r="C21" s="140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D21" s="141" t="e">
        <f t="shared" si="1"/>
        <v>#NUM!</v>
      </c>
      <c r="E21" s="142" t="e">
        <f t="shared" si="2"/>
        <v>#NUM!</v>
      </c>
      <c r="G21" s="188" t="s">
        <v>203</v>
      </c>
      <c r="H21" s="393">
        <f>'Calculating offering price ARV'!C117</f>
        <v>2086095.9244024004</v>
      </c>
      <c r="I21" s="220">
        <f>H21-H16</f>
        <v>536095.92440240039</v>
      </c>
      <c r="J21" s="221">
        <f>I21/C11</f>
        <v>0.33476703159885124</v>
      </c>
      <c r="K21" s="223">
        <f>_xlfn.RRI(15,H16,H21)</f>
        <v>2.0000000000000018E-2</v>
      </c>
    </row>
    <row r="22" spans="2:11" ht="15.6" x14ac:dyDescent="0.3">
      <c r="B22" s="139">
        <v>7</v>
      </c>
      <c r="C22" s="140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D22" s="141" t="e">
        <f t="shared" si="1"/>
        <v>#NUM!</v>
      </c>
      <c r="E22" s="142" t="e">
        <f t="shared" si="2"/>
        <v>#NUM!</v>
      </c>
    </row>
    <row r="23" spans="2:11" ht="21.6" thickBot="1" x14ac:dyDescent="0.45">
      <c r="B23" s="139">
        <v>8</v>
      </c>
      <c r="C23" s="140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D23" s="141" t="e">
        <f t="shared" si="1"/>
        <v>#NUM!</v>
      </c>
      <c r="E23" s="142" t="e">
        <f t="shared" si="2"/>
        <v>#NUM!</v>
      </c>
      <c r="G23" s="192" t="s">
        <v>206</v>
      </c>
    </row>
    <row r="24" spans="2:11" ht="15.6" x14ac:dyDescent="0.3">
      <c r="B24" s="139">
        <v>9</v>
      </c>
      <c r="C24" s="140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D24" s="141" t="e">
        <f t="shared" si="1"/>
        <v>#NUM!</v>
      </c>
      <c r="E24" s="142" t="e">
        <f t="shared" si="2"/>
        <v>#NUM!</v>
      </c>
      <c r="G24" s="209" t="s">
        <v>95</v>
      </c>
      <c r="H24" s="210">
        <f>'ROI Number insert'!F3</f>
        <v>1550000</v>
      </c>
    </row>
    <row r="25" spans="2:11" ht="15.6" x14ac:dyDescent="0.3">
      <c r="B25" s="139">
        <v>10</v>
      </c>
      <c r="C25" s="140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D25" s="141" t="e">
        <f t="shared" si="1"/>
        <v>#NUM!</v>
      </c>
      <c r="E25" s="142" t="e">
        <f t="shared" si="2"/>
        <v>#NUM!</v>
      </c>
      <c r="G25" s="211" t="s">
        <v>94</v>
      </c>
      <c r="H25" s="212">
        <f>'ROI Number insert'!F10</f>
        <v>51400</v>
      </c>
      <c r="I25" s="117"/>
    </row>
    <row r="26" spans="2:11" ht="15.6" x14ac:dyDescent="0.3">
      <c r="B26" s="139" t="s">
        <v>152</v>
      </c>
      <c r="C26" s="140" t="e">
        <f>SUM(C16:C25)</f>
        <v>#NUM!</v>
      </c>
      <c r="D26" s="117"/>
      <c r="G26" s="211" t="s">
        <v>17</v>
      </c>
      <c r="H26" s="212">
        <f>'ROI Number insert'!F15</f>
        <v>0</v>
      </c>
      <c r="I26" s="117"/>
    </row>
    <row r="27" spans="2:11" ht="15.6" x14ac:dyDescent="0.3">
      <c r="B27" s="139" t="s">
        <v>21</v>
      </c>
      <c r="C27" s="140">
        <f>C11</f>
        <v>1601400</v>
      </c>
      <c r="D27" s="117"/>
      <c r="G27" s="211" t="s">
        <v>207</v>
      </c>
      <c r="H27" s="212">
        <f>'ROI Number insert'!F13</f>
        <v>0</v>
      </c>
      <c r="I27" s="117"/>
    </row>
    <row r="28" spans="2:11" ht="15.6" x14ac:dyDescent="0.3">
      <c r="B28" s="139" t="s">
        <v>153</v>
      </c>
      <c r="C28" s="143" t="e">
        <f>C26/C27/10</f>
        <v>#NUM!</v>
      </c>
      <c r="D28" s="117"/>
      <c r="G28" s="211" t="s">
        <v>208</v>
      </c>
      <c r="H28" s="212">
        <f>'ROI Number insert ARV'!E50</f>
        <v>136000</v>
      </c>
      <c r="I28" s="164"/>
      <c r="J28" s="165"/>
    </row>
    <row r="29" spans="2:11" ht="31.2" x14ac:dyDescent="0.3">
      <c r="B29" s="144" t="s">
        <v>154</v>
      </c>
      <c r="C29" s="235" t="e">
        <f>_xlfn.RRI(10,D16,D25)</f>
        <v>#NUM!</v>
      </c>
      <c r="D29" s="164"/>
      <c r="E29" s="165"/>
      <c r="G29" s="269" t="s">
        <v>209</v>
      </c>
      <c r="H29" s="270">
        <f>'ROI Number insert'!F17</f>
        <v>2000000</v>
      </c>
    </row>
    <row r="30" spans="2:11" ht="15.6" x14ac:dyDescent="0.3">
      <c r="B30" s="1" t="s">
        <v>197</v>
      </c>
      <c r="D30" s="117"/>
      <c r="G30" s="211" t="s">
        <v>210</v>
      </c>
      <c r="H30" s="212">
        <f>H29-SUM(H24:H28)</f>
        <v>262600</v>
      </c>
    </row>
    <row r="31" spans="2:11" ht="15.6" x14ac:dyDescent="0.3">
      <c r="B31" s="145" t="s">
        <v>140</v>
      </c>
      <c r="C31" s="145" t="s">
        <v>149</v>
      </c>
      <c r="D31" s="145" t="s">
        <v>150</v>
      </c>
      <c r="E31" s="145" t="s">
        <v>151</v>
      </c>
      <c r="G31" s="211" t="s">
        <v>21</v>
      </c>
      <c r="H31" s="212">
        <f>'ROI Number insert'!F19</f>
        <v>361400</v>
      </c>
    </row>
    <row r="32" spans="2:11" ht="16.2" thickBot="1" x14ac:dyDescent="0.35">
      <c r="B32" s="146">
        <v>1</v>
      </c>
      <c r="C32" s="147" t="e">
        <f>C16</f>
        <v>#NUM!</v>
      </c>
      <c r="D32" s="148" t="e">
        <f>C32/$C$48</f>
        <v>#NUM!</v>
      </c>
      <c r="E32" s="147" t="e">
        <f>C32/12</f>
        <v>#NUM!</v>
      </c>
      <c r="G32" s="213" t="s">
        <v>146</v>
      </c>
      <c r="H32" s="214">
        <f>H30/H31</f>
        <v>0.72661870503597126</v>
      </c>
    </row>
    <row r="33" spans="2:11" ht="21.6" thickBot="1" x14ac:dyDescent="0.45">
      <c r="B33" s="146">
        <v>2</v>
      </c>
      <c r="C33" s="149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33" s="148" t="e">
        <f t="shared" ref="D33:D46" si="3">C33/$C$48</f>
        <v>#NUM!</v>
      </c>
      <c r="E33" s="147" t="e">
        <f t="shared" ref="E33:E46" si="4">C33/12</f>
        <v>#NUM!</v>
      </c>
      <c r="G33" s="192" t="s">
        <v>217</v>
      </c>
    </row>
    <row r="34" spans="2:11" s="76" customFormat="1" ht="31.8" thickBot="1" x14ac:dyDescent="0.35">
      <c r="B34" s="199">
        <v>3</v>
      </c>
      <c r="C34" s="149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34" s="201" t="e">
        <f t="shared" si="3"/>
        <v>#NUM!</v>
      </c>
      <c r="E34" s="202" t="e">
        <f t="shared" si="4"/>
        <v>#NUM!</v>
      </c>
      <c r="G34" s="204" t="s">
        <v>218</v>
      </c>
      <c r="H34" s="206">
        <f>'ROI Number insert ARV'!E45</f>
        <v>-17888.089249411765</v>
      </c>
      <c r="I34" s="203"/>
      <c r="J34" s="203"/>
      <c r="K34" s="203"/>
    </row>
    <row r="35" spans="2:11" ht="16.2" thickBot="1" x14ac:dyDescent="0.35">
      <c r="B35" s="146">
        <v>4</v>
      </c>
      <c r="C35" s="149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35" s="148" t="e">
        <f t="shared" si="3"/>
        <v>#NUM!</v>
      </c>
      <c r="E35" s="147" t="e">
        <f t="shared" si="4"/>
        <v>#NUM!</v>
      </c>
      <c r="G35" s="205" t="s">
        <v>217</v>
      </c>
      <c r="H35" s="312" t="e">
        <f>H34/'ROI Number insert ARV'!E3</f>
        <v>#DIV/0!</v>
      </c>
    </row>
    <row r="36" spans="2:11" ht="15.6" x14ac:dyDescent="0.3">
      <c r="B36" s="146">
        <v>5</v>
      </c>
      <c r="C36" s="149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36" s="148" t="e">
        <f t="shared" si="3"/>
        <v>#NUM!</v>
      </c>
      <c r="E36" s="147" t="e">
        <f t="shared" si="4"/>
        <v>#NUM!</v>
      </c>
    </row>
    <row r="37" spans="2:11" ht="15.6" x14ac:dyDescent="0.3">
      <c r="B37" s="146">
        <v>6</v>
      </c>
      <c r="C37" s="149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D37" s="148" t="e">
        <f t="shared" si="3"/>
        <v>#NUM!</v>
      </c>
      <c r="E37" s="147" t="e">
        <f t="shared" si="4"/>
        <v>#NUM!</v>
      </c>
      <c r="G37" s="177"/>
    </row>
    <row r="38" spans="2:11" ht="15.6" x14ac:dyDescent="0.3">
      <c r="B38" s="146">
        <v>7</v>
      </c>
      <c r="C38" s="149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D38" s="148" t="e">
        <f t="shared" si="3"/>
        <v>#NUM!</v>
      </c>
      <c r="E38" s="147" t="e">
        <f t="shared" si="4"/>
        <v>#NUM!</v>
      </c>
    </row>
    <row r="39" spans="2:11" s="203" customFormat="1" ht="15.6" x14ac:dyDescent="0.3">
      <c r="B39" s="199">
        <v>8</v>
      </c>
      <c r="C39" s="149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D39" s="148" t="e">
        <f t="shared" si="3"/>
        <v>#NUM!</v>
      </c>
      <c r="E39" s="202" t="e">
        <f t="shared" si="4"/>
        <v>#NUM!</v>
      </c>
    </row>
    <row r="40" spans="2:11" ht="15.6" x14ac:dyDescent="0.3">
      <c r="B40" s="146">
        <v>9</v>
      </c>
      <c r="C40" s="149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D40" s="148" t="e">
        <f t="shared" si="3"/>
        <v>#NUM!</v>
      </c>
      <c r="E40" s="147" t="e">
        <f t="shared" si="4"/>
        <v>#NUM!</v>
      </c>
    </row>
    <row r="41" spans="2:11" ht="15.6" x14ac:dyDescent="0.3">
      <c r="B41" s="146">
        <v>10</v>
      </c>
      <c r="C41" s="149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D41" s="148" t="e">
        <f t="shared" si="3"/>
        <v>#NUM!</v>
      </c>
      <c r="E41" s="147" t="e">
        <f t="shared" si="4"/>
        <v>#NUM!</v>
      </c>
    </row>
    <row r="42" spans="2:11" ht="15.6" x14ac:dyDescent="0.3">
      <c r="B42" s="146">
        <v>11</v>
      </c>
      <c r="C42" s="149" t="e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#NUM!</v>
      </c>
      <c r="D42" s="148" t="e">
        <f t="shared" si="3"/>
        <v>#NUM!</v>
      </c>
      <c r="E42" s="147" t="e">
        <f t="shared" si="4"/>
        <v>#NUM!</v>
      </c>
    </row>
    <row r="43" spans="2:11" ht="15.6" x14ac:dyDescent="0.3">
      <c r="B43" s="146">
        <v>12</v>
      </c>
      <c r="C43" s="149" t="e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#NUM!</v>
      </c>
      <c r="D43" s="148" t="e">
        <f t="shared" si="3"/>
        <v>#NUM!</v>
      </c>
      <c r="E43" s="147" t="e">
        <f t="shared" si="4"/>
        <v>#NUM!</v>
      </c>
    </row>
    <row r="44" spans="2:11" ht="15.6" x14ac:dyDescent="0.3">
      <c r="B44" s="146">
        <v>13</v>
      </c>
      <c r="C44" s="149" t="e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#NUM!</v>
      </c>
      <c r="D44" s="148" t="e">
        <f t="shared" si="3"/>
        <v>#NUM!</v>
      </c>
      <c r="E44" s="147" t="e">
        <f t="shared" si="4"/>
        <v>#NUM!</v>
      </c>
    </row>
    <row r="45" spans="2:11" ht="15.6" x14ac:dyDescent="0.3">
      <c r="B45" s="146">
        <v>14</v>
      </c>
      <c r="C45" s="149" t="e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#NUM!</v>
      </c>
      <c r="D45" s="148" t="e">
        <f t="shared" si="3"/>
        <v>#NUM!</v>
      </c>
      <c r="E45" s="147" t="e">
        <f t="shared" si="4"/>
        <v>#NUM!</v>
      </c>
    </row>
    <row r="46" spans="2:11" ht="15.6" x14ac:dyDescent="0.3">
      <c r="B46" s="146">
        <v>15</v>
      </c>
      <c r="C46" s="149" t="e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#NUM!</v>
      </c>
      <c r="D46" s="148" t="e">
        <f t="shared" si="3"/>
        <v>#NUM!</v>
      </c>
      <c r="E46" s="147" t="e">
        <f t="shared" si="4"/>
        <v>#NUM!</v>
      </c>
    </row>
    <row r="47" spans="2:11" ht="15.6" x14ac:dyDescent="0.3">
      <c r="B47" s="150" t="s">
        <v>152</v>
      </c>
      <c r="C47" s="151" t="e">
        <f>SUM(C32:C46)</f>
        <v>#NUM!</v>
      </c>
      <c r="D47" s="152"/>
      <c r="E47" s="153"/>
    </row>
    <row r="48" spans="2:11" ht="15.6" x14ac:dyDescent="0.3">
      <c r="B48" s="154" t="s">
        <v>21</v>
      </c>
      <c r="C48" s="155">
        <f>C11</f>
        <v>1601400</v>
      </c>
      <c r="D48" s="152"/>
      <c r="E48" s="153"/>
    </row>
    <row r="49" spans="2:5" ht="15.6" x14ac:dyDescent="0.3">
      <c r="B49" s="154" t="s">
        <v>153</v>
      </c>
      <c r="C49" s="156" t="e">
        <f>C47/C48/15</f>
        <v>#NUM!</v>
      </c>
      <c r="D49" s="152"/>
      <c r="E49" s="153"/>
    </row>
    <row r="50" spans="2:5" ht="31.2" x14ac:dyDescent="0.3">
      <c r="B50" s="157" t="s">
        <v>154</v>
      </c>
      <c r="C50" s="236" t="e">
        <f>_xlfn.RRI(15,D33,D46)</f>
        <v>#NUM!</v>
      </c>
      <c r="D50" s="166"/>
      <c r="E50" s="167"/>
    </row>
  </sheetData>
  <hyperlinks>
    <hyperlink ref="G15" location="'Calculating offering price ARV'!A85" display="Passive Appreciation" xr:uid="{9898A40D-81C7-4FC0-859D-783D7E84E252}"/>
    <hyperlink ref="G2" location="'PR ARV result'!A1" display="Principle Recapture" xr:uid="{F580024C-57B3-4F92-A685-84C7577F4FC2}"/>
    <hyperlink ref="B2" location="'Total CF'!A1" display="Cash Flow" xr:uid="{AEF0F1F2-8C37-4CCD-97F8-9AE538B19625}"/>
    <hyperlink ref="A1" location="'Table of contents'!A1" display="Table of contents" xr:uid="{7A97DF16-2346-4743-9050-26B3B598EBF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8B90-E09A-4D9E-8C8A-019F72CE1EA5}">
  <sheetPr codeName="Sheet12">
    <tabColor theme="4" tint="0.39997558519241921"/>
  </sheetPr>
  <dimension ref="A1:N249"/>
  <sheetViews>
    <sheetView workbookViewId="0">
      <selection activeCell="D1" sqref="D1:H1"/>
    </sheetView>
  </sheetViews>
  <sheetFormatPr defaultRowHeight="15.6" x14ac:dyDescent="0.3"/>
  <cols>
    <col min="1" max="1" width="2.109375" style="1" customWidth="1"/>
    <col min="2" max="2" width="21.77734375" style="1" customWidth="1"/>
    <col min="3" max="3" width="2.77734375" style="1" customWidth="1"/>
    <col min="4" max="4" width="35.33203125" customWidth="1"/>
    <col min="5" max="5" width="19.109375" style="161" customWidth="1"/>
    <col min="6" max="6" width="20.33203125" customWidth="1"/>
    <col min="7" max="7" width="23.21875" style="162" customWidth="1"/>
    <col min="8" max="8" width="24" customWidth="1"/>
    <col min="9" max="9" width="17.88671875" hidden="1" customWidth="1"/>
    <col min="10" max="10" width="18.77734375" customWidth="1"/>
    <col min="11" max="11" width="19.33203125" customWidth="1"/>
    <col min="12" max="12" width="18.44140625" customWidth="1"/>
    <col min="13" max="13" width="19.33203125" customWidth="1"/>
    <col min="14" max="14" width="14.109375" customWidth="1"/>
    <col min="15" max="15" width="13.21875" customWidth="1"/>
  </cols>
  <sheetData>
    <row r="1" spans="1:13" ht="42" customHeight="1" thickBot="1" x14ac:dyDescent="0.35">
      <c r="A1"/>
      <c r="B1" s="648" t="s">
        <v>454</v>
      </c>
      <c r="D1" s="945" t="s">
        <v>93</v>
      </c>
      <c r="E1" s="945"/>
      <c r="F1" s="945"/>
      <c r="G1" s="945"/>
      <c r="H1" s="945"/>
      <c r="I1" s="1"/>
      <c r="J1" s="1"/>
      <c r="K1" s="1"/>
      <c r="L1" s="1"/>
    </row>
    <row r="2" spans="1:13" ht="17.25" customHeight="1" thickBot="1" x14ac:dyDescent="0.35">
      <c r="D2" s="50" t="s">
        <v>5</v>
      </c>
      <c r="E2" s="51">
        <f>'Calculating offering price'!C4</f>
        <v>1588000</v>
      </c>
      <c r="F2" s="52"/>
      <c r="G2" s="1000" t="s">
        <v>94</v>
      </c>
      <c r="H2" s="1001"/>
      <c r="I2" s="1"/>
      <c r="J2" s="1"/>
      <c r="K2" s="1"/>
      <c r="L2" s="1"/>
      <c r="M2" s="1"/>
    </row>
    <row r="3" spans="1:13" ht="16.2" thickBot="1" x14ac:dyDescent="0.35">
      <c r="D3" s="305" t="s">
        <v>313</v>
      </c>
      <c r="E3" s="380">
        <f>'ROI Number insert'!F18</f>
        <v>0</v>
      </c>
      <c r="F3" s="285" t="s">
        <v>248</v>
      </c>
      <c r="G3" s="238" t="s">
        <v>96</v>
      </c>
      <c r="H3" s="386">
        <f>'ROI Number insert'!I3</f>
        <v>0.02</v>
      </c>
      <c r="I3" s="1"/>
      <c r="J3" s="1"/>
      <c r="K3" s="1"/>
      <c r="L3" s="1"/>
      <c r="M3" s="1"/>
    </row>
    <row r="4" spans="1:13" ht="16.8" thickTop="1" thickBot="1" x14ac:dyDescent="0.35">
      <c r="C4" s="306"/>
      <c r="D4" s="302" t="s">
        <v>97</v>
      </c>
      <c r="E4" s="651">
        <v>0</v>
      </c>
      <c r="F4" s="285" t="s">
        <v>249</v>
      </c>
      <c r="G4" s="53" t="s">
        <v>98</v>
      </c>
      <c r="H4" s="54">
        <f>'ROI Number insert'!I4</f>
        <v>31000</v>
      </c>
      <c r="I4" s="1"/>
      <c r="J4" s="1"/>
      <c r="K4" s="1"/>
      <c r="L4" s="1"/>
      <c r="M4" s="1"/>
    </row>
    <row r="5" spans="1:13" ht="16.8" thickTop="1" thickBot="1" x14ac:dyDescent="0.35">
      <c r="C5" s="306"/>
      <c r="D5" s="303" t="s">
        <v>99</v>
      </c>
      <c r="E5" s="698">
        <v>0</v>
      </c>
      <c r="F5" s="1"/>
      <c r="G5" s="53" t="s">
        <v>100</v>
      </c>
      <c r="H5" s="387">
        <f>'ROI Number insert'!I5</f>
        <v>1200</v>
      </c>
      <c r="I5" s="1"/>
      <c r="J5" s="1"/>
      <c r="K5" s="1"/>
      <c r="L5" s="1"/>
      <c r="M5" s="1"/>
    </row>
    <row r="6" spans="1:13" ht="16.8" thickTop="1" thickBot="1" x14ac:dyDescent="0.35">
      <c r="C6" s="306"/>
      <c r="D6" s="303" t="s">
        <v>101</v>
      </c>
      <c r="E6" s="397">
        <f>'ROI Number insert'!F6</f>
        <v>0.02</v>
      </c>
      <c r="F6" s="1"/>
      <c r="G6" s="53" t="s">
        <v>102</v>
      </c>
      <c r="H6" s="387">
        <f>'ROI Number insert'!I6</f>
        <v>1200</v>
      </c>
      <c r="I6" s="1"/>
      <c r="J6" s="1"/>
      <c r="K6" s="1"/>
      <c r="L6" s="1"/>
      <c r="M6" s="1"/>
    </row>
    <row r="7" spans="1:13" ht="16.8" thickTop="1" thickBot="1" x14ac:dyDescent="0.35">
      <c r="D7" s="56" t="s">
        <v>238</v>
      </c>
      <c r="E7" s="698">
        <v>0</v>
      </c>
      <c r="F7" s="1"/>
      <c r="G7" s="57" t="s">
        <v>103</v>
      </c>
      <c r="H7" s="388">
        <f>'ROI Number insert'!I7</f>
        <v>2500</v>
      </c>
      <c r="I7" s="1"/>
      <c r="J7" s="1"/>
      <c r="K7" s="1"/>
      <c r="L7" s="1"/>
      <c r="M7" s="1"/>
    </row>
    <row r="8" spans="1:13" ht="16.8" thickTop="1" thickBot="1" x14ac:dyDescent="0.35">
      <c r="D8" s="55" t="s">
        <v>104</v>
      </c>
      <c r="E8" s="698">
        <v>0</v>
      </c>
      <c r="F8" s="1"/>
      <c r="G8" s="57" t="s">
        <v>105</v>
      </c>
      <c r="H8" s="389">
        <f>'ROI Number insert'!I8</f>
        <v>0</v>
      </c>
      <c r="I8" s="1"/>
      <c r="J8" s="1"/>
      <c r="K8" s="1"/>
      <c r="L8" s="1"/>
      <c r="M8" s="1"/>
    </row>
    <row r="9" spans="1:13" ht="16.8" thickTop="1" thickBot="1" x14ac:dyDescent="0.35">
      <c r="D9" s="56" t="s">
        <v>20</v>
      </c>
      <c r="E9" s="58">
        <f>'Calculating offering price'!C13</f>
        <v>0.2</v>
      </c>
      <c r="F9" s="1"/>
      <c r="G9" s="59" t="s">
        <v>106</v>
      </c>
      <c r="H9" s="60">
        <f>'ROI Number insert'!I9</f>
        <v>15500</v>
      </c>
      <c r="I9" s="1"/>
      <c r="J9" s="1"/>
      <c r="K9" s="1"/>
      <c r="L9" s="1"/>
      <c r="M9" s="1"/>
    </row>
    <row r="10" spans="1:13" ht="16.2" thickBot="1" x14ac:dyDescent="0.35">
      <c r="D10" s="55" t="s">
        <v>447</v>
      </c>
      <c r="E10" s="61">
        <v>500</v>
      </c>
      <c r="F10" s="1"/>
      <c r="G10" s="948" t="s">
        <v>26</v>
      </c>
      <c r="H10" s="949"/>
      <c r="I10" s="1"/>
      <c r="J10" s="1"/>
      <c r="K10" s="1"/>
      <c r="L10" s="1"/>
      <c r="M10" s="1"/>
    </row>
    <row r="11" spans="1:13" x14ac:dyDescent="0.3">
      <c r="D11" s="55" t="s">
        <v>108</v>
      </c>
      <c r="E11" s="62">
        <f>E3*E9</f>
        <v>0</v>
      </c>
      <c r="F11" s="1"/>
      <c r="G11" s="279" t="s">
        <v>27</v>
      </c>
      <c r="H11" s="280">
        <f>E12</f>
        <v>0</v>
      </c>
      <c r="I11" s="1"/>
      <c r="J11" s="1"/>
      <c r="K11" s="1"/>
      <c r="L11" s="1"/>
      <c r="M11" s="1"/>
    </row>
    <row r="12" spans="1:13" ht="16.2" thickBot="1" x14ac:dyDescent="0.35">
      <c r="D12" s="63" t="s">
        <v>109</v>
      </c>
      <c r="E12" s="64">
        <f>E3-E11</f>
        <v>0</v>
      </c>
      <c r="F12" s="1"/>
      <c r="G12" s="198" t="s">
        <v>110</v>
      </c>
      <c r="H12" s="65" t="e">
        <f>'Calculating offering price ARV'!C26</f>
        <v>#NUM!</v>
      </c>
      <c r="I12" s="1"/>
      <c r="J12" s="1"/>
      <c r="K12" s="1"/>
      <c r="L12" s="1"/>
      <c r="M12" s="1"/>
    </row>
    <row r="13" spans="1:13" ht="31.2" x14ac:dyDescent="0.3">
      <c r="D13" s="237" t="s">
        <v>15</v>
      </c>
      <c r="E13" s="66">
        <f>'Calculating offering price ARV'!C9</f>
        <v>0</v>
      </c>
      <c r="F13" s="1"/>
      <c r="G13" s="67" t="s">
        <v>31</v>
      </c>
      <c r="H13" s="68" t="e">
        <f>H12*12</f>
        <v>#NUM!</v>
      </c>
      <c r="I13" s="1"/>
      <c r="J13" s="1"/>
      <c r="K13" s="1"/>
      <c r="L13" s="1"/>
      <c r="M13" s="1"/>
    </row>
    <row r="14" spans="1:13" ht="31.2" x14ac:dyDescent="0.3">
      <c r="D14" s="69" t="s">
        <v>215</v>
      </c>
      <c r="E14" s="381">
        <v>5</v>
      </c>
      <c r="F14" s="1"/>
      <c r="G14" s="70" t="s">
        <v>111</v>
      </c>
      <c r="H14" s="71">
        <f>'Calculating offering price ARV'!C28</f>
        <v>3932.9457199999997</v>
      </c>
      <c r="I14" s="1"/>
      <c r="J14" s="1"/>
      <c r="K14" s="1"/>
      <c r="L14" s="1"/>
      <c r="M14" s="1"/>
    </row>
    <row r="15" spans="1:13" x14ac:dyDescent="0.3">
      <c r="D15" s="69" t="s">
        <v>26</v>
      </c>
      <c r="E15" s="72" t="e">
        <f>E16*E14</f>
        <v>#NUM!</v>
      </c>
      <c r="F15" s="1"/>
      <c r="G15" s="70" t="s">
        <v>33</v>
      </c>
      <c r="H15" s="73">
        <f>H14/12</f>
        <v>327.74547666666666</v>
      </c>
      <c r="I15" s="1"/>
      <c r="J15" s="74"/>
      <c r="K15" s="74"/>
      <c r="L15" s="74"/>
      <c r="M15" s="74"/>
    </row>
    <row r="16" spans="1:13" ht="16.05" customHeight="1" thickBot="1" x14ac:dyDescent="0.35">
      <c r="D16" s="369" t="s">
        <v>216</v>
      </c>
      <c r="E16" s="370" t="e">
        <f>H23</f>
        <v>#NUM!</v>
      </c>
      <c r="F16" s="1"/>
      <c r="G16" s="275" t="s">
        <v>112</v>
      </c>
      <c r="H16" s="276">
        <f>'Calculating offering price ARV'!C30</f>
        <v>0</v>
      </c>
      <c r="I16" s="1"/>
      <c r="J16" s="1"/>
      <c r="K16" s="1"/>
      <c r="L16" s="1"/>
      <c r="M16" s="74"/>
    </row>
    <row r="17" spans="1:13" s="79" customFormat="1" x14ac:dyDescent="0.3">
      <c r="A17" s="76"/>
      <c r="B17" s="76"/>
      <c r="C17" s="1"/>
      <c r="D17" s="711" t="s">
        <v>209</v>
      </c>
      <c r="E17" s="712">
        <f>'ROI Number insert'!F17</f>
        <v>2000000</v>
      </c>
      <c r="F17" s="76"/>
      <c r="G17" s="281" t="s">
        <v>246</v>
      </c>
      <c r="H17" s="283">
        <f>'Calculating offering price ARV'!C31</f>
        <v>0</v>
      </c>
      <c r="I17" s="76"/>
      <c r="J17" s="76"/>
      <c r="K17" s="76"/>
      <c r="L17" s="76"/>
      <c r="M17" s="78"/>
    </row>
    <row r="18" spans="1:13" s="79" customFormat="1" ht="16.2" thickBot="1" x14ac:dyDescent="0.35">
      <c r="A18" s="76"/>
      <c r="B18" s="76"/>
      <c r="C18" s="1"/>
      <c r="D18" s="713" t="s">
        <v>313</v>
      </c>
      <c r="E18" s="714">
        <f>'ROI Number insert'!F18</f>
        <v>0</v>
      </c>
      <c r="F18" s="76"/>
      <c r="G18" s="277" t="s">
        <v>36</v>
      </c>
      <c r="H18" s="278">
        <f>'Calculating offering price ARV'!C32</f>
        <v>1500</v>
      </c>
      <c r="I18" s="76"/>
      <c r="J18" s="76"/>
      <c r="K18" s="76"/>
      <c r="L18" s="76"/>
      <c r="M18" s="78"/>
    </row>
    <row r="19" spans="1:13" s="79" customFormat="1" x14ac:dyDescent="0.3">
      <c r="A19" s="76"/>
      <c r="B19" s="76"/>
      <c r="C19" s="1"/>
      <c r="D19" s="371" t="s">
        <v>114</v>
      </c>
      <c r="E19" s="372" t="e">
        <f>E11+E13+E15+E10</f>
        <v>#NUM!</v>
      </c>
      <c r="F19" s="76"/>
      <c r="G19" s="77" t="s">
        <v>37</v>
      </c>
      <c r="H19" s="75">
        <f>'Calculating offering price ARV'!C33</f>
        <v>1571.1435294117646</v>
      </c>
      <c r="I19" s="76"/>
      <c r="J19" s="76"/>
      <c r="K19" s="76"/>
      <c r="L19" s="76"/>
      <c r="M19" s="78"/>
    </row>
    <row r="20" spans="1:13" s="79" customFormat="1" ht="16.2" thickBot="1" x14ac:dyDescent="0.35">
      <c r="A20" s="76"/>
      <c r="B20" s="76"/>
      <c r="C20" s="1"/>
      <c r="D20" s="91" t="s">
        <v>115</v>
      </c>
      <c r="E20" s="92">
        <f>E11+E10</f>
        <v>500</v>
      </c>
      <c r="F20" s="76"/>
      <c r="G20" s="80" t="s">
        <v>39</v>
      </c>
      <c r="H20" s="81">
        <f>'Calculating offering price ARV'!C34</f>
        <v>907</v>
      </c>
      <c r="I20" s="76"/>
      <c r="J20" s="76"/>
      <c r="K20" s="76"/>
      <c r="L20" s="76"/>
      <c r="M20" s="78"/>
    </row>
    <row r="21" spans="1:13" s="79" customFormat="1" ht="42.6" thickBot="1" x14ac:dyDescent="0.35">
      <c r="A21" s="76"/>
      <c r="B21" s="76"/>
      <c r="C21" s="1"/>
      <c r="D21" s="197" t="s">
        <v>116</v>
      </c>
      <c r="E21" s="197"/>
      <c r="F21" s="76"/>
      <c r="G21" s="82" t="s">
        <v>40</v>
      </c>
      <c r="H21" s="83">
        <f>H20*12</f>
        <v>10884</v>
      </c>
      <c r="I21" s="76"/>
      <c r="J21" s="1"/>
      <c r="K21" s="1"/>
      <c r="L21" s="76"/>
      <c r="M21" s="78"/>
    </row>
    <row r="22" spans="1:13" s="79" customFormat="1" ht="15.45" customHeight="1" thickBot="1" x14ac:dyDescent="0.35">
      <c r="A22" s="76"/>
      <c r="B22" s="76"/>
      <c r="C22" s="1"/>
      <c r="D22" s="952" t="s">
        <v>117</v>
      </c>
      <c r="E22" s="953"/>
      <c r="F22" s="76"/>
      <c r="G22" s="84" t="s">
        <v>41</v>
      </c>
      <c r="H22" s="85" t="e">
        <f>H13+H14+H16+H18+H19+H21+H17</f>
        <v>#NUM!</v>
      </c>
      <c r="I22" s="76"/>
      <c r="J22" s="76"/>
      <c r="K22" s="76"/>
      <c r="L22" s="76"/>
      <c r="M22" s="86"/>
    </row>
    <row r="23" spans="1:13" ht="16.2" thickBot="1" x14ac:dyDescent="0.35">
      <c r="D23" s="93" t="s">
        <v>118</v>
      </c>
      <c r="E23" s="94">
        <f>'Calculating offering price ARV'!C57</f>
        <v>0</v>
      </c>
      <c r="F23" s="1"/>
      <c r="G23" s="87" t="s">
        <v>42</v>
      </c>
      <c r="H23" s="88" t="e">
        <f>H22/12</f>
        <v>#NUM!</v>
      </c>
      <c r="I23" s="1"/>
      <c r="J23" s="89"/>
      <c r="K23" s="1"/>
      <c r="L23" s="1"/>
      <c r="M23" s="89"/>
    </row>
    <row r="24" spans="1:13" ht="16.2" thickBot="1" x14ac:dyDescent="0.35">
      <c r="D24" s="95" t="s">
        <v>119</v>
      </c>
      <c r="E24" s="96">
        <f>E23*12</f>
        <v>0</v>
      </c>
      <c r="F24" s="90"/>
      <c r="G24" s="268" t="s">
        <v>225</v>
      </c>
      <c r="H24" s="284" t="s">
        <v>230</v>
      </c>
      <c r="I24" s="1"/>
      <c r="J24" s="89"/>
      <c r="K24" s="1"/>
      <c r="L24" s="1"/>
      <c r="M24" s="89"/>
    </row>
    <row r="25" spans="1:13" ht="16.8" thickTop="1" thickBot="1" x14ac:dyDescent="0.35">
      <c r="D25" s="97" t="s">
        <v>120</v>
      </c>
      <c r="E25" s="699">
        <v>0</v>
      </c>
      <c r="F25" s="90"/>
      <c r="I25" s="1" t="s">
        <v>226</v>
      </c>
      <c r="J25" s="89"/>
      <c r="K25" s="1"/>
      <c r="L25" s="1"/>
      <c r="M25" s="89"/>
    </row>
    <row r="26" spans="1:13" ht="16.2" thickTop="1" x14ac:dyDescent="0.3">
      <c r="D26" s="98" t="s">
        <v>121</v>
      </c>
      <c r="E26" s="99">
        <f>E24*E25</f>
        <v>0</v>
      </c>
      <c r="F26" s="1"/>
      <c r="G26" s="52"/>
      <c r="H26" s="1"/>
      <c r="I26" s="1" t="s">
        <v>227</v>
      </c>
      <c r="J26" s="89"/>
      <c r="K26" s="1"/>
      <c r="L26" s="1"/>
      <c r="M26" s="89"/>
    </row>
    <row r="27" spans="1:13" ht="16.2" thickBot="1" x14ac:dyDescent="0.35">
      <c r="D27" s="272" t="s">
        <v>240</v>
      </c>
      <c r="E27" s="100">
        <f>E24-E26</f>
        <v>0</v>
      </c>
      <c r="F27" s="89"/>
      <c r="G27" s="52"/>
      <c r="H27" s="1"/>
      <c r="I27" s="1" t="s">
        <v>229</v>
      </c>
      <c r="J27" s="1"/>
      <c r="K27" s="1"/>
      <c r="L27" s="1"/>
      <c r="M27" s="1"/>
    </row>
    <row r="28" spans="1:13" ht="21.6" thickBot="1" x14ac:dyDescent="0.35">
      <c r="D28" s="950" t="s">
        <v>187</v>
      </c>
      <c r="E28" s="951"/>
      <c r="F28" s="89"/>
      <c r="G28" s="1"/>
      <c r="H28" s="1"/>
      <c r="I28" s="1" t="s">
        <v>228</v>
      </c>
      <c r="J28" s="1"/>
      <c r="K28" s="1"/>
      <c r="L28" s="1"/>
      <c r="M28" s="1"/>
    </row>
    <row r="29" spans="1:13" x14ac:dyDescent="0.3">
      <c r="D29" s="101" t="s">
        <v>122</v>
      </c>
      <c r="E29" s="102" t="e">
        <f>H12</f>
        <v>#NUM!</v>
      </c>
      <c r="F29" s="1"/>
      <c r="G29" s="1"/>
      <c r="H29" s="1"/>
      <c r="I29" s="1" t="s">
        <v>230</v>
      </c>
      <c r="J29" s="1"/>
      <c r="K29" s="1"/>
      <c r="L29" s="1"/>
      <c r="M29" s="1"/>
    </row>
    <row r="30" spans="1:13" ht="16.2" thickBot="1" x14ac:dyDescent="0.35">
      <c r="D30" s="103" t="s">
        <v>123</v>
      </c>
      <c r="E30" s="104" t="e">
        <f>E29*12</f>
        <v>#NUM!</v>
      </c>
      <c r="F30" s="1"/>
      <c r="G30" s="1"/>
      <c r="H30" s="1"/>
      <c r="I30" s="1" t="s">
        <v>231</v>
      </c>
      <c r="J30" s="1"/>
      <c r="K30" s="1"/>
      <c r="L30" s="1"/>
      <c r="M30" s="1"/>
    </row>
    <row r="31" spans="1:13" ht="24" thickBot="1" x14ac:dyDescent="0.35">
      <c r="D31" s="943" t="s">
        <v>239</v>
      </c>
      <c r="E31" s="944"/>
      <c r="F31" s="1"/>
      <c r="G31" s="1"/>
      <c r="H31" s="1"/>
      <c r="I31" s="1"/>
      <c r="J31" s="1"/>
      <c r="K31" s="1"/>
      <c r="L31" s="1"/>
      <c r="M31" s="1"/>
    </row>
    <row r="32" spans="1:13" x14ac:dyDescent="0.3">
      <c r="D32" s="105" t="s">
        <v>124</v>
      </c>
      <c r="E32" s="106">
        <f>H14</f>
        <v>3932.9457199999997</v>
      </c>
      <c r="F32" s="1"/>
      <c r="G32" s="1"/>
      <c r="H32" s="1"/>
      <c r="I32" s="1"/>
      <c r="J32" s="1"/>
      <c r="K32" s="1"/>
      <c r="L32" s="1"/>
      <c r="M32" s="1"/>
    </row>
    <row r="33" spans="4:13" ht="31.2" x14ac:dyDescent="0.3">
      <c r="D33" s="107" t="s">
        <v>125</v>
      </c>
      <c r="E33" s="379">
        <f>E23*8%</f>
        <v>0</v>
      </c>
      <c r="F33" s="1"/>
      <c r="G33" s="1"/>
      <c r="H33" s="1"/>
      <c r="I33" s="1"/>
      <c r="J33" s="1"/>
      <c r="K33" s="1"/>
      <c r="L33" s="1"/>
      <c r="M33" s="1"/>
    </row>
    <row r="34" spans="4:13" x14ac:dyDescent="0.3">
      <c r="D34" s="107" t="s">
        <v>126</v>
      </c>
      <c r="E34" s="108">
        <f>E33*12</f>
        <v>0</v>
      </c>
      <c r="F34" s="1"/>
      <c r="G34" s="1"/>
      <c r="H34" s="1"/>
      <c r="I34" s="1"/>
      <c r="J34" s="1"/>
      <c r="K34" s="1"/>
      <c r="L34" s="1"/>
      <c r="M34" s="1"/>
    </row>
    <row r="35" spans="4:13" x14ac:dyDescent="0.3">
      <c r="D35" s="107" t="s">
        <v>37</v>
      </c>
      <c r="E35" s="108">
        <f>H19</f>
        <v>1571.1435294117646</v>
      </c>
      <c r="F35" s="1"/>
      <c r="G35" s="1"/>
      <c r="H35" s="1"/>
      <c r="I35" s="1"/>
      <c r="J35" s="1"/>
      <c r="K35" s="1"/>
      <c r="L35" s="1"/>
      <c r="M35" s="1"/>
    </row>
    <row r="36" spans="4:13" x14ac:dyDescent="0.3">
      <c r="D36" s="109" t="s">
        <v>127</v>
      </c>
      <c r="E36" s="110">
        <f>H20</f>
        <v>907</v>
      </c>
      <c r="F36" s="1"/>
      <c r="G36" s="1"/>
      <c r="H36" s="1"/>
      <c r="I36" s="1"/>
      <c r="J36" s="1"/>
      <c r="K36" s="1"/>
      <c r="L36" s="1"/>
      <c r="M36" s="1"/>
    </row>
    <row r="37" spans="4:13" x14ac:dyDescent="0.3">
      <c r="D37" s="107" t="s">
        <v>128</v>
      </c>
      <c r="E37" s="108">
        <f>E36*12</f>
        <v>10884</v>
      </c>
      <c r="F37" s="1"/>
      <c r="G37" s="52"/>
      <c r="H37" s="1"/>
      <c r="I37" s="1"/>
      <c r="J37" s="1"/>
      <c r="K37" s="1"/>
      <c r="L37" s="1"/>
      <c r="M37" s="1"/>
    </row>
    <row r="38" spans="4:13" x14ac:dyDescent="0.3">
      <c r="D38" s="107" t="s">
        <v>129</v>
      </c>
      <c r="E38" s="108">
        <f>H18</f>
        <v>1500</v>
      </c>
      <c r="F38" s="1"/>
      <c r="G38" s="52"/>
      <c r="H38" s="1"/>
      <c r="I38" s="1"/>
      <c r="J38" s="1"/>
      <c r="K38" s="1"/>
      <c r="L38" s="1"/>
      <c r="M38" s="1"/>
    </row>
    <row r="39" spans="4:13" x14ac:dyDescent="0.3">
      <c r="D39" s="107" t="s">
        <v>130</v>
      </c>
      <c r="E39" s="379">
        <f>'ROI Number insert'!F39</f>
        <v>0</v>
      </c>
      <c r="F39" s="1"/>
      <c r="G39" s="52"/>
      <c r="H39" s="1"/>
      <c r="I39" s="1"/>
      <c r="J39" s="1"/>
      <c r="K39" s="1"/>
      <c r="L39" s="1"/>
      <c r="M39" s="1"/>
    </row>
    <row r="40" spans="4:13" x14ac:dyDescent="0.3">
      <c r="D40" s="107" t="s">
        <v>131</v>
      </c>
      <c r="E40" s="379">
        <f>'ROI Number insert'!F40</f>
        <v>0</v>
      </c>
      <c r="F40" s="1"/>
      <c r="G40" s="52"/>
      <c r="H40" s="1"/>
      <c r="I40" s="1"/>
      <c r="J40" s="1"/>
      <c r="K40" s="1"/>
      <c r="L40" s="1"/>
      <c r="M40" s="1"/>
    </row>
    <row r="41" spans="4:13" x14ac:dyDescent="0.3">
      <c r="D41" s="107" t="s">
        <v>132</v>
      </c>
      <c r="E41" s="112">
        <f>E27*0.05</f>
        <v>0</v>
      </c>
      <c r="F41" s="1"/>
      <c r="G41" s="52"/>
      <c r="H41" s="1"/>
      <c r="I41" s="1"/>
      <c r="J41" s="1"/>
      <c r="K41" s="1"/>
      <c r="L41" s="1"/>
      <c r="M41" s="1"/>
    </row>
    <row r="42" spans="4:13" x14ac:dyDescent="0.3">
      <c r="D42" s="107" t="s">
        <v>133</v>
      </c>
      <c r="E42" s="108">
        <f>E27*0.01</f>
        <v>0</v>
      </c>
      <c r="F42" s="1"/>
      <c r="G42" s="52"/>
      <c r="H42" s="1"/>
      <c r="I42" s="1"/>
      <c r="J42" s="1"/>
      <c r="K42" s="1"/>
      <c r="L42" s="1"/>
      <c r="M42" s="1"/>
    </row>
    <row r="43" spans="4:13" ht="16.2" thickBot="1" x14ac:dyDescent="0.35">
      <c r="D43" s="113" t="s">
        <v>134</v>
      </c>
      <c r="E43" s="390">
        <f>'ROI Number insert'!F43</f>
        <v>0</v>
      </c>
      <c r="F43" s="1"/>
      <c r="G43" s="111"/>
      <c r="H43" s="1"/>
      <c r="I43" s="1"/>
      <c r="J43" s="1"/>
      <c r="K43" s="1"/>
      <c r="L43" s="1"/>
      <c r="M43" s="1"/>
    </row>
    <row r="44" spans="4:13" ht="16.2" thickBot="1" x14ac:dyDescent="0.35">
      <c r="D44" s="273" t="s">
        <v>241</v>
      </c>
      <c r="E44" s="274">
        <f>E32+E34+E35+E37+E38+E39+E40+E41+E42+E43</f>
        <v>17888.089249411765</v>
      </c>
      <c r="F44" s="1"/>
      <c r="G44" s="111"/>
      <c r="H44" s="1"/>
      <c r="I44" s="1"/>
      <c r="J44" s="1"/>
      <c r="K44" s="1"/>
      <c r="L44" s="1"/>
      <c r="M44" s="1"/>
    </row>
    <row r="45" spans="4:13" x14ac:dyDescent="0.3">
      <c r="D45" s="229" t="s">
        <v>135</v>
      </c>
      <c r="E45" s="230">
        <f>E27-E44</f>
        <v>-17888.089249411765</v>
      </c>
      <c r="F45" s="1"/>
      <c r="G45" s="111"/>
      <c r="H45" s="1"/>
      <c r="I45" s="1"/>
      <c r="J45" s="1"/>
      <c r="K45" s="1"/>
      <c r="L45" s="1"/>
      <c r="M45" s="1"/>
    </row>
    <row r="46" spans="4:13" ht="16.2" thickBot="1" x14ac:dyDescent="0.35">
      <c r="D46" s="231" t="s">
        <v>138</v>
      </c>
      <c r="E46" s="232" t="e">
        <f>E30</f>
        <v>#NUM!</v>
      </c>
      <c r="F46" s="1"/>
      <c r="G46" s="111"/>
      <c r="H46" s="1"/>
      <c r="I46" s="1"/>
      <c r="J46" s="1"/>
      <c r="K46" s="1"/>
      <c r="L46" s="1"/>
      <c r="M46" s="1"/>
    </row>
    <row r="47" spans="4:13" ht="16.2" thickBot="1" x14ac:dyDescent="0.35">
      <c r="D47" s="114" t="s">
        <v>136</v>
      </c>
      <c r="E47" s="233" t="e">
        <f>E45-E46</f>
        <v>#NUM!</v>
      </c>
      <c r="F47" s="1"/>
      <c r="G47" s="111"/>
      <c r="H47" s="1"/>
      <c r="I47" s="1"/>
      <c r="J47" s="1"/>
      <c r="K47" s="1"/>
      <c r="L47" s="1"/>
      <c r="M47" s="1"/>
    </row>
    <row r="48" spans="4:13" ht="16.2" thickBot="1" x14ac:dyDescent="0.35">
      <c r="D48" s="115" t="s">
        <v>137</v>
      </c>
      <c r="E48" s="116" t="e">
        <f>E47/12</f>
        <v>#NUM!</v>
      </c>
      <c r="F48" s="1"/>
      <c r="G48" s="111"/>
      <c r="H48" s="1"/>
      <c r="I48" s="1"/>
      <c r="J48" s="1"/>
      <c r="K48" s="1"/>
      <c r="L48" s="1"/>
      <c r="M48" s="1"/>
    </row>
    <row r="49" spans="4:14" ht="16.2" thickBot="1" x14ac:dyDescent="0.35">
      <c r="D49" s="1"/>
      <c r="E49" s="117"/>
      <c r="F49" s="1"/>
      <c r="G49" s="111"/>
      <c r="H49" s="89"/>
      <c r="I49" s="89"/>
      <c r="J49" s="89"/>
      <c r="K49" s="89"/>
      <c r="L49" s="1"/>
      <c r="M49" s="1"/>
    </row>
    <row r="50" spans="4:14" ht="16.2" thickBot="1" x14ac:dyDescent="0.35">
      <c r="D50" s="118" t="s">
        <v>139</v>
      </c>
      <c r="E50" s="119">
        <f>3000+(E17-100000)*7%</f>
        <v>136000</v>
      </c>
      <c r="F50" s="1"/>
      <c r="G50" s="111"/>
      <c r="H50" s="1"/>
      <c r="I50" s="1"/>
      <c r="J50" s="1"/>
      <c r="K50" s="1"/>
      <c r="L50" s="1"/>
      <c r="M50" s="1"/>
    </row>
    <row r="51" spans="4:14" x14ac:dyDescent="0.3">
      <c r="D51" s="1"/>
      <c r="E51" s="117"/>
      <c r="F51" s="1"/>
      <c r="G51" s="1"/>
      <c r="H51" s="1"/>
      <c r="I51" s="1"/>
      <c r="J51" s="1"/>
      <c r="K51" s="1"/>
      <c r="L51" s="1"/>
      <c r="M51" s="1"/>
      <c r="N51" s="1"/>
    </row>
    <row r="52" spans="4:14" x14ac:dyDescent="0.3">
      <c r="D52" s="1"/>
      <c r="E52" s="117"/>
      <c r="F52" s="1"/>
      <c r="G52" s="1"/>
      <c r="H52" s="1"/>
      <c r="I52" s="1"/>
      <c r="J52" s="1"/>
      <c r="K52" s="1"/>
      <c r="L52" s="1"/>
      <c r="M52" s="1"/>
      <c r="N52" s="1"/>
    </row>
    <row r="53" spans="4:14" x14ac:dyDescent="0.3">
      <c r="D53" s="1"/>
      <c r="E53" s="117"/>
      <c r="F53" s="1"/>
      <c r="G53" s="1"/>
      <c r="H53" s="1"/>
      <c r="I53" s="1"/>
      <c r="J53" s="1"/>
      <c r="K53" s="1"/>
      <c r="L53" s="1"/>
      <c r="M53" s="1"/>
      <c r="N53" s="1"/>
    </row>
    <row r="54" spans="4:14" x14ac:dyDescent="0.3">
      <c r="D54" s="1"/>
      <c r="E54" s="117"/>
      <c r="F54" s="1"/>
      <c r="G54" s="1"/>
      <c r="H54" s="1"/>
      <c r="I54" s="1"/>
      <c r="J54" s="1"/>
      <c r="K54" s="1"/>
      <c r="L54" s="1"/>
      <c r="M54" s="1"/>
      <c r="N54" s="1"/>
    </row>
    <row r="55" spans="4:14" ht="21" customHeight="1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4" ht="14.4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4" ht="14.4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4" ht="14.4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4" ht="16.5" customHeight="1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4" ht="14.4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4" x14ac:dyDescent="0.3">
      <c r="D61" s="1"/>
      <c r="E61" s="117"/>
      <c r="F61" s="1"/>
      <c r="G61" s="52"/>
      <c r="H61" s="1"/>
      <c r="I61" s="1"/>
      <c r="J61" s="1"/>
      <c r="K61" s="1"/>
      <c r="L61" s="1"/>
      <c r="M61" s="1"/>
      <c r="N61" s="1"/>
    </row>
    <row r="62" spans="4:14" x14ac:dyDescent="0.3">
      <c r="F62" s="1"/>
      <c r="G62" s="52"/>
      <c r="H62" s="1"/>
      <c r="I62" s="1"/>
      <c r="J62" s="1"/>
      <c r="K62" s="1"/>
      <c r="L62" s="1"/>
      <c r="M62" s="1"/>
      <c r="N62" s="1"/>
    </row>
    <row r="63" spans="4:14" ht="14.4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4" ht="14.4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4:14" ht="14.4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4:14" ht="14.4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4:14" ht="14.4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ht="14.4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ht="14.4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4:14" ht="14.4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4:14" ht="14.4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4:14" ht="14.4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4:14" ht="14.4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4:14" ht="14.4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ht="14.4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ht="14.4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ht="14.4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ht="14.4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ht="14.4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ht="14.4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4:14" ht="14.4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4:14" ht="14.4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ht="14.4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ht="14.4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4:14" x14ac:dyDescent="0.3">
      <c r="D85" s="1"/>
      <c r="E85" s="117"/>
      <c r="F85" s="1"/>
      <c r="G85" s="52"/>
      <c r="H85" s="1"/>
      <c r="I85" s="1"/>
      <c r="J85" s="1"/>
      <c r="K85" s="1"/>
      <c r="L85" s="1"/>
      <c r="M85" s="1"/>
      <c r="N85" s="1"/>
    </row>
    <row r="86" spans="4:14" ht="14.4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4:14" ht="14.4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4:14" ht="14.4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4:14" ht="14.4" x14ac:dyDescent="0.3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4:14" ht="14.4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4:14" ht="14.4" x14ac:dyDescent="0.3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4:14" ht="14.4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4:14" ht="14.4" x14ac:dyDescent="0.3">
      <c r="D93" s="1"/>
      <c r="E93" s="1"/>
      <c r="F93" s="1"/>
      <c r="G93" s="52"/>
      <c r="H93" s="1"/>
      <c r="I93" s="1"/>
      <c r="J93" s="1"/>
      <c r="K93" s="1"/>
      <c r="L93" s="1"/>
      <c r="M93" s="1"/>
      <c r="N93" s="1"/>
    </row>
    <row r="94" spans="4:14" ht="14.4" x14ac:dyDescent="0.3">
      <c r="D94" s="1"/>
      <c r="E94" s="1"/>
      <c r="F94" s="1"/>
      <c r="G94" s="52"/>
      <c r="H94" s="1"/>
      <c r="I94" s="1"/>
      <c r="J94" s="1"/>
      <c r="K94" s="1"/>
      <c r="L94" s="1"/>
      <c r="M94" s="1"/>
      <c r="N94" s="1"/>
    </row>
    <row r="95" spans="4:14" ht="14.4" x14ac:dyDescent="0.3">
      <c r="D95" s="1"/>
      <c r="E95" s="1"/>
      <c r="F95" s="1"/>
      <c r="G95" s="52"/>
      <c r="H95" s="1"/>
      <c r="I95" s="1"/>
      <c r="J95" s="1"/>
      <c r="K95" s="1"/>
      <c r="L95" s="1"/>
      <c r="M95" s="1"/>
      <c r="N95" s="1"/>
    </row>
    <row r="96" spans="4:14" ht="14.4" x14ac:dyDescent="0.3">
      <c r="D96" s="1"/>
      <c r="E96" s="1"/>
      <c r="F96" s="127"/>
      <c r="G96" s="128"/>
      <c r="H96" s="1"/>
      <c r="I96" s="1"/>
      <c r="J96" s="1"/>
      <c r="K96" s="1"/>
      <c r="L96" s="1"/>
      <c r="M96" s="1"/>
      <c r="N96" s="1"/>
    </row>
    <row r="97" spans="4:14" ht="14.4" x14ac:dyDescent="0.3">
      <c r="D97" s="1"/>
      <c r="E97" s="1"/>
      <c r="F97" s="127"/>
      <c r="G97" s="128"/>
      <c r="H97" s="1"/>
      <c r="I97" s="1"/>
      <c r="J97" s="1"/>
      <c r="K97" s="1"/>
      <c r="L97" s="1"/>
      <c r="M97" s="1"/>
      <c r="N97" s="1"/>
    </row>
    <row r="98" spans="4:14" ht="14.4" x14ac:dyDescent="0.3">
      <c r="D98" s="1"/>
      <c r="E98" s="1"/>
      <c r="F98" s="1"/>
      <c r="G98" s="52"/>
      <c r="H98" s="1"/>
      <c r="I98" s="1"/>
      <c r="J98" s="1"/>
      <c r="K98" s="1"/>
      <c r="L98" s="1"/>
      <c r="M98" s="1"/>
      <c r="N98" s="1"/>
    </row>
    <row r="99" spans="4:14" ht="14.4" x14ac:dyDescent="0.3">
      <c r="D99" s="1"/>
      <c r="E99" s="1"/>
      <c r="F99" s="1"/>
      <c r="G99" s="52"/>
      <c r="H99" s="1"/>
      <c r="I99" s="1"/>
      <c r="J99" s="1"/>
      <c r="K99" s="1"/>
      <c r="L99" s="1"/>
      <c r="M99" s="1"/>
      <c r="N99" s="1"/>
    </row>
    <row r="100" spans="4:14" ht="14.4" x14ac:dyDescent="0.3">
      <c r="D100" s="1"/>
      <c r="E100" s="1"/>
      <c r="F100" s="1"/>
      <c r="G100" s="52"/>
      <c r="H100" s="1"/>
      <c r="I100" s="1"/>
      <c r="J100" s="1"/>
      <c r="K100" s="1"/>
      <c r="L100" s="1"/>
      <c r="M100" s="1"/>
      <c r="N100" s="1"/>
    </row>
    <row r="101" spans="4:14" ht="14.4" x14ac:dyDescent="0.3">
      <c r="D101" s="1"/>
      <c r="E101" s="1"/>
      <c r="F101" s="1"/>
      <c r="G101" s="52"/>
      <c r="H101" s="1"/>
      <c r="I101" s="1"/>
      <c r="J101" s="1"/>
      <c r="K101" s="1"/>
      <c r="L101" s="1"/>
      <c r="M101" s="1"/>
      <c r="N101" s="1"/>
    </row>
    <row r="102" spans="4:14" ht="14.4" x14ac:dyDescent="0.3">
      <c r="D102" s="1"/>
      <c r="E102" s="1"/>
      <c r="F102" s="1"/>
      <c r="G102" s="52"/>
      <c r="H102" s="1"/>
      <c r="I102" s="1"/>
      <c r="J102" s="1"/>
      <c r="K102" s="1"/>
      <c r="L102" s="1"/>
      <c r="M102" s="1"/>
      <c r="N102" s="1"/>
    </row>
    <row r="103" spans="4:14" ht="14.4" x14ac:dyDescent="0.3">
      <c r="D103" s="1"/>
      <c r="E103" s="1"/>
      <c r="F103" s="1"/>
      <c r="G103" s="52"/>
      <c r="H103" s="1"/>
      <c r="I103" s="1"/>
      <c r="J103" s="1"/>
      <c r="K103" s="1"/>
      <c r="L103" s="1"/>
      <c r="M103" s="1"/>
      <c r="N103" s="1"/>
    </row>
    <row r="104" spans="4:14" ht="14.4" x14ac:dyDescent="0.3">
      <c r="D104" s="1"/>
      <c r="E104" s="1"/>
      <c r="F104" s="1"/>
      <c r="G104" s="52"/>
      <c r="H104" s="1"/>
      <c r="I104" s="1"/>
      <c r="J104" s="1"/>
      <c r="K104" s="1"/>
      <c r="L104" s="1"/>
      <c r="M104" s="1"/>
      <c r="N104" s="1"/>
    </row>
    <row r="105" spans="4:14" ht="14.4" x14ac:dyDescent="0.3">
      <c r="D105" s="1"/>
      <c r="E105" s="1"/>
      <c r="F105" s="1"/>
      <c r="G105" s="52"/>
      <c r="H105" s="1"/>
      <c r="I105" s="1"/>
      <c r="J105" s="1"/>
      <c r="K105" s="1"/>
      <c r="L105" s="1"/>
      <c r="M105" s="1"/>
      <c r="N105" s="1"/>
    </row>
    <row r="106" spans="4:14" ht="14.4" x14ac:dyDescent="0.3">
      <c r="D106" s="1"/>
      <c r="E106" s="1"/>
      <c r="F106" s="1"/>
      <c r="G106" s="52"/>
      <c r="H106" s="1"/>
      <c r="I106" s="1"/>
      <c r="J106" s="1"/>
      <c r="K106" s="1"/>
      <c r="L106" s="1"/>
      <c r="M106" s="1"/>
      <c r="N106" s="1"/>
    </row>
    <row r="107" spans="4:14" ht="14.4" x14ac:dyDescent="0.3">
      <c r="D107" s="1"/>
      <c r="E107" s="1"/>
      <c r="F107" s="1"/>
      <c r="G107" s="52"/>
      <c r="H107" s="1"/>
      <c r="I107" s="1"/>
      <c r="J107" s="1"/>
      <c r="K107" s="1"/>
      <c r="L107" s="1"/>
      <c r="M107" s="1"/>
      <c r="N107" s="1"/>
    </row>
    <row r="108" spans="4:14" ht="14.4" x14ac:dyDescent="0.3">
      <c r="D108" s="1"/>
      <c r="E108" s="1"/>
      <c r="F108" s="1"/>
      <c r="G108" s="52"/>
      <c r="H108" s="1"/>
      <c r="I108" s="1"/>
      <c r="J108" s="1"/>
      <c r="K108" s="1"/>
      <c r="L108" s="1"/>
      <c r="M108" s="1"/>
      <c r="N108" s="1"/>
    </row>
    <row r="109" spans="4:14" ht="14.4" x14ac:dyDescent="0.3">
      <c r="D109" s="1"/>
      <c r="E109" s="1"/>
      <c r="F109" s="1"/>
      <c r="G109" s="52"/>
      <c r="H109" s="1"/>
      <c r="I109" s="1"/>
      <c r="J109" s="1"/>
      <c r="K109" s="1"/>
      <c r="L109" s="1"/>
      <c r="M109" s="1"/>
      <c r="N109" s="1"/>
    </row>
    <row r="110" spans="4:14" ht="14.4" x14ac:dyDescent="0.3">
      <c r="D110" s="1"/>
      <c r="E110" s="1"/>
      <c r="F110" s="1"/>
      <c r="G110" s="52"/>
      <c r="H110" s="1"/>
      <c r="I110" s="1"/>
      <c r="J110" s="1"/>
      <c r="K110" s="1"/>
      <c r="L110" s="1"/>
      <c r="M110" s="1"/>
      <c r="N110" s="1"/>
    </row>
    <row r="111" spans="4:14" ht="14.4" x14ac:dyDescent="0.3">
      <c r="D111" s="1"/>
      <c r="E111" s="1"/>
      <c r="F111" s="1"/>
      <c r="G111" s="52"/>
      <c r="H111" s="1"/>
      <c r="I111" s="1"/>
      <c r="J111" s="1"/>
      <c r="K111" s="1"/>
      <c r="L111" s="1"/>
      <c r="M111" s="1"/>
      <c r="N111" s="1"/>
    </row>
    <row r="112" spans="4:14" ht="14.4" x14ac:dyDescent="0.3">
      <c r="D112" s="1"/>
      <c r="E112" s="1"/>
      <c r="F112" s="1"/>
      <c r="G112" s="52"/>
      <c r="H112" s="1"/>
      <c r="I112" s="1"/>
      <c r="J112" s="1"/>
      <c r="K112" s="1"/>
      <c r="L112" s="1"/>
      <c r="M112" s="1"/>
      <c r="N112" s="1"/>
    </row>
    <row r="113" spans="4:14" ht="14.4" x14ac:dyDescent="0.3">
      <c r="D113" s="1"/>
      <c r="E113" s="1"/>
      <c r="F113" s="1"/>
      <c r="G113" s="52"/>
      <c r="H113" s="1"/>
      <c r="I113" s="1"/>
      <c r="J113" s="1"/>
      <c r="K113" s="1"/>
      <c r="L113" s="1"/>
      <c r="M113" s="1"/>
      <c r="N113" s="1"/>
    </row>
    <row r="114" spans="4:14" ht="14.4" x14ac:dyDescent="0.3">
      <c r="D114" s="1"/>
      <c r="E114" s="1"/>
      <c r="F114" s="1"/>
      <c r="G114" s="52"/>
      <c r="H114" s="1"/>
      <c r="I114" s="1"/>
      <c r="J114" s="1"/>
      <c r="K114" s="1"/>
      <c r="L114" s="1"/>
      <c r="M114" s="1"/>
      <c r="N114" s="1"/>
    </row>
    <row r="115" spans="4:14" ht="14.4" x14ac:dyDescent="0.3">
      <c r="D115" s="1"/>
      <c r="E115" s="1"/>
      <c r="F115" s="1"/>
      <c r="G115" s="52"/>
      <c r="H115" s="1"/>
      <c r="I115" s="1"/>
      <c r="J115" s="1"/>
      <c r="K115" s="1"/>
      <c r="L115" s="1"/>
      <c r="M115" s="1"/>
      <c r="N115" s="1"/>
    </row>
    <row r="116" spans="4:14" ht="14.4" x14ac:dyDescent="0.3">
      <c r="D116" s="1"/>
      <c r="E116" s="1"/>
      <c r="F116" s="1"/>
      <c r="G116" s="52"/>
      <c r="H116" s="1"/>
      <c r="I116" s="1"/>
      <c r="J116" s="1"/>
      <c r="K116" s="1"/>
      <c r="L116" s="1"/>
      <c r="M116" s="1"/>
      <c r="N116" s="1"/>
    </row>
    <row r="117" spans="4:14" ht="14.4" x14ac:dyDescent="0.3">
      <c r="D117" s="1"/>
      <c r="E117" s="1"/>
      <c r="F117" s="1"/>
      <c r="G117" s="52"/>
      <c r="H117" s="1"/>
      <c r="I117" s="1"/>
      <c r="J117" s="1"/>
      <c r="K117" s="1"/>
      <c r="L117" s="1"/>
      <c r="M117" s="1"/>
      <c r="N117" s="1"/>
    </row>
    <row r="118" spans="4:14" ht="14.4" x14ac:dyDescent="0.3">
      <c r="D118" s="1"/>
      <c r="E118" s="1"/>
      <c r="F118" s="1"/>
      <c r="G118" s="52"/>
      <c r="H118" s="1"/>
      <c r="I118" s="1"/>
      <c r="J118" s="1"/>
      <c r="K118" s="1"/>
      <c r="L118" s="1"/>
      <c r="M118" s="1"/>
      <c r="N118" s="1"/>
    </row>
    <row r="119" spans="4:14" ht="14.4" x14ac:dyDescent="0.3">
      <c r="D119" s="1"/>
      <c r="E119" s="1"/>
      <c r="F119" s="1"/>
      <c r="G119" s="52"/>
      <c r="H119" s="1"/>
      <c r="I119" s="1"/>
      <c r="J119" s="1"/>
      <c r="K119" s="1"/>
      <c r="L119" s="1"/>
      <c r="M119" s="1"/>
      <c r="N119" s="1"/>
    </row>
    <row r="120" spans="4:14" ht="14.4" x14ac:dyDescent="0.3">
      <c r="D120" s="1"/>
      <c r="E120" s="1"/>
      <c r="F120" s="1"/>
      <c r="G120" s="52"/>
      <c r="H120" s="1"/>
      <c r="I120" s="1"/>
      <c r="J120" s="1"/>
      <c r="K120" s="1"/>
      <c r="L120" s="1"/>
      <c r="M120" s="1"/>
      <c r="N120" s="1"/>
    </row>
    <row r="121" spans="4:14" x14ac:dyDescent="0.3">
      <c r="D121" s="1"/>
      <c r="E121" s="117"/>
      <c r="F121" s="1"/>
      <c r="G121" s="52"/>
      <c r="H121" s="1"/>
      <c r="I121" s="1"/>
      <c r="J121" s="1"/>
      <c r="K121" s="1"/>
      <c r="L121" s="1"/>
      <c r="M121" s="1"/>
      <c r="N121" s="1"/>
    </row>
    <row r="122" spans="4:14" ht="14.4" x14ac:dyDescent="0.3">
      <c r="D122" s="1"/>
      <c r="E122" s="1"/>
      <c r="F122" s="1"/>
      <c r="G122" s="52"/>
      <c r="H122" s="1"/>
      <c r="I122" s="1"/>
      <c r="J122" s="1"/>
      <c r="K122" s="1"/>
      <c r="L122" s="1"/>
      <c r="M122" s="1"/>
      <c r="N122" s="1"/>
    </row>
    <row r="123" spans="4:14" ht="14.4" x14ac:dyDescent="0.3">
      <c r="D123" s="1"/>
      <c r="E123" s="1"/>
      <c r="F123" s="1"/>
      <c r="G123" s="52"/>
      <c r="H123" s="1"/>
      <c r="I123" s="1"/>
      <c r="J123" s="1"/>
      <c r="K123" s="1"/>
      <c r="L123" s="1"/>
      <c r="M123" s="1"/>
      <c r="N123" s="1"/>
    </row>
    <row r="124" spans="4:14" ht="14.4" x14ac:dyDescent="0.3">
      <c r="D124" s="1"/>
      <c r="E124" s="1"/>
      <c r="F124" s="1"/>
      <c r="G124" s="52"/>
      <c r="H124" s="1"/>
      <c r="I124" s="1"/>
      <c r="J124" s="1"/>
      <c r="K124" s="1"/>
      <c r="L124" s="1"/>
      <c r="M124" s="1"/>
      <c r="N124" s="1"/>
    </row>
    <row r="125" spans="4:14" ht="14.4" x14ac:dyDescent="0.3">
      <c r="D125" s="1"/>
      <c r="E125" s="1"/>
      <c r="F125" s="1"/>
      <c r="G125" s="52"/>
      <c r="H125" s="1"/>
      <c r="I125" s="1"/>
      <c r="J125" s="1"/>
      <c r="K125" s="1"/>
      <c r="L125" s="1"/>
      <c r="M125" s="1"/>
      <c r="N125" s="1"/>
    </row>
    <row r="126" spans="4:14" ht="14.4" x14ac:dyDescent="0.3">
      <c r="D126" s="1"/>
      <c r="E126" s="1"/>
      <c r="F126" s="1"/>
      <c r="G126" s="52"/>
      <c r="H126" s="1"/>
      <c r="I126" s="1"/>
      <c r="J126" s="1"/>
      <c r="K126" s="1"/>
      <c r="L126" s="1"/>
      <c r="M126" s="1"/>
      <c r="N126" s="1"/>
    </row>
    <row r="127" spans="4:14" ht="14.4" x14ac:dyDescent="0.3">
      <c r="D127" s="1"/>
      <c r="E127" s="1"/>
      <c r="F127" s="1"/>
      <c r="G127" s="52"/>
      <c r="H127" s="1"/>
      <c r="I127" s="1"/>
      <c r="J127" s="1"/>
      <c r="K127" s="1"/>
      <c r="L127" s="1"/>
      <c r="M127" s="1"/>
      <c r="N127" s="1"/>
    </row>
    <row r="128" spans="4:14" ht="14.4" x14ac:dyDescent="0.3">
      <c r="D128" s="1"/>
      <c r="E128" s="1"/>
      <c r="F128" s="1"/>
      <c r="G128" s="52"/>
      <c r="H128" s="1"/>
      <c r="I128" s="1"/>
      <c r="J128" s="1"/>
      <c r="K128" s="1"/>
      <c r="L128" s="1"/>
      <c r="M128" s="1"/>
      <c r="N128" s="1"/>
    </row>
    <row r="129" spans="4:11" ht="14.4" x14ac:dyDescent="0.3">
      <c r="D129" s="1"/>
      <c r="E129" s="1"/>
      <c r="F129" s="1"/>
      <c r="G129" s="52"/>
      <c r="H129" s="1"/>
      <c r="I129" s="1"/>
      <c r="J129" s="1"/>
      <c r="K129" s="1"/>
    </row>
    <row r="130" spans="4:11" ht="14.4" x14ac:dyDescent="0.3">
      <c r="D130" s="1"/>
      <c r="E130" s="1"/>
      <c r="F130" s="1"/>
      <c r="G130" s="52"/>
      <c r="H130" s="1"/>
    </row>
    <row r="131" spans="4:11" ht="14.4" x14ac:dyDescent="0.3">
      <c r="D131" s="1"/>
      <c r="E131" s="1"/>
      <c r="F131" s="1"/>
      <c r="G131" s="52"/>
      <c r="H131" s="1"/>
      <c r="I131" s="1"/>
      <c r="J131" s="1"/>
    </row>
    <row r="132" spans="4:11" ht="14.4" x14ac:dyDescent="0.3">
      <c r="D132" s="1"/>
      <c r="E132" s="1"/>
      <c r="F132" s="1"/>
      <c r="G132" s="52"/>
      <c r="H132" s="1"/>
      <c r="I132" s="1"/>
      <c r="J132" s="1"/>
    </row>
    <row r="133" spans="4:11" ht="14.4" x14ac:dyDescent="0.3">
      <c r="D133" s="1"/>
      <c r="E133" s="1"/>
      <c r="F133" s="1"/>
      <c r="G133" s="52"/>
      <c r="H133" s="1"/>
      <c r="I133" s="1"/>
      <c r="J133" s="1"/>
    </row>
    <row r="134" spans="4:11" ht="14.4" x14ac:dyDescent="0.3">
      <c r="D134" s="1"/>
      <c r="E134" s="1"/>
      <c r="F134" s="1"/>
      <c r="G134" s="52"/>
      <c r="H134" s="1"/>
      <c r="I134" s="1"/>
      <c r="J134" s="1"/>
    </row>
    <row r="135" spans="4:11" ht="14.4" x14ac:dyDescent="0.3">
      <c r="D135" s="1"/>
      <c r="E135" s="1"/>
      <c r="F135" s="1"/>
      <c r="G135" s="52"/>
      <c r="H135" s="1"/>
      <c r="I135" s="1"/>
      <c r="J135" s="1"/>
    </row>
    <row r="136" spans="4:11" ht="14.4" x14ac:dyDescent="0.3">
      <c r="D136" s="1"/>
      <c r="E136" s="1"/>
      <c r="F136" s="1"/>
      <c r="G136" s="52"/>
      <c r="H136" s="1"/>
      <c r="I136" s="1"/>
      <c r="J136" s="1"/>
    </row>
    <row r="137" spans="4:11" ht="14.4" x14ac:dyDescent="0.3">
      <c r="D137" s="1"/>
      <c r="E137" s="1"/>
      <c r="F137" s="1"/>
      <c r="G137" s="52"/>
      <c r="H137" s="1"/>
      <c r="I137" s="1"/>
      <c r="J137" s="1"/>
    </row>
    <row r="138" spans="4:11" ht="14.4" x14ac:dyDescent="0.3">
      <c r="D138" s="1"/>
      <c r="E138" s="1"/>
      <c r="F138" s="1"/>
      <c r="G138" s="52"/>
      <c r="H138" s="1"/>
      <c r="I138" s="1"/>
      <c r="J138" s="1"/>
    </row>
    <row r="139" spans="4:11" ht="14.4" x14ac:dyDescent="0.3">
      <c r="D139" s="1"/>
      <c r="E139" s="1"/>
      <c r="F139" s="1"/>
      <c r="G139" s="52"/>
      <c r="H139" s="1"/>
      <c r="I139" s="1"/>
      <c r="J139" s="1"/>
    </row>
    <row r="140" spans="4:11" ht="14.4" x14ac:dyDescent="0.3">
      <c r="D140" s="1"/>
      <c r="E140" s="1"/>
      <c r="F140" s="1"/>
      <c r="G140" s="52"/>
      <c r="H140" s="1"/>
      <c r="I140" s="1"/>
      <c r="J140" s="1"/>
    </row>
    <row r="141" spans="4:11" ht="14.4" x14ac:dyDescent="0.3">
      <c r="D141" s="1"/>
      <c r="E141" s="1"/>
      <c r="F141" s="1"/>
      <c r="G141" s="52"/>
      <c r="H141" s="1"/>
      <c r="I141" s="1"/>
      <c r="J141" s="1"/>
    </row>
    <row r="142" spans="4:11" x14ac:dyDescent="0.3">
      <c r="D142" s="1"/>
      <c r="E142" s="117"/>
      <c r="F142" s="1"/>
      <c r="G142" s="52"/>
      <c r="H142" s="1"/>
      <c r="I142" s="1"/>
      <c r="J142" s="1"/>
    </row>
    <row r="143" spans="4:11" x14ac:dyDescent="0.3">
      <c r="D143" s="1"/>
      <c r="E143" s="117"/>
      <c r="F143" s="1"/>
      <c r="G143" s="52"/>
      <c r="H143" s="1"/>
      <c r="I143" s="1"/>
      <c r="J143" s="1"/>
    </row>
    <row r="144" spans="4:11" x14ac:dyDescent="0.3">
      <c r="D144" s="1"/>
      <c r="E144" s="117"/>
      <c r="F144" s="1"/>
      <c r="G144" s="52"/>
      <c r="H144" s="1"/>
      <c r="I144" s="1"/>
      <c r="J144" s="1"/>
    </row>
    <row r="145" spans="4:10" x14ac:dyDescent="0.3">
      <c r="D145" s="1"/>
      <c r="E145" s="117"/>
      <c r="F145" s="1"/>
      <c r="G145" s="52"/>
      <c r="H145" s="1"/>
      <c r="I145" s="1"/>
      <c r="J145" s="1"/>
    </row>
    <row r="146" spans="4:10" x14ac:dyDescent="0.3">
      <c r="D146" s="1"/>
      <c r="E146" s="117"/>
      <c r="F146" s="1"/>
      <c r="G146" s="52"/>
      <c r="H146" s="1"/>
      <c r="I146" s="1"/>
      <c r="J146" s="1"/>
    </row>
    <row r="147" spans="4:10" x14ac:dyDescent="0.3">
      <c r="D147" s="1"/>
      <c r="E147" s="117"/>
      <c r="F147" s="1"/>
      <c r="G147" s="52"/>
      <c r="H147" s="1"/>
      <c r="I147" s="1"/>
      <c r="J147" s="1"/>
    </row>
    <row r="148" spans="4:10" x14ac:dyDescent="0.3">
      <c r="D148" s="158"/>
      <c r="E148" s="159"/>
      <c r="F148" s="158"/>
      <c r="G148" s="160"/>
      <c r="H148" s="158"/>
      <c r="I148" s="158"/>
      <c r="J148" s="158"/>
    </row>
    <row r="149" spans="4:10" x14ac:dyDescent="0.3">
      <c r="D149" s="158"/>
      <c r="E149" s="159"/>
      <c r="F149" s="158"/>
      <c r="G149" s="160"/>
      <c r="H149" s="158"/>
      <c r="I149" s="158"/>
      <c r="J149" s="158"/>
    </row>
    <row r="150" spans="4:10" x14ac:dyDescent="0.3">
      <c r="D150" s="158"/>
      <c r="E150" s="159"/>
      <c r="F150" s="158"/>
      <c r="G150" s="160"/>
      <c r="H150" s="158"/>
      <c r="I150" s="158"/>
      <c r="J150" s="158"/>
    </row>
    <row r="151" spans="4:10" x14ac:dyDescent="0.3">
      <c r="D151" s="158"/>
      <c r="E151" s="159"/>
      <c r="F151" s="158"/>
      <c r="G151" s="160"/>
      <c r="H151" s="158"/>
      <c r="I151" s="158"/>
      <c r="J151" s="158"/>
    </row>
    <row r="152" spans="4:10" x14ac:dyDescent="0.3">
      <c r="D152" s="158"/>
      <c r="E152" s="159"/>
      <c r="F152" s="158"/>
      <c r="G152" s="160"/>
      <c r="H152" s="158"/>
      <c r="I152" s="158"/>
      <c r="J152" s="158"/>
    </row>
    <row r="153" spans="4:10" x14ac:dyDescent="0.3">
      <c r="D153" s="158"/>
      <c r="E153" s="159"/>
      <c r="F153" s="158"/>
      <c r="G153" s="160"/>
      <c r="H153" s="158"/>
      <c r="I153" s="158"/>
      <c r="J153" s="158"/>
    </row>
    <row r="154" spans="4:10" x14ac:dyDescent="0.3">
      <c r="D154" s="158"/>
      <c r="E154" s="159"/>
      <c r="F154" s="158"/>
      <c r="G154" s="160"/>
      <c r="H154" s="158"/>
      <c r="I154" s="158"/>
      <c r="J154" s="158"/>
    </row>
    <row r="155" spans="4:10" x14ac:dyDescent="0.3">
      <c r="D155" s="158"/>
      <c r="E155" s="159"/>
      <c r="F155" s="158"/>
      <c r="G155" s="160"/>
      <c r="H155" s="158"/>
      <c r="I155" s="158"/>
      <c r="J155" s="158"/>
    </row>
    <row r="156" spans="4:10" x14ac:dyDescent="0.3">
      <c r="D156" s="158"/>
      <c r="E156" s="159"/>
      <c r="F156" s="158"/>
      <c r="G156" s="160"/>
      <c r="H156" s="158"/>
      <c r="I156" s="158"/>
      <c r="J156" s="158"/>
    </row>
    <row r="157" spans="4:10" x14ac:dyDescent="0.3">
      <c r="D157" s="158"/>
      <c r="E157" s="159"/>
      <c r="F157" s="158"/>
      <c r="G157" s="160"/>
      <c r="H157" s="158"/>
      <c r="I157" s="158"/>
      <c r="J157" s="158"/>
    </row>
    <row r="158" spans="4:10" x14ac:dyDescent="0.3">
      <c r="D158" s="158"/>
      <c r="E158" s="159"/>
      <c r="F158" s="158"/>
      <c r="G158" s="160"/>
      <c r="H158" s="158"/>
      <c r="I158" s="158"/>
      <c r="J158" s="158"/>
    </row>
    <row r="159" spans="4:10" x14ac:dyDescent="0.3">
      <c r="D159" s="158"/>
      <c r="E159" s="159"/>
      <c r="F159" s="158"/>
      <c r="G159" s="160"/>
      <c r="H159" s="158"/>
      <c r="I159" s="158"/>
      <c r="J159" s="158"/>
    </row>
    <row r="160" spans="4:10" x14ac:dyDescent="0.3">
      <c r="D160" s="158"/>
      <c r="E160" s="159"/>
      <c r="F160" s="158"/>
      <c r="G160" s="160"/>
      <c r="H160" s="158"/>
      <c r="I160" s="158"/>
      <c r="J160" s="158"/>
    </row>
    <row r="161" spans="4:10" x14ac:dyDescent="0.3">
      <c r="D161" s="158"/>
      <c r="E161" s="159"/>
      <c r="F161" s="158"/>
      <c r="G161" s="160"/>
      <c r="H161" s="158"/>
      <c r="I161" s="158"/>
      <c r="J161" s="158"/>
    </row>
    <row r="162" spans="4:10" x14ac:dyDescent="0.3">
      <c r="D162" s="158"/>
      <c r="E162" s="159"/>
      <c r="F162" s="158"/>
      <c r="G162" s="160"/>
      <c r="H162" s="158"/>
      <c r="I162" s="158"/>
      <c r="J162" s="158"/>
    </row>
    <row r="163" spans="4:10" x14ac:dyDescent="0.3">
      <c r="D163" s="158"/>
      <c r="E163" s="159"/>
      <c r="F163" s="158"/>
      <c r="G163" s="160"/>
      <c r="H163" s="158"/>
      <c r="I163" s="158"/>
      <c r="J163" s="158"/>
    </row>
    <row r="164" spans="4:10" x14ac:dyDescent="0.3">
      <c r="D164" s="158"/>
      <c r="E164" s="159"/>
      <c r="F164" s="158"/>
      <c r="G164" s="160"/>
      <c r="H164" s="158"/>
      <c r="I164" s="158"/>
      <c r="J164" s="158"/>
    </row>
    <row r="165" spans="4:10" x14ac:dyDescent="0.3">
      <c r="D165" s="158"/>
      <c r="E165" s="159"/>
      <c r="F165" s="158"/>
      <c r="G165" s="160"/>
      <c r="H165" s="158"/>
      <c r="I165" s="158"/>
      <c r="J165" s="158"/>
    </row>
    <row r="166" spans="4:10" x14ac:dyDescent="0.3">
      <c r="D166" s="158"/>
      <c r="E166" s="159"/>
      <c r="F166" s="158"/>
      <c r="G166" s="160"/>
      <c r="H166" s="158"/>
      <c r="I166" s="158"/>
      <c r="J166" s="158"/>
    </row>
    <row r="167" spans="4:10" x14ac:dyDescent="0.3">
      <c r="D167" s="158"/>
      <c r="E167" s="159"/>
      <c r="F167" s="158"/>
      <c r="G167" s="160"/>
      <c r="H167" s="158"/>
      <c r="I167" s="158"/>
      <c r="J167" s="158"/>
    </row>
    <row r="168" spans="4:10" x14ac:dyDescent="0.3">
      <c r="D168" s="158"/>
      <c r="E168" s="159"/>
      <c r="F168" s="158"/>
      <c r="G168" s="160"/>
      <c r="H168" s="158"/>
      <c r="I168" s="158"/>
      <c r="J168" s="158"/>
    </row>
    <row r="169" spans="4:10" x14ac:dyDescent="0.3">
      <c r="D169" s="158"/>
      <c r="E169" s="159"/>
      <c r="F169" s="158"/>
      <c r="G169" s="160"/>
      <c r="H169" s="158"/>
      <c r="I169" s="158"/>
      <c r="J169" s="158"/>
    </row>
    <row r="170" spans="4:10" x14ac:dyDescent="0.3">
      <c r="D170" s="158"/>
      <c r="E170" s="159"/>
      <c r="F170" s="158"/>
      <c r="G170" s="160"/>
      <c r="H170" s="158"/>
      <c r="I170" s="158"/>
      <c r="J170" s="158"/>
    </row>
    <row r="171" spans="4:10" x14ac:dyDescent="0.3">
      <c r="D171" s="158"/>
      <c r="E171" s="159"/>
      <c r="F171" s="158"/>
      <c r="G171" s="160"/>
      <c r="H171" s="158"/>
      <c r="I171" s="158"/>
      <c r="J171" s="158"/>
    </row>
    <row r="172" spans="4:10" x14ac:dyDescent="0.3">
      <c r="D172" s="158"/>
      <c r="E172" s="159"/>
      <c r="F172" s="158"/>
      <c r="G172" s="160"/>
      <c r="H172" s="158"/>
      <c r="I172" s="158"/>
      <c r="J172" s="158"/>
    </row>
    <row r="173" spans="4:10" x14ac:dyDescent="0.3">
      <c r="D173" s="158"/>
      <c r="E173" s="159"/>
      <c r="F173" s="158"/>
      <c r="G173" s="160"/>
      <c r="H173" s="158"/>
      <c r="I173" s="158"/>
      <c r="J173" s="158"/>
    </row>
    <row r="174" spans="4:10" x14ac:dyDescent="0.3">
      <c r="D174" s="158"/>
      <c r="E174" s="159"/>
      <c r="F174" s="158"/>
      <c r="G174" s="160"/>
      <c r="H174" s="158"/>
      <c r="I174" s="158"/>
      <c r="J174" s="158"/>
    </row>
    <row r="175" spans="4:10" x14ac:dyDescent="0.3">
      <c r="D175" s="158"/>
      <c r="E175" s="159"/>
      <c r="F175" s="158"/>
      <c r="G175" s="160"/>
      <c r="H175" s="158"/>
      <c r="I175" s="158"/>
      <c r="J175" s="158"/>
    </row>
    <row r="176" spans="4:10" x14ac:dyDescent="0.3">
      <c r="D176" s="158"/>
      <c r="E176" s="159"/>
      <c r="F176" s="158"/>
      <c r="G176" s="160"/>
      <c r="H176" s="158"/>
      <c r="I176" s="158"/>
      <c r="J176" s="158"/>
    </row>
    <row r="177" spans="4:10" x14ac:dyDescent="0.3">
      <c r="D177" s="158"/>
      <c r="E177" s="159"/>
      <c r="F177" s="158"/>
      <c r="G177" s="160"/>
      <c r="H177" s="158"/>
      <c r="I177" s="158"/>
      <c r="J177" s="158"/>
    </row>
    <row r="178" spans="4:10" x14ac:dyDescent="0.3">
      <c r="D178" s="158"/>
      <c r="E178" s="159"/>
      <c r="F178" s="158"/>
      <c r="G178" s="160"/>
      <c r="H178" s="158"/>
      <c r="I178" s="158"/>
      <c r="J178" s="158"/>
    </row>
    <row r="179" spans="4:10" x14ac:dyDescent="0.3">
      <c r="D179" s="158"/>
      <c r="E179" s="159"/>
      <c r="F179" s="158"/>
      <c r="G179" s="160"/>
      <c r="H179" s="158"/>
      <c r="I179" s="158"/>
      <c r="J179" s="158"/>
    </row>
    <row r="180" spans="4:10" x14ac:dyDescent="0.3">
      <c r="D180" s="158"/>
      <c r="E180" s="159"/>
      <c r="F180" s="158"/>
      <c r="G180" s="160"/>
      <c r="H180" s="158"/>
      <c r="I180" s="158"/>
      <c r="J180" s="158"/>
    </row>
    <row r="181" spans="4:10" x14ac:dyDescent="0.3">
      <c r="D181" s="158"/>
      <c r="E181" s="159"/>
      <c r="F181" s="158"/>
      <c r="G181" s="160"/>
      <c r="H181" s="158"/>
      <c r="I181" s="158"/>
      <c r="J181" s="158"/>
    </row>
    <row r="182" spans="4:10" x14ac:dyDescent="0.3">
      <c r="D182" s="158"/>
      <c r="E182" s="159"/>
      <c r="F182" s="158"/>
      <c r="G182" s="160"/>
      <c r="H182" s="158"/>
      <c r="I182" s="158"/>
      <c r="J182" s="158"/>
    </row>
    <row r="183" spans="4:10" x14ac:dyDescent="0.3">
      <c r="D183" s="158"/>
      <c r="E183" s="159"/>
      <c r="F183" s="158"/>
      <c r="G183" s="160"/>
      <c r="H183" s="158"/>
      <c r="I183" s="158"/>
      <c r="J183" s="158"/>
    </row>
    <row r="184" spans="4:10" x14ac:dyDescent="0.3">
      <c r="D184" s="158"/>
      <c r="E184" s="159"/>
      <c r="F184" s="158"/>
      <c r="G184" s="160"/>
      <c r="H184" s="158"/>
      <c r="I184" s="158"/>
      <c r="J184" s="158"/>
    </row>
    <row r="185" spans="4:10" x14ac:dyDescent="0.3">
      <c r="D185" s="158"/>
      <c r="E185" s="159"/>
      <c r="F185" s="158"/>
      <c r="G185" s="160"/>
      <c r="H185" s="158"/>
      <c r="I185" s="158"/>
      <c r="J185" s="158"/>
    </row>
    <row r="186" spans="4:10" x14ac:dyDescent="0.3">
      <c r="D186" s="158"/>
      <c r="E186" s="159"/>
      <c r="F186" s="158"/>
      <c r="G186" s="160"/>
      <c r="H186" s="158"/>
      <c r="I186" s="158"/>
      <c r="J186" s="158"/>
    </row>
    <row r="187" spans="4:10" x14ac:dyDescent="0.3">
      <c r="D187" s="158"/>
      <c r="E187" s="159"/>
      <c r="F187" s="158"/>
      <c r="G187" s="160"/>
      <c r="H187" s="158"/>
      <c r="I187" s="158"/>
      <c r="J187" s="158"/>
    </row>
    <row r="188" spans="4:10" x14ac:dyDescent="0.3">
      <c r="D188" s="158"/>
      <c r="E188" s="159"/>
      <c r="F188" s="158"/>
      <c r="G188" s="160"/>
      <c r="H188" s="158"/>
      <c r="I188" s="158"/>
      <c r="J188" s="158"/>
    </row>
    <row r="189" spans="4:10" x14ac:dyDescent="0.3">
      <c r="D189" s="158"/>
      <c r="E189" s="159"/>
      <c r="F189" s="158"/>
      <c r="G189" s="160"/>
      <c r="H189" s="158"/>
      <c r="I189" s="158"/>
      <c r="J189" s="158"/>
    </row>
    <row r="190" spans="4:10" x14ac:dyDescent="0.3">
      <c r="D190" s="158"/>
      <c r="E190" s="159"/>
      <c r="F190" s="158"/>
      <c r="G190" s="160"/>
      <c r="H190" s="158"/>
      <c r="I190" s="158"/>
      <c r="J190" s="158"/>
    </row>
    <row r="191" spans="4:10" x14ac:dyDescent="0.3">
      <c r="D191" s="158"/>
      <c r="E191" s="159"/>
      <c r="F191" s="158"/>
      <c r="G191" s="160"/>
      <c r="H191" s="158"/>
      <c r="I191" s="158"/>
      <c r="J191" s="158"/>
    </row>
    <row r="192" spans="4:10" x14ac:dyDescent="0.3">
      <c r="D192" s="158"/>
      <c r="E192" s="159"/>
      <c r="F192" s="158"/>
      <c r="G192" s="160"/>
      <c r="H192" s="158"/>
      <c r="I192" s="158"/>
      <c r="J192" s="158"/>
    </row>
    <row r="193" spans="4:10" x14ac:dyDescent="0.3">
      <c r="D193" s="158"/>
      <c r="E193" s="159"/>
      <c r="F193" s="158"/>
      <c r="G193" s="160"/>
      <c r="H193" s="158"/>
      <c r="I193" s="158"/>
      <c r="J193" s="158"/>
    </row>
    <row r="194" spans="4:10" x14ac:dyDescent="0.3">
      <c r="D194" s="158"/>
      <c r="E194" s="159"/>
      <c r="F194" s="158"/>
      <c r="G194" s="160"/>
      <c r="H194" s="158"/>
      <c r="I194" s="158"/>
      <c r="J194" s="158"/>
    </row>
    <row r="195" spans="4:10" x14ac:dyDescent="0.3">
      <c r="D195" s="158"/>
      <c r="E195" s="159"/>
      <c r="F195" s="158"/>
      <c r="G195" s="160"/>
      <c r="H195" s="158"/>
      <c r="I195" s="158"/>
      <c r="J195" s="158"/>
    </row>
    <row r="196" spans="4:10" x14ac:dyDescent="0.3">
      <c r="D196" s="158"/>
      <c r="E196" s="159"/>
      <c r="F196" s="158"/>
      <c r="G196" s="160"/>
      <c r="H196" s="158"/>
      <c r="I196" s="158"/>
      <c r="J196" s="158"/>
    </row>
    <row r="197" spans="4:10" x14ac:dyDescent="0.3">
      <c r="D197" s="158"/>
      <c r="E197" s="159"/>
      <c r="F197" s="158"/>
      <c r="G197" s="160"/>
      <c r="H197" s="158"/>
      <c r="I197" s="158"/>
      <c r="J197" s="158"/>
    </row>
    <row r="198" spans="4:10" x14ac:dyDescent="0.3">
      <c r="D198" s="158"/>
      <c r="E198" s="159"/>
      <c r="F198" s="158"/>
      <c r="G198" s="160"/>
      <c r="H198" s="158"/>
      <c r="I198" s="158"/>
      <c r="J198" s="158"/>
    </row>
    <row r="199" spans="4:10" x14ac:dyDescent="0.3">
      <c r="D199" s="158"/>
      <c r="E199" s="159"/>
      <c r="F199" s="158"/>
      <c r="G199" s="160"/>
      <c r="H199" s="158"/>
      <c r="I199" s="158"/>
      <c r="J199" s="158"/>
    </row>
    <row r="200" spans="4:10" x14ac:dyDescent="0.3">
      <c r="D200" s="158"/>
      <c r="E200" s="159"/>
      <c r="F200" s="158"/>
      <c r="G200" s="160"/>
      <c r="H200" s="158"/>
      <c r="I200" s="158"/>
      <c r="J200" s="158"/>
    </row>
    <row r="201" spans="4:10" x14ac:dyDescent="0.3">
      <c r="D201" s="158"/>
      <c r="E201" s="159"/>
      <c r="F201" s="158"/>
      <c r="G201" s="160"/>
      <c r="H201" s="158"/>
      <c r="I201" s="158"/>
      <c r="J201" s="158"/>
    </row>
    <row r="202" spans="4:10" x14ac:dyDescent="0.3">
      <c r="D202" s="158"/>
      <c r="E202" s="159"/>
      <c r="F202" s="158"/>
      <c r="G202" s="160"/>
      <c r="H202" s="158"/>
      <c r="I202" s="158"/>
      <c r="J202" s="158"/>
    </row>
    <row r="203" spans="4:10" x14ac:dyDescent="0.3">
      <c r="D203" s="158"/>
      <c r="E203" s="159"/>
      <c r="F203" s="158"/>
      <c r="G203" s="160"/>
      <c r="H203" s="158"/>
      <c r="I203" s="158"/>
      <c r="J203" s="158"/>
    </row>
    <row r="204" spans="4:10" x14ac:dyDescent="0.3">
      <c r="D204" s="158"/>
      <c r="E204" s="159"/>
      <c r="F204" s="158"/>
      <c r="G204" s="160"/>
      <c r="H204" s="158"/>
      <c r="I204" s="158"/>
      <c r="J204" s="158"/>
    </row>
    <row r="205" spans="4:10" x14ac:dyDescent="0.3">
      <c r="D205" s="158"/>
      <c r="E205" s="159"/>
      <c r="F205" s="158"/>
      <c r="G205" s="160"/>
      <c r="H205" s="158"/>
      <c r="I205" s="158"/>
      <c r="J205" s="158"/>
    </row>
    <row r="206" spans="4:10" x14ac:dyDescent="0.3">
      <c r="D206" s="158"/>
      <c r="E206" s="159"/>
      <c r="F206" s="158"/>
      <c r="G206" s="160"/>
      <c r="H206" s="158"/>
      <c r="I206" s="158"/>
      <c r="J206" s="158"/>
    </row>
    <row r="207" spans="4:10" x14ac:dyDescent="0.3">
      <c r="D207" s="158"/>
      <c r="E207" s="159"/>
      <c r="F207" s="158"/>
      <c r="G207" s="160"/>
      <c r="H207" s="158"/>
      <c r="I207" s="158"/>
      <c r="J207" s="158"/>
    </row>
    <row r="208" spans="4:10" x14ac:dyDescent="0.3">
      <c r="D208" s="158"/>
      <c r="E208" s="159"/>
      <c r="F208" s="158"/>
      <c r="G208" s="160"/>
      <c r="H208" s="158"/>
      <c r="I208" s="158"/>
      <c r="J208" s="158"/>
    </row>
    <row r="209" spans="4:10" x14ac:dyDescent="0.3">
      <c r="D209" s="158"/>
      <c r="E209" s="159"/>
      <c r="F209" s="158"/>
      <c r="G209" s="160"/>
      <c r="H209" s="158"/>
      <c r="I209" s="158"/>
      <c r="J209" s="158"/>
    </row>
    <row r="210" spans="4:10" x14ac:dyDescent="0.3">
      <c r="D210" s="158"/>
      <c r="E210" s="159"/>
      <c r="F210" s="158"/>
      <c r="G210" s="160"/>
      <c r="H210" s="158"/>
      <c r="I210" s="158"/>
      <c r="J210" s="158"/>
    </row>
    <row r="211" spans="4:10" x14ac:dyDescent="0.3">
      <c r="D211" s="158"/>
      <c r="E211" s="159"/>
      <c r="F211" s="158"/>
      <c r="G211" s="160"/>
      <c r="H211" s="158"/>
      <c r="I211" s="158"/>
      <c r="J211" s="158"/>
    </row>
    <row r="212" spans="4:10" x14ac:dyDescent="0.3">
      <c r="D212" s="158"/>
      <c r="E212" s="159"/>
      <c r="F212" s="158"/>
      <c r="G212" s="160"/>
      <c r="H212" s="158"/>
      <c r="I212" s="158"/>
      <c r="J212" s="158"/>
    </row>
    <row r="213" spans="4:10" x14ac:dyDescent="0.3">
      <c r="D213" s="158"/>
      <c r="E213" s="159"/>
      <c r="F213" s="158"/>
      <c r="G213" s="160"/>
      <c r="H213" s="158"/>
      <c r="I213" s="158"/>
      <c r="J213" s="158"/>
    </row>
    <row r="214" spans="4:10" x14ac:dyDescent="0.3">
      <c r="D214" s="158"/>
      <c r="E214" s="159"/>
      <c r="F214" s="158"/>
      <c r="G214" s="160"/>
      <c r="H214" s="158"/>
      <c r="I214" s="158"/>
      <c r="J214" s="158"/>
    </row>
    <row r="215" spans="4:10" x14ac:dyDescent="0.3">
      <c r="D215" s="158"/>
      <c r="E215" s="159"/>
      <c r="F215" s="158"/>
      <c r="G215" s="160"/>
      <c r="H215" s="158"/>
      <c r="I215" s="158"/>
      <c r="J215" s="158"/>
    </row>
    <row r="216" spans="4:10" x14ac:dyDescent="0.3">
      <c r="D216" s="158"/>
      <c r="E216" s="159"/>
      <c r="F216" s="158"/>
      <c r="G216" s="160"/>
      <c r="H216" s="158"/>
      <c r="I216" s="158"/>
      <c r="J216" s="158"/>
    </row>
    <row r="217" spans="4:10" x14ac:dyDescent="0.3">
      <c r="D217" s="158"/>
      <c r="E217" s="159"/>
      <c r="F217" s="158"/>
      <c r="G217" s="160"/>
      <c r="H217" s="158"/>
      <c r="I217" s="158"/>
      <c r="J217" s="158"/>
    </row>
    <row r="218" spans="4:10" x14ac:dyDescent="0.3">
      <c r="D218" s="158"/>
      <c r="E218" s="159"/>
      <c r="F218" s="158"/>
      <c r="G218" s="160"/>
      <c r="H218" s="158"/>
      <c r="I218" s="158"/>
      <c r="J218" s="158"/>
    </row>
    <row r="219" spans="4:10" x14ac:dyDescent="0.3">
      <c r="D219" s="158"/>
      <c r="E219" s="159"/>
      <c r="F219" s="158"/>
      <c r="G219" s="160"/>
      <c r="H219" s="158"/>
      <c r="I219" s="158"/>
      <c r="J219" s="158"/>
    </row>
    <row r="220" spans="4:10" x14ac:dyDescent="0.3">
      <c r="D220" s="158"/>
      <c r="E220" s="159"/>
      <c r="F220" s="158"/>
      <c r="G220" s="160"/>
      <c r="H220" s="158"/>
      <c r="I220" s="158"/>
      <c r="J220" s="158"/>
    </row>
    <row r="221" spans="4:10" x14ac:dyDescent="0.3">
      <c r="D221" s="158"/>
      <c r="E221" s="159"/>
      <c r="F221" s="158"/>
      <c r="G221" s="160"/>
      <c r="H221" s="158"/>
      <c r="I221" s="158"/>
      <c r="J221" s="158"/>
    </row>
    <row r="222" spans="4:10" x14ac:dyDescent="0.3">
      <c r="D222" s="158"/>
      <c r="E222" s="159"/>
      <c r="F222" s="158"/>
      <c r="G222" s="160"/>
      <c r="H222" s="158"/>
      <c r="I222" s="158"/>
      <c r="J222" s="158"/>
    </row>
    <row r="223" spans="4:10" x14ac:dyDescent="0.3">
      <c r="D223" s="158"/>
      <c r="E223" s="159"/>
      <c r="F223" s="158"/>
      <c r="G223" s="160"/>
      <c r="H223" s="158"/>
      <c r="I223" s="158"/>
      <c r="J223" s="158"/>
    </row>
    <row r="224" spans="4:10" x14ac:dyDescent="0.3">
      <c r="D224" s="158"/>
      <c r="E224" s="159"/>
      <c r="F224" s="158"/>
      <c r="G224" s="160"/>
      <c r="H224" s="158"/>
      <c r="I224" s="158"/>
      <c r="J224" s="158"/>
    </row>
    <row r="225" spans="4:10" x14ac:dyDescent="0.3">
      <c r="D225" s="158"/>
      <c r="E225" s="159"/>
      <c r="F225" s="158"/>
      <c r="G225" s="160"/>
      <c r="H225" s="158"/>
      <c r="I225" s="158"/>
      <c r="J225" s="158"/>
    </row>
    <row r="226" spans="4:10" x14ac:dyDescent="0.3">
      <c r="D226" s="158"/>
      <c r="E226" s="159"/>
      <c r="F226" s="158"/>
      <c r="G226" s="160"/>
      <c r="H226" s="158"/>
      <c r="I226" s="158"/>
      <c r="J226" s="158"/>
    </row>
    <row r="227" spans="4:10" x14ac:dyDescent="0.3">
      <c r="D227" s="158"/>
      <c r="E227" s="159"/>
      <c r="F227" s="158"/>
      <c r="G227" s="160"/>
      <c r="H227" s="158"/>
      <c r="I227" s="158"/>
      <c r="J227" s="158"/>
    </row>
    <row r="228" spans="4:10" x14ac:dyDescent="0.3">
      <c r="D228" s="158"/>
      <c r="E228" s="159"/>
      <c r="F228" s="158"/>
      <c r="G228" s="160"/>
      <c r="H228" s="158"/>
      <c r="I228" s="158"/>
      <c r="J228" s="158"/>
    </row>
    <row r="229" spans="4:10" x14ac:dyDescent="0.3">
      <c r="D229" s="158"/>
      <c r="E229" s="159"/>
      <c r="F229" s="158"/>
      <c r="G229" s="160"/>
      <c r="H229" s="158"/>
      <c r="I229" s="158"/>
      <c r="J229" s="158"/>
    </row>
    <row r="230" spans="4:10" x14ac:dyDescent="0.3">
      <c r="D230" s="158"/>
      <c r="E230" s="159"/>
      <c r="F230" s="158"/>
      <c r="G230" s="160"/>
      <c r="H230" s="158"/>
      <c r="I230" s="158"/>
      <c r="J230" s="158"/>
    </row>
    <row r="231" spans="4:10" x14ac:dyDescent="0.3">
      <c r="D231" s="158"/>
      <c r="E231" s="159"/>
      <c r="F231" s="158"/>
      <c r="G231" s="160"/>
      <c r="H231" s="158"/>
      <c r="I231" s="158"/>
      <c r="J231" s="158"/>
    </row>
    <row r="232" spans="4:10" x14ac:dyDescent="0.3">
      <c r="D232" s="158"/>
      <c r="E232" s="159"/>
      <c r="F232" s="158"/>
      <c r="G232" s="160"/>
      <c r="H232" s="158"/>
      <c r="I232" s="158"/>
      <c r="J232" s="158"/>
    </row>
    <row r="233" spans="4:10" x14ac:dyDescent="0.3">
      <c r="D233" s="158"/>
      <c r="E233" s="159"/>
      <c r="F233" s="158"/>
      <c r="G233" s="160"/>
      <c r="H233" s="158"/>
      <c r="I233" s="158"/>
      <c r="J233" s="158"/>
    </row>
    <row r="234" spans="4:10" x14ac:dyDescent="0.3">
      <c r="D234" s="158"/>
      <c r="E234" s="159"/>
      <c r="F234" s="158"/>
      <c r="G234" s="160"/>
      <c r="H234" s="158"/>
      <c r="I234" s="158"/>
      <c r="J234" s="158"/>
    </row>
    <row r="235" spans="4:10" x14ac:dyDescent="0.3">
      <c r="D235" s="158"/>
      <c r="E235" s="159"/>
      <c r="F235" s="158"/>
      <c r="G235" s="160"/>
      <c r="H235" s="158"/>
      <c r="I235" s="158"/>
      <c r="J235" s="158"/>
    </row>
    <row r="236" spans="4:10" x14ac:dyDescent="0.3">
      <c r="D236" s="158"/>
      <c r="E236" s="159"/>
      <c r="F236" s="158"/>
      <c r="G236" s="160"/>
      <c r="H236" s="158"/>
      <c r="I236" s="158"/>
      <c r="J236" s="158"/>
    </row>
    <row r="237" spans="4:10" x14ac:dyDescent="0.3">
      <c r="D237" s="158"/>
      <c r="E237" s="159"/>
      <c r="F237" s="158"/>
      <c r="G237" s="160"/>
      <c r="H237" s="158"/>
      <c r="I237" s="158"/>
      <c r="J237" s="158"/>
    </row>
    <row r="238" spans="4:10" x14ac:dyDescent="0.3">
      <c r="D238" s="158"/>
      <c r="E238" s="159"/>
      <c r="F238" s="158"/>
      <c r="G238" s="160"/>
      <c r="H238" s="158"/>
      <c r="I238" s="158"/>
      <c r="J238" s="158"/>
    </row>
    <row r="239" spans="4:10" x14ac:dyDescent="0.3">
      <c r="D239" s="158"/>
      <c r="E239" s="159"/>
      <c r="F239" s="158"/>
      <c r="G239" s="160"/>
      <c r="H239" s="158"/>
      <c r="I239" s="158"/>
      <c r="J239" s="158"/>
    </row>
    <row r="240" spans="4:10" x14ac:dyDescent="0.3">
      <c r="D240" s="158"/>
      <c r="E240" s="159"/>
      <c r="F240" s="158"/>
      <c r="G240" s="160"/>
      <c r="H240" s="158"/>
      <c r="I240" s="158"/>
      <c r="J240" s="158"/>
    </row>
    <row r="241" spans="4:10" x14ac:dyDescent="0.3">
      <c r="D241" s="158"/>
      <c r="E241" s="159"/>
      <c r="F241" s="158"/>
      <c r="G241" s="160"/>
      <c r="H241" s="158"/>
      <c r="I241" s="158"/>
      <c r="J241" s="158"/>
    </row>
    <row r="242" spans="4:10" x14ac:dyDescent="0.3">
      <c r="D242" s="158"/>
      <c r="E242" s="159"/>
      <c r="F242" s="158"/>
      <c r="G242" s="160"/>
      <c r="H242" s="158"/>
      <c r="I242" s="158"/>
      <c r="J242" s="158"/>
    </row>
    <row r="243" spans="4:10" x14ac:dyDescent="0.3">
      <c r="D243" s="158"/>
      <c r="E243" s="159"/>
      <c r="F243" s="158"/>
      <c r="G243" s="160"/>
      <c r="H243" s="158"/>
      <c r="I243" s="158"/>
      <c r="J243" s="158"/>
    </row>
    <row r="244" spans="4:10" x14ac:dyDescent="0.3">
      <c r="D244" s="158"/>
      <c r="E244" s="159"/>
      <c r="F244" s="158"/>
      <c r="G244" s="160"/>
      <c r="H244" s="158"/>
      <c r="I244" s="158"/>
      <c r="J244" s="158"/>
    </row>
    <row r="245" spans="4:10" x14ac:dyDescent="0.3">
      <c r="D245" s="158"/>
      <c r="E245" s="159"/>
      <c r="F245" s="158"/>
      <c r="G245" s="160"/>
      <c r="H245" s="158"/>
      <c r="I245" s="158"/>
      <c r="J245" s="158"/>
    </row>
    <row r="246" spans="4:10" x14ac:dyDescent="0.3">
      <c r="D246" s="158"/>
      <c r="E246" s="159"/>
      <c r="F246" s="158"/>
      <c r="G246" s="160"/>
      <c r="H246" s="158"/>
      <c r="I246" s="158"/>
      <c r="J246" s="158"/>
    </row>
    <row r="247" spans="4:10" x14ac:dyDescent="0.3">
      <c r="D247" s="158"/>
      <c r="E247" s="159"/>
      <c r="F247" s="158"/>
      <c r="G247" s="160"/>
      <c r="H247" s="158"/>
      <c r="I247" s="158"/>
      <c r="J247" s="158"/>
    </row>
    <row r="248" spans="4:10" x14ac:dyDescent="0.3">
      <c r="D248" s="158"/>
      <c r="E248" s="159"/>
      <c r="F248" s="158"/>
      <c r="G248" s="160"/>
      <c r="H248" s="158"/>
      <c r="I248" s="158"/>
      <c r="J248" s="158"/>
    </row>
    <row r="249" spans="4:10" x14ac:dyDescent="0.3">
      <c r="D249" s="158"/>
      <c r="E249" s="159"/>
      <c r="F249" s="158"/>
      <c r="G249" s="160"/>
      <c r="H249" s="158"/>
      <c r="I249" s="158"/>
      <c r="J249" s="158"/>
    </row>
  </sheetData>
  <mergeCells count="6">
    <mergeCell ref="D31:E31"/>
    <mergeCell ref="D1:H1"/>
    <mergeCell ref="G2:H2"/>
    <mergeCell ref="G10:H10"/>
    <mergeCell ref="D22:E22"/>
    <mergeCell ref="D28:E28"/>
  </mergeCells>
  <dataValidations count="1">
    <dataValidation type="list" allowBlank="1" showInputMessage="1" showErrorMessage="1" sqref="H24" xr:uid="{2E88D9E1-9B76-449E-993D-A67C226805C5}">
      <formula1>$I$25:$I$30</formula1>
    </dataValidation>
  </dataValidations>
  <hyperlinks>
    <hyperlink ref="B1" location="'Table of contents'!A1" display="Table of contents" xr:uid="{EA9AB35C-CEC7-4C3A-84E9-22902522FFD6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Spinner 1">
              <controlPr defaultSize="0" autoPict="0">
                <anchor moveWithCells="1" sizeWithCells="1">
                  <from>
                    <xdr:col>5</xdr:col>
                    <xdr:colOff>129540</xdr:colOff>
                    <xdr:row>12</xdr:row>
                    <xdr:rowOff>342900</xdr:rowOff>
                  </from>
                  <to>
                    <xdr:col>5</xdr:col>
                    <xdr:colOff>304800</xdr:colOff>
                    <xdr:row>14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A20E-CC2F-4D7A-B998-7CE07A35D6D5}">
  <sheetPr codeName="Sheet15">
    <tabColor theme="4" tint="0.39997558519241921"/>
  </sheetPr>
  <dimension ref="A1:I371"/>
  <sheetViews>
    <sheetView workbookViewId="0"/>
  </sheetViews>
  <sheetFormatPr defaultColWidth="8.77734375" defaultRowHeight="14.4" x14ac:dyDescent="0.3"/>
  <cols>
    <col min="1" max="1" width="13.77734375" style="558" customWidth="1"/>
    <col min="2" max="2" width="10.6640625" style="558" customWidth="1"/>
    <col min="3" max="3" width="12.21875" style="558" customWidth="1"/>
    <col min="4" max="4" width="16.21875" style="556" customWidth="1"/>
    <col min="5" max="5" width="16.6640625" style="556" customWidth="1"/>
    <col min="6" max="6" width="12.77734375" style="556" customWidth="1"/>
    <col min="7" max="7" width="16.109375" style="558" customWidth="1"/>
    <col min="8" max="8" width="8.77734375" style="558"/>
    <col min="9" max="9" width="28.109375" style="558" customWidth="1"/>
    <col min="10" max="16384" width="8.77734375" style="558"/>
  </cols>
  <sheetData>
    <row r="1" spans="1:9" x14ac:dyDescent="0.3">
      <c r="A1" s="628" t="s">
        <v>454</v>
      </c>
    </row>
    <row r="2" spans="1:9" ht="15.6" x14ac:dyDescent="0.3">
      <c r="A2" s="1003" t="s">
        <v>109</v>
      </c>
      <c r="B2" s="1003"/>
      <c r="C2" s="556">
        <f>'ROI Number insert ARV'!H11</f>
        <v>0</v>
      </c>
    </row>
    <row r="3" spans="1:9" ht="15.6" x14ac:dyDescent="0.3">
      <c r="A3" s="1003" t="s">
        <v>161</v>
      </c>
      <c r="B3" s="1003"/>
      <c r="C3" s="556" t="e">
        <f>'Mortgage Caculator'!F11</f>
        <v>#NUM!</v>
      </c>
      <c r="I3"/>
    </row>
    <row r="4" spans="1:9" ht="15.6" x14ac:dyDescent="0.3">
      <c r="A4" s="1003" t="s">
        <v>167</v>
      </c>
      <c r="B4" s="1003"/>
      <c r="C4" s="557">
        <f>'ROI Number insert ARV'!E5</f>
        <v>0</v>
      </c>
      <c r="I4"/>
    </row>
    <row r="5" spans="1:9" ht="15.6" x14ac:dyDescent="0.3">
      <c r="A5" s="1003" t="s">
        <v>168</v>
      </c>
      <c r="B5" s="1003"/>
      <c r="C5" s="558">
        <f>'ROI Number insert ARV'!E4</f>
        <v>0</v>
      </c>
      <c r="I5"/>
    </row>
    <row r="6" spans="1:9" ht="15.6" x14ac:dyDescent="0.3">
      <c r="A6" s="1003" t="s">
        <v>169</v>
      </c>
      <c r="B6" s="1003"/>
      <c r="C6" s="558">
        <f>'Mortgage Caculator'!F6</f>
        <v>12</v>
      </c>
      <c r="I6"/>
    </row>
    <row r="7" spans="1:9" ht="18" x14ac:dyDescent="0.35">
      <c r="A7" s="1002" t="s">
        <v>170</v>
      </c>
      <c r="B7" s="1002"/>
      <c r="C7" s="1002"/>
      <c r="D7" s="1002"/>
      <c r="E7" s="1002"/>
      <c r="F7" s="1002"/>
      <c r="G7" s="1002"/>
      <c r="I7"/>
    </row>
    <row r="8" spans="1:9" s="561" customFormat="1" ht="31.2" x14ac:dyDescent="0.3">
      <c r="A8" s="559" t="s">
        <v>171</v>
      </c>
      <c r="B8" s="559" t="s">
        <v>172</v>
      </c>
      <c r="C8" s="559" t="s">
        <v>173</v>
      </c>
      <c r="D8" s="560" t="s">
        <v>174</v>
      </c>
      <c r="E8" s="560" t="s">
        <v>175</v>
      </c>
      <c r="F8" s="560" t="s">
        <v>176</v>
      </c>
      <c r="G8" s="559" t="s">
        <v>177</v>
      </c>
      <c r="I8"/>
    </row>
    <row r="9" spans="1:9" x14ac:dyDescent="0.3">
      <c r="B9" s="558">
        <v>0</v>
      </c>
      <c r="C9" s="556" t="e">
        <f>IF($C$3&lt;G9+(G9*($C$4/$C$6)),$C$3,G9+(G9*($C$4/$C$6)))</f>
        <v>#NUM!</v>
      </c>
      <c r="D9" s="556">
        <f>G9*$C$4/$C$6</f>
        <v>0</v>
      </c>
      <c r="E9" s="556" t="e">
        <f>C9-D9</f>
        <v>#NUM!</v>
      </c>
      <c r="G9" s="556">
        <f>C2</f>
        <v>0</v>
      </c>
      <c r="I9"/>
    </row>
    <row r="10" spans="1:9" x14ac:dyDescent="0.3">
      <c r="B10" s="558">
        <v>1</v>
      </c>
      <c r="C10" s="556" t="e">
        <f t="shared" ref="C10:C73" si="0">IF($C$3&lt;G10+(G10*($C$4/$C$6)),$C$3,G10+(G10*($C$4/$C$6)))</f>
        <v>#NUM!</v>
      </c>
      <c r="D10" s="556" t="e">
        <f t="shared" ref="D10:D73" si="1">G10*$C$4/$C$6</f>
        <v>#NUM!</v>
      </c>
      <c r="E10" s="556" t="e">
        <f t="shared" ref="E10:E73" si="2">C10-D10</f>
        <v>#NUM!</v>
      </c>
      <c r="G10" s="556" t="e">
        <f>G9-E9-F9</f>
        <v>#NUM!</v>
      </c>
      <c r="I10"/>
    </row>
    <row r="11" spans="1:9" x14ac:dyDescent="0.3">
      <c r="B11" s="558">
        <v>2</v>
      </c>
      <c r="C11" s="556" t="e">
        <f t="shared" si="0"/>
        <v>#NUM!</v>
      </c>
      <c r="D11" s="556" t="e">
        <f t="shared" si="1"/>
        <v>#NUM!</v>
      </c>
      <c r="E11" s="556" t="e">
        <f t="shared" si="2"/>
        <v>#NUM!</v>
      </c>
      <c r="G11" s="556" t="e">
        <f t="shared" ref="G11:G74" si="3">G10-E10-F10</f>
        <v>#NUM!</v>
      </c>
      <c r="I11"/>
    </row>
    <row r="12" spans="1:9" x14ac:dyDescent="0.3">
      <c r="B12" s="558">
        <v>3</v>
      </c>
      <c r="C12" s="556" t="e">
        <f t="shared" si="0"/>
        <v>#NUM!</v>
      </c>
      <c r="D12" s="556" t="e">
        <f t="shared" si="1"/>
        <v>#NUM!</v>
      </c>
      <c r="E12" s="556" t="e">
        <f t="shared" si="2"/>
        <v>#NUM!</v>
      </c>
      <c r="G12" s="556" t="e">
        <f t="shared" si="3"/>
        <v>#NUM!</v>
      </c>
      <c r="I12"/>
    </row>
    <row r="13" spans="1:9" x14ac:dyDescent="0.3">
      <c r="B13" s="558">
        <v>4</v>
      </c>
      <c r="C13" s="556" t="e">
        <f t="shared" si="0"/>
        <v>#NUM!</v>
      </c>
      <c r="D13" s="556" t="e">
        <f t="shared" si="1"/>
        <v>#NUM!</v>
      </c>
      <c r="E13" s="556" t="e">
        <f t="shared" si="2"/>
        <v>#NUM!</v>
      </c>
      <c r="G13" s="556" t="e">
        <f t="shared" si="3"/>
        <v>#NUM!</v>
      </c>
      <c r="I13"/>
    </row>
    <row r="14" spans="1:9" x14ac:dyDescent="0.3">
      <c r="B14" s="558">
        <v>5</v>
      </c>
      <c r="C14" s="556" t="e">
        <f t="shared" si="0"/>
        <v>#NUM!</v>
      </c>
      <c r="D14" s="556" t="e">
        <f t="shared" si="1"/>
        <v>#NUM!</v>
      </c>
      <c r="E14" s="556" t="e">
        <f t="shared" si="2"/>
        <v>#NUM!</v>
      </c>
      <c r="G14" s="556" t="e">
        <f t="shared" si="3"/>
        <v>#NUM!</v>
      </c>
      <c r="I14"/>
    </row>
    <row r="15" spans="1:9" x14ac:dyDescent="0.3">
      <c r="B15" s="558">
        <v>6</v>
      </c>
      <c r="C15" s="556" t="e">
        <f t="shared" si="0"/>
        <v>#NUM!</v>
      </c>
      <c r="D15" s="556" t="e">
        <f t="shared" si="1"/>
        <v>#NUM!</v>
      </c>
      <c r="E15" s="556" t="e">
        <f t="shared" si="2"/>
        <v>#NUM!</v>
      </c>
      <c r="G15" s="556" t="e">
        <f t="shared" si="3"/>
        <v>#NUM!</v>
      </c>
      <c r="I15"/>
    </row>
    <row r="16" spans="1:9" x14ac:dyDescent="0.3">
      <c r="B16" s="558">
        <v>7</v>
      </c>
      <c r="C16" s="556" t="e">
        <f t="shared" si="0"/>
        <v>#NUM!</v>
      </c>
      <c r="D16" s="556" t="e">
        <f t="shared" si="1"/>
        <v>#NUM!</v>
      </c>
      <c r="E16" s="556" t="e">
        <f t="shared" si="2"/>
        <v>#NUM!</v>
      </c>
      <c r="G16" s="556" t="e">
        <f t="shared" si="3"/>
        <v>#NUM!</v>
      </c>
      <c r="I16"/>
    </row>
    <row r="17" spans="2:9" x14ac:dyDescent="0.3">
      <c r="B17" s="558">
        <v>8</v>
      </c>
      <c r="C17" s="556" t="e">
        <f t="shared" si="0"/>
        <v>#NUM!</v>
      </c>
      <c r="D17" s="556" t="e">
        <f t="shared" si="1"/>
        <v>#NUM!</v>
      </c>
      <c r="E17" s="556" t="e">
        <f t="shared" si="2"/>
        <v>#NUM!</v>
      </c>
      <c r="G17" s="556" t="e">
        <f t="shared" si="3"/>
        <v>#NUM!</v>
      </c>
      <c r="I17"/>
    </row>
    <row r="18" spans="2:9" x14ac:dyDescent="0.3">
      <c r="B18" s="558">
        <v>9</v>
      </c>
      <c r="C18" s="556" t="e">
        <f t="shared" si="0"/>
        <v>#NUM!</v>
      </c>
      <c r="D18" s="556" t="e">
        <f t="shared" si="1"/>
        <v>#NUM!</v>
      </c>
      <c r="E18" s="556" t="e">
        <f t="shared" si="2"/>
        <v>#NUM!</v>
      </c>
      <c r="G18" s="556" t="e">
        <f t="shared" si="3"/>
        <v>#NUM!</v>
      </c>
    </row>
    <row r="19" spans="2:9" x14ac:dyDescent="0.3">
      <c r="B19" s="558">
        <v>10</v>
      </c>
      <c r="C19" s="556" t="e">
        <f t="shared" si="0"/>
        <v>#NUM!</v>
      </c>
      <c r="D19" s="556" t="e">
        <f t="shared" si="1"/>
        <v>#NUM!</v>
      </c>
      <c r="E19" s="556" t="e">
        <f t="shared" si="2"/>
        <v>#NUM!</v>
      </c>
      <c r="G19" s="556" t="e">
        <f t="shared" si="3"/>
        <v>#NUM!</v>
      </c>
    </row>
    <row r="20" spans="2:9" x14ac:dyDescent="0.3">
      <c r="B20" s="558">
        <v>11</v>
      </c>
      <c r="C20" s="556" t="e">
        <f t="shared" si="0"/>
        <v>#NUM!</v>
      </c>
      <c r="D20" s="556" t="e">
        <f t="shared" si="1"/>
        <v>#NUM!</v>
      </c>
      <c r="E20" s="556" t="e">
        <f t="shared" si="2"/>
        <v>#NUM!</v>
      </c>
      <c r="G20" s="556" t="e">
        <f t="shared" si="3"/>
        <v>#NUM!</v>
      </c>
    </row>
    <row r="21" spans="2:9" x14ac:dyDescent="0.3">
      <c r="B21" s="558">
        <v>12</v>
      </c>
      <c r="C21" s="556" t="e">
        <f t="shared" si="0"/>
        <v>#NUM!</v>
      </c>
      <c r="D21" s="556" t="e">
        <f t="shared" si="1"/>
        <v>#NUM!</v>
      </c>
      <c r="E21" s="556" t="e">
        <f t="shared" si="2"/>
        <v>#NUM!</v>
      </c>
      <c r="G21" s="556" t="e">
        <f t="shared" si="3"/>
        <v>#NUM!</v>
      </c>
    </row>
    <row r="22" spans="2:9" x14ac:dyDescent="0.3">
      <c r="B22" s="558">
        <v>13</v>
      </c>
      <c r="C22" s="556" t="e">
        <f t="shared" si="0"/>
        <v>#NUM!</v>
      </c>
      <c r="D22" s="556" t="e">
        <f t="shared" si="1"/>
        <v>#NUM!</v>
      </c>
      <c r="E22" s="556" t="e">
        <f t="shared" si="2"/>
        <v>#NUM!</v>
      </c>
      <c r="G22" s="556" t="e">
        <f t="shared" si="3"/>
        <v>#NUM!</v>
      </c>
    </row>
    <row r="23" spans="2:9" x14ac:dyDescent="0.3">
      <c r="B23" s="558">
        <v>14</v>
      </c>
      <c r="C23" s="556" t="e">
        <f t="shared" si="0"/>
        <v>#NUM!</v>
      </c>
      <c r="D23" s="556" t="e">
        <f t="shared" si="1"/>
        <v>#NUM!</v>
      </c>
      <c r="E23" s="556" t="e">
        <f t="shared" si="2"/>
        <v>#NUM!</v>
      </c>
      <c r="G23" s="556" t="e">
        <f t="shared" si="3"/>
        <v>#NUM!</v>
      </c>
    </row>
    <row r="24" spans="2:9" x14ac:dyDescent="0.3">
      <c r="B24" s="558">
        <v>15</v>
      </c>
      <c r="C24" s="556" t="e">
        <f t="shared" si="0"/>
        <v>#NUM!</v>
      </c>
      <c r="D24" s="556" t="e">
        <f t="shared" si="1"/>
        <v>#NUM!</v>
      </c>
      <c r="E24" s="556" t="e">
        <f t="shared" si="2"/>
        <v>#NUM!</v>
      </c>
      <c r="G24" s="556" t="e">
        <f t="shared" si="3"/>
        <v>#NUM!</v>
      </c>
    </row>
    <row r="25" spans="2:9" x14ac:dyDescent="0.3">
      <c r="B25" s="558">
        <v>16</v>
      </c>
      <c r="C25" s="556" t="e">
        <f t="shared" si="0"/>
        <v>#NUM!</v>
      </c>
      <c r="D25" s="556" t="e">
        <f t="shared" si="1"/>
        <v>#NUM!</v>
      </c>
      <c r="E25" s="556" t="e">
        <f t="shared" si="2"/>
        <v>#NUM!</v>
      </c>
      <c r="G25" s="556" t="e">
        <f t="shared" si="3"/>
        <v>#NUM!</v>
      </c>
    </row>
    <row r="26" spans="2:9" x14ac:dyDescent="0.3">
      <c r="B26" s="558">
        <v>17</v>
      </c>
      <c r="C26" s="556" t="e">
        <f t="shared" si="0"/>
        <v>#NUM!</v>
      </c>
      <c r="D26" s="556" t="e">
        <f t="shared" si="1"/>
        <v>#NUM!</v>
      </c>
      <c r="E26" s="556" t="e">
        <f t="shared" si="2"/>
        <v>#NUM!</v>
      </c>
      <c r="G26" s="556" t="e">
        <f t="shared" si="3"/>
        <v>#NUM!</v>
      </c>
    </row>
    <row r="27" spans="2:9" x14ac:dyDescent="0.3">
      <c r="B27" s="558">
        <v>18</v>
      </c>
      <c r="C27" s="556" t="e">
        <f t="shared" si="0"/>
        <v>#NUM!</v>
      </c>
      <c r="D27" s="556" t="e">
        <f t="shared" si="1"/>
        <v>#NUM!</v>
      </c>
      <c r="E27" s="556" t="e">
        <f t="shared" si="2"/>
        <v>#NUM!</v>
      </c>
      <c r="G27" s="556" t="e">
        <f t="shared" si="3"/>
        <v>#NUM!</v>
      </c>
    </row>
    <row r="28" spans="2:9" x14ac:dyDescent="0.3">
      <c r="B28" s="558">
        <v>19</v>
      </c>
      <c r="C28" s="556" t="e">
        <f t="shared" si="0"/>
        <v>#NUM!</v>
      </c>
      <c r="D28" s="556" t="e">
        <f t="shared" si="1"/>
        <v>#NUM!</v>
      </c>
      <c r="E28" s="556" t="e">
        <f t="shared" si="2"/>
        <v>#NUM!</v>
      </c>
      <c r="G28" s="556" t="e">
        <f t="shared" si="3"/>
        <v>#NUM!</v>
      </c>
    </row>
    <row r="29" spans="2:9" x14ac:dyDescent="0.3">
      <c r="B29" s="558">
        <v>20</v>
      </c>
      <c r="C29" s="556" t="e">
        <f t="shared" si="0"/>
        <v>#NUM!</v>
      </c>
      <c r="D29" s="556" t="e">
        <f t="shared" si="1"/>
        <v>#NUM!</v>
      </c>
      <c r="E29" s="556" t="e">
        <f t="shared" si="2"/>
        <v>#NUM!</v>
      </c>
      <c r="G29" s="556" t="e">
        <f t="shared" si="3"/>
        <v>#NUM!</v>
      </c>
    </row>
    <row r="30" spans="2:9" x14ac:dyDescent="0.3">
      <c r="B30" s="558">
        <v>21</v>
      </c>
      <c r="C30" s="556" t="e">
        <f t="shared" si="0"/>
        <v>#NUM!</v>
      </c>
      <c r="D30" s="556" t="e">
        <f t="shared" si="1"/>
        <v>#NUM!</v>
      </c>
      <c r="E30" s="556" t="e">
        <f t="shared" si="2"/>
        <v>#NUM!</v>
      </c>
      <c r="G30" s="556" t="e">
        <f t="shared" si="3"/>
        <v>#NUM!</v>
      </c>
    </row>
    <row r="31" spans="2:9" x14ac:dyDescent="0.3">
      <c r="B31" s="558">
        <v>22</v>
      </c>
      <c r="C31" s="556" t="e">
        <f t="shared" si="0"/>
        <v>#NUM!</v>
      </c>
      <c r="D31" s="556" t="e">
        <f t="shared" si="1"/>
        <v>#NUM!</v>
      </c>
      <c r="E31" s="556" t="e">
        <f t="shared" si="2"/>
        <v>#NUM!</v>
      </c>
      <c r="G31" s="556" t="e">
        <f t="shared" si="3"/>
        <v>#NUM!</v>
      </c>
    </row>
    <row r="32" spans="2:9" x14ac:dyDescent="0.3">
      <c r="B32" s="558">
        <v>23</v>
      </c>
      <c r="C32" s="556" t="e">
        <f t="shared" si="0"/>
        <v>#NUM!</v>
      </c>
      <c r="D32" s="556" t="e">
        <f t="shared" si="1"/>
        <v>#NUM!</v>
      </c>
      <c r="E32" s="556" t="e">
        <f t="shared" si="2"/>
        <v>#NUM!</v>
      </c>
      <c r="G32" s="556" t="e">
        <f t="shared" si="3"/>
        <v>#NUM!</v>
      </c>
    </row>
    <row r="33" spans="2:7" x14ac:dyDescent="0.3">
      <c r="B33" s="558">
        <v>24</v>
      </c>
      <c r="C33" s="556" t="e">
        <f t="shared" si="0"/>
        <v>#NUM!</v>
      </c>
      <c r="D33" s="556" t="e">
        <f t="shared" si="1"/>
        <v>#NUM!</v>
      </c>
      <c r="E33" s="556" t="e">
        <f t="shared" si="2"/>
        <v>#NUM!</v>
      </c>
      <c r="G33" s="556" t="e">
        <f t="shared" si="3"/>
        <v>#NUM!</v>
      </c>
    </row>
    <row r="34" spans="2:7" x14ac:dyDescent="0.3">
      <c r="B34" s="558">
        <v>25</v>
      </c>
      <c r="C34" s="556" t="e">
        <f t="shared" si="0"/>
        <v>#NUM!</v>
      </c>
      <c r="D34" s="556" t="e">
        <f t="shared" si="1"/>
        <v>#NUM!</v>
      </c>
      <c r="E34" s="556" t="e">
        <f t="shared" si="2"/>
        <v>#NUM!</v>
      </c>
      <c r="G34" s="556" t="e">
        <f t="shared" si="3"/>
        <v>#NUM!</v>
      </c>
    </row>
    <row r="35" spans="2:7" x14ac:dyDescent="0.3">
      <c r="B35" s="558">
        <v>26</v>
      </c>
      <c r="C35" s="556" t="e">
        <f t="shared" si="0"/>
        <v>#NUM!</v>
      </c>
      <c r="D35" s="556" t="e">
        <f t="shared" si="1"/>
        <v>#NUM!</v>
      </c>
      <c r="E35" s="556" t="e">
        <f t="shared" si="2"/>
        <v>#NUM!</v>
      </c>
      <c r="G35" s="556" t="e">
        <f t="shared" si="3"/>
        <v>#NUM!</v>
      </c>
    </row>
    <row r="36" spans="2:7" x14ac:dyDescent="0.3">
      <c r="B36" s="558">
        <v>27</v>
      </c>
      <c r="C36" s="556" t="e">
        <f t="shared" si="0"/>
        <v>#NUM!</v>
      </c>
      <c r="D36" s="556" t="e">
        <f t="shared" si="1"/>
        <v>#NUM!</v>
      </c>
      <c r="E36" s="556" t="e">
        <f t="shared" si="2"/>
        <v>#NUM!</v>
      </c>
      <c r="G36" s="556" t="e">
        <f t="shared" si="3"/>
        <v>#NUM!</v>
      </c>
    </row>
    <row r="37" spans="2:7" x14ac:dyDescent="0.3">
      <c r="B37" s="558">
        <v>28</v>
      </c>
      <c r="C37" s="556" t="e">
        <f t="shared" si="0"/>
        <v>#NUM!</v>
      </c>
      <c r="D37" s="556" t="e">
        <f t="shared" si="1"/>
        <v>#NUM!</v>
      </c>
      <c r="E37" s="556" t="e">
        <f t="shared" si="2"/>
        <v>#NUM!</v>
      </c>
      <c r="G37" s="556" t="e">
        <f t="shared" si="3"/>
        <v>#NUM!</v>
      </c>
    </row>
    <row r="38" spans="2:7" x14ac:dyDescent="0.3">
      <c r="B38" s="558">
        <v>29</v>
      </c>
      <c r="C38" s="556" t="e">
        <f t="shared" si="0"/>
        <v>#NUM!</v>
      </c>
      <c r="D38" s="556" t="e">
        <f t="shared" si="1"/>
        <v>#NUM!</v>
      </c>
      <c r="E38" s="556" t="e">
        <f t="shared" si="2"/>
        <v>#NUM!</v>
      </c>
      <c r="G38" s="556" t="e">
        <f t="shared" si="3"/>
        <v>#NUM!</v>
      </c>
    </row>
    <row r="39" spans="2:7" x14ac:dyDescent="0.3">
      <c r="B39" s="558">
        <v>30</v>
      </c>
      <c r="C39" s="556" t="e">
        <f t="shared" si="0"/>
        <v>#NUM!</v>
      </c>
      <c r="D39" s="556" t="e">
        <f t="shared" si="1"/>
        <v>#NUM!</v>
      </c>
      <c r="E39" s="556" t="e">
        <f t="shared" si="2"/>
        <v>#NUM!</v>
      </c>
      <c r="G39" s="556" t="e">
        <f t="shared" si="3"/>
        <v>#NUM!</v>
      </c>
    </row>
    <row r="40" spans="2:7" x14ac:dyDescent="0.3">
      <c r="B40" s="558">
        <v>31</v>
      </c>
      <c r="C40" s="556" t="e">
        <f t="shared" si="0"/>
        <v>#NUM!</v>
      </c>
      <c r="D40" s="556" t="e">
        <f t="shared" si="1"/>
        <v>#NUM!</v>
      </c>
      <c r="E40" s="556" t="e">
        <f t="shared" si="2"/>
        <v>#NUM!</v>
      </c>
      <c r="G40" s="556" t="e">
        <f t="shared" si="3"/>
        <v>#NUM!</v>
      </c>
    </row>
    <row r="41" spans="2:7" x14ac:dyDescent="0.3">
      <c r="B41" s="558">
        <v>32</v>
      </c>
      <c r="C41" s="556" t="e">
        <f t="shared" si="0"/>
        <v>#NUM!</v>
      </c>
      <c r="D41" s="556" t="e">
        <f t="shared" si="1"/>
        <v>#NUM!</v>
      </c>
      <c r="E41" s="556" t="e">
        <f t="shared" si="2"/>
        <v>#NUM!</v>
      </c>
      <c r="G41" s="556" t="e">
        <f t="shared" si="3"/>
        <v>#NUM!</v>
      </c>
    </row>
    <row r="42" spans="2:7" x14ac:dyDescent="0.3">
      <c r="B42" s="558">
        <v>33</v>
      </c>
      <c r="C42" s="556" t="e">
        <f t="shared" si="0"/>
        <v>#NUM!</v>
      </c>
      <c r="D42" s="556" t="e">
        <f t="shared" si="1"/>
        <v>#NUM!</v>
      </c>
      <c r="E42" s="556" t="e">
        <f t="shared" si="2"/>
        <v>#NUM!</v>
      </c>
      <c r="G42" s="556" t="e">
        <f t="shared" si="3"/>
        <v>#NUM!</v>
      </c>
    </row>
    <row r="43" spans="2:7" x14ac:dyDescent="0.3">
      <c r="B43" s="558">
        <v>34</v>
      </c>
      <c r="C43" s="556" t="e">
        <f t="shared" si="0"/>
        <v>#NUM!</v>
      </c>
      <c r="D43" s="556" t="e">
        <f t="shared" si="1"/>
        <v>#NUM!</v>
      </c>
      <c r="E43" s="556" t="e">
        <f t="shared" si="2"/>
        <v>#NUM!</v>
      </c>
      <c r="G43" s="556" t="e">
        <f t="shared" si="3"/>
        <v>#NUM!</v>
      </c>
    </row>
    <row r="44" spans="2:7" x14ac:dyDescent="0.3">
      <c r="B44" s="558">
        <v>35</v>
      </c>
      <c r="C44" s="556" t="e">
        <f t="shared" si="0"/>
        <v>#NUM!</v>
      </c>
      <c r="D44" s="556" t="e">
        <f t="shared" si="1"/>
        <v>#NUM!</v>
      </c>
      <c r="E44" s="556" t="e">
        <f t="shared" si="2"/>
        <v>#NUM!</v>
      </c>
      <c r="G44" s="556" t="e">
        <f t="shared" si="3"/>
        <v>#NUM!</v>
      </c>
    </row>
    <row r="45" spans="2:7" x14ac:dyDescent="0.3">
      <c r="B45" s="558">
        <v>36</v>
      </c>
      <c r="C45" s="556" t="e">
        <f t="shared" si="0"/>
        <v>#NUM!</v>
      </c>
      <c r="D45" s="556" t="e">
        <f t="shared" si="1"/>
        <v>#NUM!</v>
      </c>
      <c r="E45" s="556" t="e">
        <f t="shared" si="2"/>
        <v>#NUM!</v>
      </c>
      <c r="G45" s="556" t="e">
        <f t="shared" si="3"/>
        <v>#NUM!</v>
      </c>
    </row>
    <row r="46" spans="2:7" x14ac:dyDescent="0.3">
      <c r="B46" s="558">
        <v>37</v>
      </c>
      <c r="C46" s="556" t="e">
        <f t="shared" si="0"/>
        <v>#NUM!</v>
      </c>
      <c r="D46" s="556" t="e">
        <f t="shared" si="1"/>
        <v>#NUM!</v>
      </c>
      <c r="E46" s="556" t="e">
        <f t="shared" si="2"/>
        <v>#NUM!</v>
      </c>
      <c r="G46" s="556" t="e">
        <f t="shared" si="3"/>
        <v>#NUM!</v>
      </c>
    </row>
    <row r="47" spans="2:7" x14ac:dyDescent="0.3">
      <c r="B47" s="558">
        <v>38</v>
      </c>
      <c r="C47" s="556" t="e">
        <f t="shared" si="0"/>
        <v>#NUM!</v>
      </c>
      <c r="D47" s="556" t="e">
        <f t="shared" si="1"/>
        <v>#NUM!</v>
      </c>
      <c r="E47" s="556" t="e">
        <f t="shared" si="2"/>
        <v>#NUM!</v>
      </c>
      <c r="G47" s="556" t="e">
        <f t="shared" si="3"/>
        <v>#NUM!</v>
      </c>
    </row>
    <row r="48" spans="2:7" x14ac:dyDescent="0.3">
      <c r="B48" s="558">
        <v>39</v>
      </c>
      <c r="C48" s="556" t="e">
        <f t="shared" si="0"/>
        <v>#NUM!</v>
      </c>
      <c r="D48" s="556" t="e">
        <f t="shared" si="1"/>
        <v>#NUM!</v>
      </c>
      <c r="E48" s="556" t="e">
        <f t="shared" si="2"/>
        <v>#NUM!</v>
      </c>
      <c r="G48" s="556" t="e">
        <f t="shared" si="3"/>
        <v>#NUM!</v>
      </c>
    </row>
    <row r="49" spans="2:7" x14ac:dyDescent="0.3">
      <c r="B49" s="558">
        <v>40</v>
      </c>
      <c r="C49" s="556" t="e">
        <f t="shared" si="0"/>
        <v>#NUM!</v>
      </c>
      <c r="D49" s="556" t="e">
        <f t="shared" si="1"/>
        <v>#NUM!</v>
      </c>
      <c r="E49" s="556" t="e">
        <f t="shared" si="2"/>
        <v>#NUM!</v>
      </c>
      <c r="G49" s="556" t="e">
        <f t="shared" si="3"/>
        <v>#NUM!</v>
      </c>
    </row>
    <row r="50" spans="2:7" x14ac:dyDescent="0.3">
      <c r="B50" s="558">
        <v>41</v>
      </c>
      <c r="C50" s="556" t="e">
        <f t="shared" si="0"/>
        <v>#NUM!</v>
      </c>
      <c r="D50" s="556" t="e">
        <f t="shared" si="1"/>
        <v>#NUM!</v>
      </c>
      <c r="E50" s="556" t="e">
        <f t="shared" si="2"/>
        <v>#NUM!</v>
      </c>
      <c r="G50" s="556" t="e">
        <f t="shared" si="3"/>
        <v>#NUM!</v>
      </c>
    </row>
    <row r="51" spans="2:7" x14ac:dyDescent="0.3">
      <c r="B51" s="558">
        <v>42</v>
      </c>
      <c r="C51" s="556" t="e">
        <f t="shared" si="0"/>
        <v>#NUM!</v>
      </c>
      <c r="D51" s="556" t="e">
        <f t="shared" si="1"/>
        <v>#NUM!</v>
      </c>
      <c r="E51" s="556" t="e">
        <f t="shared" si="2"/>
        <v>#NUM!</v>
      </c>
      <c r="G51" s="556" t="e">
        <f t="shared" si="3"/>
        <v>#NUM!</v>
      </c>
    </row>
    <row r="52" spans="2:7" x14ac:dyDescent="0.3">
      <c r="B52" s="558">
        <v>43</v>
      </c>
      <c r="C52" s="556" t="e">
        <f t="shared" si="0"/>
        <v>#NUM!</v>
      </c>
      <c r="D52" s="556" t="e">
        <f t="shared" si="1"/>
        <v>#NUM!</v>
      </c>
      <c r="E52" s="556" t="e">
        <f t="shared" si="2"/>
        <v>#NUM!</v>
      </c>
      <c r="G52" s="556" t="e">
        <f t="shared" si="3"/>
        <v>#NUM!</v>
      </c>
    </row>
    <row r="53" spans="2:7" x14ac:dyDescent="0.3">
      <c r="B53" s="558">
        <v>44</v>
      </c>
      <c r="C53" s="556" t="e">
        <f t="shared" si="0"/>
        <v>#NUM!</v>
      </c>
      <c r="D53" s="556" t="e">
        <f t="shared" si="1"/>
        <v>#NUM!</v>
      </c>
      <c r="E53" s="556" t="e">
        <f t="shared" si="2"/>
        <v>#NUM!</v>
      </c>
      <c r="G53" s="556" t="e">
        <f t="shared" si="3"/>
        <v>#NUM!</v>
      </c>
    </row>
    <row r="54" spans="2:7" x14ac:dyDescent="0.3">
      <c r="B54" s="558">
        <v>45</v>
      </c>
      <c r="C54" s="556" t="e">
        <f t="shared" si="0"/>
        <v>#NUM!</v>
      </c>
      <c r="D54" s="556" t="e">
        <f t="shared" si="1"/>
        <v>#NUM!</v>
      </c>
      <c r="E54" s="556" t="e">
        <f t="shared" si="2"/>
        <v>#NUM!</v>
      </c>
      <c r="G54" s="556" t="e">
        <f t="shared" si="3"/>
        <v>#NUM!</v>
      </c>
    </row>
    <row r="55" spans="2:7" x14ac:dyDescent="0.3">
      <c r="B55" s="558">
        <v>46</v>
      </c>
      <c r="C55" s="556" t="e">
        <f t="shared" si="0"/>
        <v>#NUM!</v>
      </c>
      <c r="D55" s="556" t="e">
        <f t="shared" si="1"/>
        <v>#NUM!</v>
      </c>
      <c r="E55" s="556" t="e">
        <f t="shared" si="2"/>
        <v>#NUM!</v>
      </c>
      <c r="G55" s="556" t="e">
        <f t="shared" si="3"/>
        <v>#NUM!</v>
      </c>
    </row>
    <row r="56" spans="2:7" x14ac:dyDescent="0.3">
      <c r="B56" s="558">
        <v>47</v>
      </c>
      <c r="C56" s="556" t="e">
        <f t="shared" si="0"/>
        <v>#NUM!</v>
      </c>
      <c r="D56" s="556" t="e">
        <f t="shared" si="1"/>
        <v>#NUM!</v>
      </c>
      <c r="E56" s="556" t="e">
        <f t="shared" si="2"/>
        <v>#NUM!</v>
      </c>
      <c r="G56" s="556" t="e">
        <f t="shared" si="3"/>
        <v>#NUM!</v>
      </c>
    </row>
    <row r="57" spans="2:7" x14ac:dyDescent="0.3">
      <c r="B57" s="558">
        <v>48</v>
      </c>
      <c r="C57" s="556" t="e">
        <f t="shared" si="0"/>
        <v>#NUM!</v>
      </c>
      <c r="D57" s="556" t="e">
        <f t="shared" si="1"/>
        <v>#NUM!</v>
      </c>
      <c r="E57" s="556" t="e">
        <f t="shared" si="2"/>
        <v>#NUM!</v>
      </c>
      <c r="G57" s="556" t="e">
        <f t="shared" si="3"/>
        <v>#NUM!</v>
      </c>
    </row>
    <row r="58" spans="2:7" x14ac:dyDescent="0.3">
      <c r="B58" s="558">
        <v>49</v>
      </c>
      <c r="C58" s="556" t="e">
        <f t="shared" si="0"/>
        <v>#NUM!</v>
      </c>
      <c r="D58" s="556" t="e">
        <f t="shared" si="1"/>
        <v>#NUM!</v>
      </c>
      <c r="E58" s="556" t="e">
        <f t="shared" si="2"/>
        <v>#NUM!</v>
      </c>
      <c r="G58" s="556" t="e">
        <f t="shared" si="3"/>
        <v>#NUM!</v>
      </c>
    </row>
    <row r="59" spans="2:7" x14ac:dyDescent="0.3">
      <c r="B59" s="558">
        <v>50</v>
      </c>
      <c r="C59" s="556" t="e">
        <f t="shared" si="0"/>
        <v>#NUM!</v>
      </c>
      <c r="D59" s="556" t="e">
        <f t="shared" si="1"/>
        <v>#NUM!</v>
      </c>
      <c r="E59" s="556" t="e">
        <f t="shared" si="2"/>
        <v>#NUM!</v>
      </c>
      <c r="G59" s="556" t="e">
        <f t="shared" si="3"/>
        <v>#NUM!</v>
      </c>
    </row>
    <row r="60" spans="2:7" x14ac:dyDescent="0.3">
      <c r="B60" s="558">
        <v>51</v>
      </c>
      <c r="C60" s="556" t="e">
        <f t="shared" si="0"/>
        <v>#NUM!</v>
      </c>
      <c r="D60" s="556" t="e">
        <f t="shared" si="1"/>
        <v>#NUM!</v>
      </c>
      <c r="E60" s="556" t="e">
        <f t="shared" si="2"/>
        <v>#NUM!</v>
      </c>
      <c r="G60" s="556" t="e">
        <f t="shared" si="3"/>
        <v>#NUM!</v>
      </c>
    </row>
    <row r="61" spans="2:7" x14ac:dyDescent="0.3">
      <c r="B61" s="558">
        <v>52</v>
      </c>
      <c r="C61" s="556" t="e">
        <f t="shared" si="0"/>
        <v>#NUM!</v>
      </c>
      <c r="D61" s="556" t="e">
        <f t="shared" si="1"/>
        <v>#NUM!</v>
      </c>
      <c r="E61" s="556" t="e">
        <f t="shared" si="2"/>
        <v>#NUM!</v>
      </c>
      <c r="G61" s="556" t="e">
        <f t="shared" si="3"/>
        <v>#NUM!</v>
      </c>
    </row>
    <row r="62" spans="2:7" x14ac:dyDescent="0.3">
      <c r="B62" s="558">
        <v>53</v>
      </c>
      <c r="C62" s="556" t="e">
        <f t="shared" si="0"/>
        <v>#NUM!</v>
      </c>
      <c r="D62" s="556" t="e">
        <f t="shared" si="1"/>
        <v>#NUM!</v>
      </c>
      <c r="E62" s="556" t="e">
        <f t="shared" si="2"/>
        <v>#NUM!</v>
      </c>
      <c r="G62" s="556" t="e">
        <f t="shared" si="3"/>
        <v>#NUM!</v>
      </c>
    </row>
    <row r="63" spans="2:7" x14ac:dyDescent="0.3">
      <c r="B63" s="558">
        <v>54</v>
      </c>
      <c r="C63" s="556" t="e">
        <f t="shared" si="0"/>
        <v>#NUM!</v>
      </c>
      <c r="D63" s="556" t="e">
        <f t="shared" si="1"/>
        <v>#NUM!</v>
      </c>
      <c r="E63" s="556" t="e">
        <f t="shared" si="2"/>
        <v>#NUM!</v>
      </c>
      <c r="G63" s="556" t="e">
        <f t="shared" si="3"/>
        <v>#NUM!</v>
      </c>
    </row>
    <row r="64" spans="2:7" x14ac:dyDescent="0.3">
      <c r="B64" s="558">
        <v>55</v>
      </c>
      <c r="C64" s="556" t="e">
        <f t="shared" si="0"/>
        <v>#NUM!</v>
      </c>
      <c r="D64" s="556" t="e">
        <f t="shared" si="1"/>
        <v>#NUM!</v>
      </c>
      <c r="E64" s="556" t="e">
        <f t="shared" si="2"/>
        <v>#NUM!</v>
      </c>
      <c r="G64" s="556" t="e">
        <f t="shared" si="3"/>
        <v>#NUM!</v>
      </c>
    </row>
    <row r="65" spans="2:7" x14ac:dyDescent="0.3">
      <c r="B65" s="558">
        <v>56</v>
      </c>
      <c r="C65" s="556" t="e">
        <f t="shared" si="0"/>
        <v>#NUM!</v>
      </c>
      <c r="D65" s="556" t="e">
        <f t="shared" si="1"/>
        <v>#NUM!</v>
      </c>
      <c r="E65" s="556" t="e">
        <f t="shared" si="2"/>
        <v>#NUM!</v>
      </c>
      <c r="G65" s="556" t="e">
        <f t="shared" si="3"/>
        <v>#NUM!</v>
      </c>
    </row>
    <row r="66" spans="2:7" x14ac:dyDescent="0.3">
      <c r="B66" s="558">
        <v>57</v>
      </c>
      <c r="C66" s="556" t="e">
        <f t="shared" si="0"/>
        <v>#NUM!</v>
      </c>
      <c r="D66" s="556" t="e">
        <f t="shared" si="1"/>
        <v>#NUM!</v>
      </c>
      <c r="E66" s="556" t="e">
        <f t="shared" si="2"/>
        <v>#NUM!</v>
      </c>
      <c r="G66" s="556" t="e">
        <f t="shared" si="3"/>
        <v>#NUM!</v>
      </c>
    </row>
    <row r="67" spans="2:7" x14ac:dyDescent="0.3">
      <c r="B67" s="558">
        <v>58</v>
      </c>
      <c r="C67" s="556" t="e">
        <f t="shared" si="0"/>
        <v>#NUM!</v>
      </c>
      <c r="D67" s="556" t="e">
        <f t="shared" si="1"/>
        <v>#NUM!</v>
      </c>
      <c r="E67" s="556" t="e">
        <f t="shared" si="2"/>
        <v>#NUM!</v>
      </c>
      <c r="G67" s="556" t="e">
        <f t="shared" si="3"/>
        <v>#NUM!</v>
      </c>
    </row>
    <row r="68" spans="2:7" x14ac:dyDescent="0.3">
      <c r="B68" s="558">
        <v>59</v>
      </c>
      <c r="C68" s="556" t="e">
        <f t="shared" si="0"/>
        <v>#NUM!</v>
      </c>
      <c r="D68" s="556" t="e">
        <f t="shared" si="1"/>
        <v>#NUM!</v>
      </c>
      <c r="E68" s="556" t="e">
        <f t="shared" si="2"/>
        <v>#NUM!</v>
      </c>
      <c r="G68" s="556" t="e">
        <f t="shared" si="3"/>
        <v>#NUM!</v>
      </c>
    </row>
    <row r="69" spans="2:7" x14ac:dyDescent="0.3">
      <c r="B69" s="558">
        <v>60</v>
      </c>
      <c r="C69" s="556" t="e">
        <f t="shared" si="0"/>
        <v>#NUM!</v>
      </c>
      <c r="D69" s="556" t="e">
        <f t="shared" si="1"/>
        <v>#NUM!</v>
      </c>
      <c r="E69" s="556" t="e">
        <f t="shared" si="2"/>
        <v>#NUM!</v>
      </c>
      <c r="G69" s="556" t="e">
        <f t="shared" si="3"/>
        <v>#NUM!</v>
      </c>
    </row>
    <row r="70" spans="2:7" x14ac:dyDescent="0.3">
      <c r="B70" s="558">
        <v>61</v>
      </c>
      <c r="C70" s="556" t="e">
        <f t="shared" si="0"/>
        <v>#NUM!</v>
      </c>
      <c r="D70" s="556" t="e">
        <f t="shared" si="1"/>
        <v>#NUM!</v>
      </c>
      <c r="E70" s="556" t="e">
        <f t="shared" si="2"/>
        <v>#NUM!</v>
      </c>
      <c r="G70" s="556" t="e">
        <f t="shared" si="3"/>
        <v>#NUM!</v>
      </c>
    </row>
    <row r="71" spans="2:7" x14ac:dyDescent="0.3">
      <c r="B71" s="558">
        <v>62</v>
      </c>
      <c r="C71" s="556" t="e">
        <f t="shared" si="0"/>
        <v>#NUM!</v>
      </c>
      <c r="D71" s="556" t="e">
        <f t="shared" si="1"/>
        <v>#NUM!</v>
      </c>
      <c r="E71" s="556" t="e">
        <f t="shared" si="2"/>
        <v>#NUM!</v>
      </c>
      <c r="G71" s="556" t="e">
        <f t="shared" si="3"/>
        <v>#NUM!</v>
      </c>
    </row>
    <row r="72" spans="2:7" x14ac:dyDescent="0.3">
      <c r="B72" s="558">
        <v>63</v>
      </c>
      <c r="C72" s="556" t="e">
        <f t="shared" si="0"/>
        <v>#NUM!</v>
      </c>
      <c r="D72" s="556" t="e">
        <f t="shared" si="1"/>
        <v>#NUM!</v>
      </c>
      <c r="E72" s="556" t="e">
        <f t="shared" si="2"/>
        <v>#NUM!</v>
      </c>
      <c r="G72" s="556" t="e">
        <f t="shared" si="3"/>
        <v>#NUM!</v>
      </c>
    </row>
    <row r="73" spans="2:7" x14ac:dyDescent="0.3">
      <c r="B73" s="558">
        <v>64</v>
      </c>
      <c r="C73" s="556" t="e">
        <f t="shared" si="0"/>
        <v>#NUM!</v>
      </c>
      <c r="D73" s="556" t="e">
        <f t="shared" si="1"/>
        <v>#NUM!</v>
      </c>
      <c r="E73" s="556" t="e">
        <f t="shared" si="2"/>
        <v>#NUM!</v>
      </c>
      <c r="G73" s="556" t="e">
        <f t="shared" si="3"/>
        <v>#NUM!</v>
      </c>
    </row>
    <row r="74" spans="2:7" x14ac:dyDescent="0.3">
      <c r="B74" s="558">
        <v>65</v>
      </c>
      <c r="C74" s="556" t="e">
        <f t="shared" ref="C74:C137" si="4">IF($C$3&lt;G74+(G74*($C$4/$C$6)),$C$3,G74+(G74*($C$4/$C$6)))</f>
        <v>#NUM!</v>
      </c>
      <c r="D74" s="556" t="e">
        <f t="shared" ref="D74:D137" si="5">G74*$C$4/$C$6</f>
        <v>#NUM!</v>
      </c>
      <c r="E74" s="556" t="e">
        <f t="shared" ref="E74:E137" si="6">C74-D74</f>
        <v>#NUM!</v>
      </c>
      <c r="G74" s="556" t="e">
        <f t="shared" si="3"/>
        <v>#NUM!</v>
      </c>
    </row>
    <row r="75" spans="2:7" x14ac:dyDescent="0.3">
      <c r="B75" s="558">
        <v>66</v>
      </c>
      <c r="C75" s="556" t="e">
        <f t="shared" si="4"/>
        <v>#NUM!</v>
      </c>
      <c r="D75" s="556" t="e">
        <f t="shared" si="5"/>
        <v>#NUM!</v>
      </c>
      <c r="E75" s="556" t="e">
        <f t="shared" si="6"/>
        <v>#NUM!</v>
      </c>
      <c r="G75" s="556" t="e">
        <f t="shared" ref="G75:G138" si="7">G74-E74-F74</f>
        <v>#NUM!</v>
      </c>
    </row>
    <row r="76" spans="2:7" x14ac:dyDescent="0.3">
      <c r="B76" s="558">
        <v>67</v>
      </c>
      <c r="C76" s="556" t="e">
        <f t="shared" si="4"/>
        <v>#NUM!</v>
      </c>
      <c r="D76" s="556" t="e">
        <f t="shared" si="5"/>
        <v>#NUM!</v>
      </c>
      <c r="E76" s="556" t="e">
        <f t="shared" si="6"/>
        <v>#NUM!</v>
      </c>
      <c r="G76" s="556" t="e">
        <f t="shared" si="7"/>
        <v>#NUM!</v>
      </c>
    </row>
    <row r="77" spans="2:7" x14ac:dyDescent="0.3">
      <c r="B77" s="558">
        <v>68</v>
      </c>
      <c r="C77" s="556" t="e">
        <f t="shared" si="4"/>
        <v>#NUM!</v>
      </c>
      <c r="D77" s="556" t="e">
        <f t="shared" si="5"/>
        <v>#NUM!</v>
      </c>
      <c r="E77" s="556" t="e">
        <f t="shared" si="6"/>
        <v>#NUM!</v>
      </c>
      <c r="G77" s="556" t="e">
        <f t="shared" si="7"/>
        <v>#NUM!</v>
      </c>
    </row>
    <row r="78" spans="2:7" x14ac:dyDescent="0.3">
      <c r="B78" s="558">
        <v>69</v>
      </c>
      <c r="C78" s="556" t="e">
        <f t="shared" si="4"/>
        <v>#NUM!</v>
      </c>
      <c r="D78" s="556" t="e">
        <f t="shared" si="5"/>
        <v>#NUM!</v>
      </c>
      <c r="E78" s="556" t="e">
        <f t="shared" si="6"/>
        <v>#NUM!</v>
      </c>
      <c r="G78" s="556" t="e">
        <f t="shared" si="7"/>
        <v>#NUM!</v>
      </c>
    </row>
    <row r="79" spans="2:7" x14ac:dyDescent="0.3">
      <c r="B79" s="558">
        <v>70</v>
      </c>
      <c r="C79" s="556" t="e">
        <f t="shared" si="4"/>
        <v>#NUM!</v>
      </c>
      <c r="D79" s="556" t="e">
        <f t="shared" si="5"/>
        <v>#NUM!</v>
      </c>
      <c r="E79" s="556" t="e">
        <f t="shared" si="6"/>
        <v>#NUM!</v>
      </c>
      <c r="G79" s="556" t="e">
        <f t="shared" si="7"/>
        <v>#NUM!</v>
      </c>
    </row>
    <row r="80" spans="2:7" x14ac:dyDescent="0.3">
      <c r="B80" s="558">
        <v>71</v>
      </c>
      <c r="C80" s="556" t="e">
        <f t="shared" si="4"/>
        <v>#NUM!</v>
      </c>
      <c r="D80" s="556" t="e">
        <f t="shared" si="5"/>
        <v>#NUM!</v>
      </c>
      <c r="E80" s="556" t="e">
        <f t="shared" si="6"/>
        <v>#NUM!</v>
      </c>
      <c r="G80" s="556" t="e">
        <f t="shared" si="7"/>
        <v>#NUM!</v>
      </c>
    </row>
    <row r="81" spans="2:7" x14ac:dyDescent="0.3">
      <c r="B81" s="558">
        <v>72</v>
      </c>
      <c r="C81" s="556" t="e">
        <f t="shared" si="4"/>
        <v>#NUM!</v>
      </c>
      <c r="D81" s="556" t="e">
        <f t="shared" si="5"/>
        <v>#NUM!</v>
      </c>
      <c r="E81" s="556" t="e">
        <f t="shared" si="6"/>
        <v>#NUM!</v>
      </c>
      <c r="G81" s="556" t="e">
        <f t="shared" si="7"/>
        <v>#NUM!</v>
      </c>
    </row>
    <row r="82" spans="2:7" x14ac:dyDescent="0.3">
      <c r="B82" s="558">
        <v>73</v>
      </c>
      <c r="C82" s="556" t="e">
        <f t="shared" si="4"/>
        <v>#NUM!</v>
      </c>
      <c r="D82" s="556" t="e">
        <f t="shared" si="5"/>
        <v>#NUM!</v>
      </c>
      <c r="E82" s="556" t="e">
        <f t="shared" si="6"/>
        <v>#NUM!</v>
      </c>
      <c r="G82" s="556" t="e">
        <f t="shared" si="7"/>
        <v>#NUM!</v>
      </c>
    </row>
    <row r="83" spans="2:7" x14ac:dyDescent="0.3">
      <c r="B83" s="558">
        <v>74</v>
      </c>
      <c r="C83" s="556" t="e">
        <f t="shared" si="4"/>
        <v>#NUM!</v>
      </c>
      <c r="D83" s="556" t="e">
        <f t="shared" si="5"/>
        <v>#NUM!</v>
      </c>
      <c r="E83" s="556" t="e">
        <f t="shared" si="6"/>
        <v>#NUM!</v>
      </c>
      <c r="G83" s="556" t="e">
        <f t="shared" si="7"/>
        <v>#NUM!</v>
      </c>
    </row>
    <row r="84" spans="2:7" x14ac:dyDescent="0.3">
      <c r="B84" s="558">
        <v>75</v>
      </c>
      <c r="C84" s="556" t="e">
        <f t="shared" si="4"/>
        <v>#NUM!</v>
      </c>
      <c r="D84" s="556" t="e">
        <f t="shared" si="5"/>
        <v>#NUM!</v>
      </c>
      <c r="E84" s="556" t="e">
        <f t="shared" si="6"/>
        <v>#NUM!</v>
      </c>
      <c r="G84" s="556" t="e">
        <f t="shared" si="7"/>
        <v>#NUM!</v>
      </c>
    </row>
    <row r="85" spans="2:7" x14ac:dyDescent="0.3">
      <c r="B85" s="558">
        <v>76</v>
      </c>
      <c r="C85" s="556" t="e">
        <f t="shared" si="4"/>
        <v>#NUM!</v>
      </c>
      <c r="D85" s="556" t="e">
        <f t="shared" si="5"/>
        <v>#NUM!</v>
      </c>
      <c r="E85" s="556" t="e">
        <f t="shared" si="6"/>
        <v>#NUM!</v>
      </c>
      <c r="G85" s="556" t="e">
        <f t="shared" si="7"/>
        <v>#NUM!</v>
      </c>
    </row>
    <row r="86" spans="2:7" x14ac:dyDescent="0.3">
      <c r="B86" s="558">
        <v>77</v>
      </c>
      <c r="C86" s="556" t="e">
        <f t="shared" si="4"/>
        <v>#NUM!</v>
      </c>
      <c r="D86" s="556" t="e">
        <f t="shared" si="5"/>
        <v>#NUM!</v>
      </c>
      <c r="E86" s="556" t="e">
        <f t="shared" si="6"/>
        <v>#NUM!</v>
      </c>
      <c r="G86" s="556" t="e">
        <f t="shared" si="7"/>
        <v>#NUM!</v>
      </c>
    </row>
    <row r="87" spans="2:7" x14ac:dyDescent="0.3">
      <c r="B87" s="558">
        <v>78</v>
      </c>
      <c r="C87" s="556" t="e">
        <f t="shared" si="4"/>
        <v>#NUM!</v>
      </c>
      <c r="D87" s="556" t="e">
        <f t="shared" si="5"/>
        <v>#NUM!</v>
      </c>
      <c r="E87" s="556" t="e">
        <f t="shared" si="6"/>
        <v>#NUM!</v>
      </c>
      <c r="G87" s="556" t="e">
        <f t="shared" si="7"/>
        <v>#NUM!</v>
      </c>
    </row>
    <row r="88" spans="2:7" x14ac:dyDescent="0.3">
      <c r="B88" s="558">
        <v>79</v>
      </c>
      <c r="C88" s="556" t="e">
        <f t="shared" si="4"/>
        <v>#NUM!</v>
      </c>
      <c r="D88" s="556" t="e">
        <f t="shared" si="5"/>
        <v>#NUM!</v>
      </c>
      <c r="E88" s="556" t="e">
        <f t="shared" si="6"/>
        <v>#NUM!</v>
      </c>
      <c r="G88" s="556" t="e">
        <f t="shared" si="7"/>
        <v>#NUM!</v>
      </c>
    </row>
    <row r="89" spans="2:7" x14ac:dyDescent="0.3">
      <c r="B89" s="558">
        <v>80</v>
      </c>
      <c r="C89" s="556" t="e">
        <f t="shared" si="4"/>
        <v>#NUM!</v>
      </c>
      <c r="D89" s="556" t="e">
        <f t="shared" si="5"/>
        <v>#NUM!</v>
      </c>
      <c r="E89" s="556" t="e">
        <f t="shared" si="6"/>
        <v>#NUM!</v>
      </c>
      <c r="G89" s="556" t="e">
        <f t="shared" si="7"/>
        <v>#NUM!</v>
      </c>
    </row>
    <row r="90" spans="2:7" x14ac:dyDescent="0.3">
      <c r="B90" s="558">
        <v>81</v>
      </c>
      <c r="C90" s="556" t="e">
        <f t="shared" si="4"/>
        <v>#NUM!</v>
      </c>
      <c r="D90" s="556" t="e">
        <f t="shared" si="5"/>
        <v>#NUM!</v>
      </c>
      <c r="E90" s="556" t="e">
        <f t="shared" si="6"/>
        <v>#NUM!</v>
      </c>
      <c r="G90" s="556" t="e">
        <f t="shared" si="7"/>
        <v>#NUM!</v>
      </c>
    </row>
    <row r="91" spans="2:7" x14ac:dyDescent="0.3">
      <c r="B91" s="558">
        <v>82</v>
      </c>
      <c r="C91" s="556" t="e">
        <f t="shared" si="4"/>
        <v>#NUM!</v>
      </c>
      <c r="D91" s="556" t="e">
        <f t="shared" si="5"/>
        <v>#NUM!</v>
      </c>
      <c r="E91" s="556" t="e">
        <f t="shared" si="6"/>
        <v>#NUM!</v>
      </c>
      <c r="G91" s="556" t="e">
        <f t="shared" si="7"/>
        <v>#NUM!</v>
      </c>
    </row>
    <row r="92" spans="2:7" x14ac:dyDescent="0.3">
      <c r="B92" s="558">
        <v>83</v>
      </c>
      <c r="C92" s="556" t="e">
        <f t="shared" si="4"/>
        <v>#NUM!</v>
      </c>
      <c r="D92" s="556" t="e">
        <f t="shared" si="5"/>
        <v>#NUM!</v>
      </c>
      <c r="E92" s="556" t="e">
        <f t="shared" si="6"/>
        <v>#NUM!</v>
      </c>
      <c r="G92" s="556" t="e">
        <f t="shared" si="7"/>
        <v>#NUM!</v>
      </c>
    </row>
    <row r="93" spans="2:7" x14ac:dyDescent="0.3">
      <c r="B93" s="558">
        <v>84</v>
      </c>
      <c r="C93" s="556" t="e">
        <f t="shared" si="4"/>
        <v>#NUM!</v>
      </c>
      <c r="D93" s="556" t="e">
        <f t="shared" si="5"/>
        <v>#NUM!</v>
      </c>
      <c r="E93" s="556" t="e">
        <f t="shared" si="6"/>
        <v>#NUM!</v>
      </c>
      <c r="G93" s="556" t="e">
        <f t="shared" si="7"/>
        <v>#NUM!</v>
      </c>
    </row>
    <row r="94" spans="2:7" x14ac:dyDescent="0.3">
      <c r="B94" s="558">
        <v>85</v>
      </c>
      <c r="C94" s="556" t="e">
        <f t="shared" si="4"/>
        <v>#NUM!</v>
      </c>
      <c r="D94" s="556" t="e">
        <f t="shared" si="5"/>
        <v>#NUM!</v>
      </c>
      <c r="E94" s="556" t="e">
        <f t="shared" si="6"/>
        <v>#NUM!</v>
      </c>
      <c r="G94" s="556" t="e">
        <f t="shared" si="7"/>
        <v>#NUM!</v>
      </c>
    </row>
    <row r="95" spans="2:7" x14ac:dyDescent="0.3">
      <c r="B95" s="558">
        <v>86</v>
      </c>
      <c r="C95" s="556" t="e">
        <f t="shared" si="4"/>
        <v>#NUM!</v>
      </c>
      <c r="D95" s="556" t="e">
        <f t="shared" si="5"/>
        <v>#NUM!</v>
      </c>
      <c r="E95" s="556" t="e">
        <f t="shared" si="6"/>
        <v>#NUM!</v>
      </c>
      <c r="G95" s="556" t="e">
        <f t="shared" si="7"/>
        <v>#NUM!</v>
      </c>
    </row>
    <row r="96" spans="2:7" x14ac:dyDescent="0.3">
      <c r="B96" s="558">
        <v>87</v>
      </c>
      <c r="C96" s="556" t="e">
        <f t="shared" si="4"/>
        <v>#NUM!</v>
      </c>
      <c r="D96" s="556" t="e">
        <f t="shared" si="5"/>
        <v>#NUM!</v>
      </c>
      <c r="E96" s="556" t="e">
        <f t="shared" si="6"/>
        <v>#NUM!</v>
      </c>
      <c r="G96" s="556" t="e">
        <f t="shared" si="7"/>
        <v>#NUM!</v>
      </c>
    </row>
    <row r="97" spans="2:7" x14ac:dyDescent="0.3">
      <c r="B97" s="558">
        <v>88</v>
      </c>
      <c r="C97" s="556" t="e">
        <f t="shared" si="4"/>
        <v>#NUM!</v>
      </c>
      <c r="D97" s="556" t="e">
        <f t="shared" si="5"/>
        <v>#NUM!</v>
      </c>
      <c r="E97" s="556" t="e">
        <f t="shared" si="6"/>
        <v>#NUM!</v>
      </c>
      <c r="G97" s="556" t="e">
        <f t="shared" si="7"/>
        <v>#NUM!</v>
      </c>
    </row>
    <row r="98" spans="2:7" x14ac:dyDescent="0.3">
      <c r="B98" s="558">
        <v>89</v>
      </c>
      <c r="C98" s="556" t="e">
        <f t="shared" si="4"/>
        <v>#NUM!</v>
      </c>
      <c r="D98" s="556" t="e">
        <f t="shared" si="5"/>
        <v>#NUM!</v>
      </c>
      <c r="E98" s="556" t="e">
        <f t="shared" si="6"/>
        <v>#NUM!</v>
      </c>
      <c r="G98" s="556" t="e">
        <f t="shared" si="7"/>
        <v>#NUM!</v>
      </c>
    </row>
    <row r="99" spans="2:7" x14ac:dyDescent="0.3">
      <c r="B99" s="558">
        <v>90</v>
      </c>
      <c r="C99" s="556" t="e">
        <f t="shared" si="4"/>
        <v>#NUM!</v>
      </c>
      <c r="D99" s="556" t="e">
        <f t="shared" si="5"/>
        <v>#NUM!</v>
      </c>
      <c r="E99" s="556" t="e">
        <f t="shared" si="6"/>
        <v>#NUM!</v>
      </c>
      <c r="G99" s="556" t="e">
        <f t="shared" si="7"/>
        <v>#NUM!</v>
      </c>
    </row>
    <row r="100" spans="2:7" x14ac:dyDescent="0.3">
      <c r="B100" s="558">
        <v>91</v>
      </c>
      <c r="C100" s="556" t="e">
        <f t="shared" si="4"/>
        <v>#NUM!</v>
      </c>
      <c r="D100" s="556" t="e">
        <f t="shared" si="5"/>
        <v>#NUM!</v>
      </c>
      <c r="E100" s="556" t="e">
        <f t="shared" si="6"/>
        <v>#NUM!</v>
      </c>
      <c r="G100" s="556" t="e">
        <f t="shared" si="7"/>
        <v>#NUM!</v>
      </c>
    </row>
    <row r="101" spans="2:7" x14ac:dyDescent="0.3">
      <c r="B101" s="558">
        <v>92</v>
      </c>
      <c r="C101" s="556" t="e">
        <f t="shared" si="4"/>
        <v>#NUM!</v>
      </c>
      <c r="D101" s="556" t="e">
        <f t="shared" si="5"/>
        <v>#NUM!</v>
      </c>
      <c r="E101" s="556" t="e">
        <f t="shared" si="6"/>
        <v>#NUM!</v>
      </c>
      <c r="G101" s="556" t="e">
        <f t="shared" si="7"/>
        <v>#NUM!</v>
      </c>
    </row>
    <row r="102" spans="2:7" x14ac:dyDescent="0.3">
      <c r="B102" s="558">
        <v>93</v>
      </c>
      <c r="C102" s="556" t="e">
        <f t="shared" si="4"/>
        <v>#NUM!</v>
      </c>
      <c r="D102" s="556" t="e">
        <f t="shared" si="5"/>
        <v>#NUM!</v>
      </c>
      <c r="E102" s="556" t="e">
        <f t="shared" si="6"/>
        <v>#NUM!</v>
      </c>
      <c r="G102" s="556" t="e">
        <f t="shared" si="7"/>
        <v>#NUM!</v>
      </c>
    </row>
    <row r="103" spans="2:7" x14ac:dyDescent="0.3">
      <c r="B103" s="558">
        <v>94</v>
      </c>
      <c r="C103" s="556" t="e">
        <f t="shared" si="4"/>
        <v>#NUM!</v>
      </c>
      <c r="D103" s="556" t="e">
        <f t="shared" si="5"/>
        <v>#NUM!</v>
      </c>
      <c r="E103" s="556" t="e">
        <f t="shared" si="6"/>
        <v>#NUM!</v>
      </c>
      <c r="G103" s="556" t="e">
        <f t="shared" si="7"/>
        <v>#NUM!</v>
      </c>
    </row>
    <row r="104" spans="2:7" x14ac:dyDescent="0.3">
      <c r="B104" s="558">
        <v>95</v>
      </c>
      <c r="C104" s="556" t="e">
        <f t="shared" si="4"/>
        <v>#NUM!</v>
      </c>
      <c r="D104" s="556" t="e">
        <f t="shared" si="5"/>
        <v>#NUM!</v>
      </c>
      <c r="E104" s="556" t="e">
        <f t="shared" si="6"/>
        <v>#NUM!</v>
      </c>
      <c r="G104" s="556" t="e">
        <f t="shared" si="7"/>
        <v>#NUM!</v>
      </c>
    </row>
    <row r="105" spans="2:7" x14ac:dyDescent="0.3">
      <c r="B105" s="558">
        <v>96</v>
      </c>
      <c r="C105" s="556" t="e">
        <f t="shared" si="4"/>
        <v>#NUM!</v>
      </c>
      <c r="D105" s="556" t="e">
        <f t="shared" si="5"/>
        <v>#NUM!</v>
      </c>
      <c r="E105" s="556" t="e">
        <f t="shared" si="6"/>
        <v>#NUM!</v>
      </c>
      <c r="G105" s="556" t="e">
        <f t="shared" si="7"/>
        <v>#NUM!</v>
      </c>
    </row>
    <row r="106" spans="2:7" x14ac:dyDescent="0.3">
      <c r="B106" s="558">
        <v>97</v>
      </c>
      <c r="C106" s="556" t="e">
        <f t="shared" si="4"/>
        <v>#NUM!</v>
      </c>
      <c r="D106" s="556" t="e">
        <f t="shared" si="5"/>
        <v>#NUM!</v>
      </c>
      <c r="E106" s="556" t="e">
        <f t="shared" si="6"/>
        <v>#NUM!</v>
      </c>
      <c r="G106" s="556" t="e">
        <f t="shared" si="7"/>
        <v>#NUM!</v>
      </c>
    </row>
    <row r="107" spans="2:7" x14ac:dyDescent="0.3">
      <c r="B107" s="558">
        <v>98</v>
      </c>
      <c r="C107" s="556" t="e">
        <f t="shared" si="4"/>
        <v>#NUM!</v>
      </c>
      <c r="D107" s="556" t="e">
        <f t="shared" si="5"/>
        <v>#NUM!</v>
      </c>
      <c r="E107" s="556" t="e">
        <f t="shared" si="6"/>
        <v>#NUM!</v>
      </c>
      <c r="G107" s="556" t="e">
        <f t="shared" si="7"/>
        <v>#NUM!</v>
      </c>
    </row>
    <row r="108" spans="2:7" x14ac:dyDescent="0.3">
      <c r="B108" s="558">
        <v>99</v>
      </c>
      <c r="C108" s="556" t="e">
        <f t="shared" si="4"/>
        <v>#NUM!</v>
      </c>
      <c r="D108" s="556" t="e">
        <f t="shared" si="5"/>
        <v>#NUM!</v>
      </c>
      <c r="E108" s="556" t="e">
        <f t="shared" si="6"/>
        <v>#NUM!</v>
      </c>
      <c r="G108" s="556" t="e">
        <f t="shared" si="7"/>
        <v>#NUM!</v>
      </c>
    </row>
    <row r="109" spans="2:7" x14ac:dyDescent="0.3">
      <c r="B109" s="558">
        <v>100</v>
      </c>
      <c r="C109" s="556" t="e">
        <f t="shared" si="4"/>
        <v>#NUM!</v>
      </c>
      <c r="D109" s="556" t="e">
        <f t="shared" si="5"/>
        <v>#NUM!</v>
      </c>
      <c r="E109" s="556" t="e">
        <f t="shared" si="6"/>
        <v>#NUM!</v>
      </c>
      <c r="G109" s="556" t="e">
        <f t="shared" si="7"/>
        <v>#NUM!</v>
      </c>
    </row>
    <row r="110" spans="2:7" x14ac:dyDescent="0.3">
      <c r="B110" s="558">
        <v>101</v>
      </c>
      <c r="C110" s="556" t="e">
        <f t="shared" si="4"/>
        <v>#NUM!</v>
      </c>
      <c r="D110" s="556" t="e">
        <f t="shared" si="5"/>
        <v>#NUM!</v>
      </c>
      <c r="E110" s="556" t="e">
        <f t="shared" si="6"/>
        <v>#NUM!</v>
      </c>
      <c r="G110" s="556" t="e">
        <f t="shared" si="7"/>
        <v>#NUM!</v>
      </c>
    </row>
    <row r="111" spans="2:7" x14ac:dyDescent="0.3">
      <c r="B111" s="558">
        <v>102</v>
      </c>
      <c r="C111" s="556" t="e">
        <f t="shared" si="4"/>
        <v>#NUM!</v>
      </c>
      <c r="D111" s="556" t="e">
        <f t="shared" si="5"/>
        <v>#NUM!</v>
      </c>
      <c r="E111" s="556" t="e">
        <f t="shared" si="6"/>
        <v>#NUM!</v>
      </c>
      <c r="G111" s="556" t="e">
        <f t="shared" si="7"/>
        <v>#NUM!</v>
      </c>
    </row>
    <row r="112" spans="2:7" x14ac:dyDescent="0.3">
      <c r="B112" s="558">
        <v>103</v>
      </c>
      <c r="C112" s="556" t="e">
        <f t="shared" si="4"/>
        <v>#NUM!</v>
      </c>
      <c r="D112" s="556" t="e">
        <f t="shared" si="5"/>
        <v>#NUM!</v>
      </c>
      <c r="E112" s="556" t="e">
        <f t="shared" si="6"/>
        <v>#NUM!</v>
      </c>
      <c r="G112" s="556" t="e">
        <f t="shared" si="7"/>
        <v>#NUM!</v>
      </c>
    </row>
    <row r="113" spans="2:7" x14ac:dyDescent="0.3">
      <c r="B113" s="558">
        <v>104</v>
      </c>
      <c r="C113" s="556" t="e">
        <f t="shared" si="4"/>
        <v>#NUM!</v>
      </c>
      <c r="D113" s="556" t="e">
        <f t="shared" si="5"/>
        <v>#NUM!</v>
      </c>
      <c r="E113" s="556" t="e">
        <f t="shared" si="6"/>
        <v>#NUM!</v>
      </c>
      <c r="G113" s="556" t="e">
        <f t="shared" si="7"/>
        <v>#NUM!</v>
      </c>
    </row>
    <row r="114" spans="2:7" x14ac:dyDescent="0.3">
      <c r="B114" s="558">
        <v>105</v>
      </c>
      <c r="C114" s="556" t="e">
        <f t="shared" si="4"/>
        <v>#NUM!</v>
      </c>
      <c r="D114" s="556" t="e">
        <f t="shared" si="5"/>
        <v>#NUM!</v>
      </c>
      <c r="E114" s="556" t="e">
        <f t="shared" si="6"/>
        <v>#NUM!</v>
      </c>
      <c r="G114" s="556" t="e">
        <f t="shared" si="7"/>
        <v>#NUM!</v>
      </c>
    </row>
    <row r="115" spans="2:7" x14ac:dyDescent="0.3">
      <c r="B115" s="558">
        <v>106</v>
      </c>
      <c r="C115" s="556" t="e">
        <f t="shared" si="4"/>
        <v>#NUM!</v>
      </c>
      <c r="D115" s="556" t="e">
        <f t="shared" si="5"/>
        <v>#NUM!</v>
      </c>
      <c r="E115" s="556" t="e">
        <f t="shared" si="6"/>
        <v>#NUM!</v>
      </c>
      <c r="G115" s="556" t="e">
        <f t="shared" si="7"/>
        <v>#NUM!</v>
      </c>
    </row>
    <row r="116" spans="2:7" x14ac:dyDescent="0.3">
      <c r="B116" s="558">
        <v>107</v>
      </c>
      <c r="C116" s="556" t="e">
        <f t="shared" si="4"/>
        <v>#NUM!</v>
      </c>
      <c r="D116" s="556" t="e">
        <f t="shared" si="5"/>
        <v>#NUM!</v>
      </c>
      <c r="E116" s="556" t="e">
        <f t="shared" si="6"/>
        <v>#NUM!</v>
      </c>
      <c r="G116" s="556" t="e">
        <f t="shared" si="7"/>
        <v>#NUM!</v>
      </c>
    </row>
    <row r="117" spans="2:7" x14ac:dyDescent="0.3">
      <c r="B117" s="558">
        <v>108</v>
      </c>
      <c r="C117" s="556" t="e">
        <f t="shared" si="4"/>
        <v>#NUM!</v>
      </c>
      <c r="D117" s="556" t="e">
        <f t="shared" si="5"/>
        <v>#NUM!</v>
      </c>
      <c r="E117" s="556" t="e">
        <f t="shared" si="6"/>
        <v>#NUM!</v>
      </c>
      <c r="G117" s="556" t="e">
        <f t="shared" si="7"/>
        <v>#NUM!</v>
      </c>
    </row>
    <row r="118" spans="2:7" x14ac:dyDescent="0.3">
      <c r="B118" s="558">
        <v>109</v>
      </c>
      <c r="C118" s="556" t="e">
        <f t="shared" si="4"/>
        <v>#NUM!</v>
      </c>
      <c r="D118" s="556" t="e">
        <f t="shared" si="5"/>
        <v>#NUM!</v>
      </c>
      <c r="E118" s="556" t="e">
        <f t="shared" si="6"/>
        <v>#NUM!</v>
      </c>
      <c r="G118" s="556" t="e">
        <f t="shared" si="7"/>
        <v>#NUM!</v>
      </c>
    </row>
    <row r="119" spans="2:7" x14ac:dyDescent="0.3">
      <c r="B119" s="558">
        <v>110</v>
      </c>
      <c r="C119" s="556" t="e">
        <f t="shared" si="4"/>
        <v>#NUM!</v>
      </c>
      <c r="D119" s="556" t="e">
        <f t="shared" si="5"/>
        <v>#NUM!</v>
      </c>
      <c r="E119" s="556" t="e">
        <f t="shared" si="6"/>
        <v>#NUM!</v>
      </c>
      <c r="G119" s="556" t="e">
        <f t="shared" si="7"/>
        <v>#NUM!</v>
      </c>
    </row>
    <row r="120" spans="2:7" x14ac:dyDescent="0.3">
      <c r="B120" s="558">
        <v>111</v>
      </c>
      <c r="C120" s="556" t="e">
        <f t="shared" si="4"/>
        <v>#NUM!</v>
      </c>
      <c r="D120" s="556" t="e">
        <f t="shared" si="5"/>
        <v>#NUM!</v>
      </c>
      <c r="E120" s="556" t="e">
        <f t="shared" si="6"/>
        <v>#NUM!</v>
      </c>
      <c r="G120" s="556" t="e">
        <f t="shared" si="7"/>
        <v>#NUM!</v>
      </c>
    </row>
    <row r="121" spans="2:7" x14ac:dyDescent="0.3">
      <c r="B121" s="558">
        <v>112</v>
      </c>
      <c r="C121" s="556" t="e">
        <f t="shared" si="4"/>
        <v>#NUM!</v>
      </c>
      <c r="D121" s="556" t="e">
        <f t="shared" si="5"/>
        <v>#NUM!</v>
      </c>
      <c r="E121" s="556" t="e">
        <f t="shared" si="6"/>
        <v>#NUM!</v>
      </c>
      <c r="G121" s="556" t="e">
        <f t="shared" si="7"/>
        <v>#NUM!</v>
      </c>
    </row>
    <row r="122" spans="2:7" x14ac:dyDescent="0.3">
      <c r="B122" s="558">
        <v>113</v>
      </c>
      <c r="C122" s="556" t="e">
        <f t="shared" si="4"/>
        <v>#NUM!</v>
      </c>
      <c r="D122" s="556" t="e">
        <f t="shared" si="5"/>
        <v>#NUM!</v>
      </c>
      <c r="E122" s="556" t="e">
        <f t="shared" si="6"/>
        <v>#NUM!</v>
      </c>
      <c r="G122" s="556" t="e">
        <f t="shared" si="7"/>
        <v>#NUM!</v>
      </c>
    </row>
    <row r="123" spans="2:7" x14ac:dyDescent="0.3">
      <c r="B123" s="558">
        <v>114</v>
      </c>
      <c r="C123" s="556" t="e">
        <f t="shared" si="4"/>
        <v>#NUM!</v>
      </c>
      <c r="D123" s="556" t="e">
        <f t="shared" si="5"/>
        <v>#NUM!</v>
      </c>
      <c r="E123" s="556" t="e">
        <f t="shared" si="6"/>
        <v>#NUM!</v>
      </c>
      <c r="G123" s="556" t="e">
        <f t="shared" si="7"/>
        <v>#NUM!</v>
      </c>
    </row>
    <row r="124" spans="2:7" x14ac:dyDescent="0.3">
      <c r="B124" s="558">
        <v>115</v>
      </c>
      <c r="C124" s="556" t="e">
        <f t="shared" si="4"/>
        <v>#NUM!</v>
      </c>
      <c r="D124" s="556" t="e">
        <f t="shared" si="5"/>
        <v>#NUM!</v>
      </c>
      <c r="E124" s="556" t="e">
        <f t="shared" si="6"/>
        <v>#NUM!</v>
      </c>
      <c r="G124" s="556" t="e">
        <f t="shared" si="7"/>
        <v>#NUM!</v>
      </c>
    </row>
    <row r="125" spans="2:7" x14ac:dyDescent="0.3">
      <c r="B125" s="558">
        <v>116</v>
      </c>
      <c r="C125" s="556" t="e">
        <f t="shared" si="4"/>
        <v>#NUM!</v>
      </c>
      <c r="D125" s="556" t="e">
        <f t="shared" si="5"/>
        <v>#NUM!</v>
      </c>
      <c r="E125" s="556" t="e">
        <f t="shared" si="6"/>
        <v>#NUM!</v>
      </c>
      <c r="G125" s="556" t="e">
        <f t="shared" si="7"/>
        <v>#NUM!</v>
      </c>
    </row>
    <row r="126" spans="2:7" x14ac:dyDescent="0.3">
      <c r="B126" s="558">
        <v>117</v>
      </c>
      <c r="C126" s="556" t="e">
        <f t="shared" si="4"/>
        <v>#NUM!</v>
      </c>
      <c r="D126" s="556" t="e">
        <f t="shared" si="5"/>
        <v>#NUM!</v>
      </c>
      <c r="E126" s="556" t="e">
        <f t="shared" si="6"/>
        <v>#NUM!</v>
      </c>
      <c r="G126" s="556" t="e">
        <f t="shared" si="7"/>
        <v>#NUM!</v>
      </c>
    </row>
    <row r="127" spans="2:7" x14ac:dyDescent="0.3">
      <c r="B127" s="558">
        <v>118</v>
      </c>
      <c r="C127" s="556" t="e">
        <f t="shared" si="4"/>
        <v>#NUM!</v>
      </c>
      <c r="D127" s="556" t="e">
        <f t="shared" si="5"/>
        <v>#NUM!</v>
      </c>
      <c r="E127" s="556" t="e">
        <f t="shared" si="6"/>
        <v>#NUM!</v>
      </c>
      <c r="G127" s="556" t="e">
        <f t="shared" si="7"/>
        <v>#NUM!</v>
      </c>
    </row>
    <row r="128" spans="2:7" x14ac:dyDescent="0.3">
      <c r="B128" s="558">
        <v>119</v>
      </c>
      <c r="C128" s="556" t="e">
        <f t="shared" si="4"/>
        <v>#NUM!</v>
      </c>
      <c r="D128" s="556" t="e">
        <f t="shared" si="5"/>
        <v>#NUM!</v>
      </c>
      <c r="E128" s="556" t="e">
        <f t="shared" si="6"/>
        <v>#NUM!</v>
      </c>
      <c r="G128" s="556" t="e">
        <f t="shared" si="7"/>
        <v>#NUM!</v>
      </c>
    </row>
    <row r="129" spans="2:7" x14ac:dyDescent="0.3">
      <c r="B129" s="558">
        <v>120</v>
      </c>
      <c r="C129" s="556" t="e">
        <f t="shared" si="4"/>
        <v>#NUM!</v>
      </c>
      <c r="D129" s="556" t="e">
        <f t="shared" si="5"/>
        <v>#NUM!</v>
      </c>
      <c r="E129" s="556" t="e">
        <f t="shared" si="6"/>
        <v>#NUM!</v>
      </c>
      <c r="G129" s="556" t="e">
        <f t="shared" si="7"/>
        <v>#NUM!</v>
      </c>
    </row>
    <row r="130" spans="2:7" x14ac:dyDescent="0.3">
      <c r="B130" s="558">
        <v>121</v>
      </c>
      <c r="C130" s="556" t="e">
        <f t="shared" si="4"/>
        <v>#NUM!</v>
      </c>
      <c r="D130" s="556" t="e">
        <f t="shared" si="5"/>
        <v>#NUM!</v>
      </c>
      <c r="E130" s="556" t="e">
        <f t="shared" si="6"/>
        <v>#NUM!</v>
      </c>
      <c r="G130" s="556" t="e">
        <f t="shared" si="7"/>
        <v>#NUM!</v>
      </c>
    </row>
    <row r="131" spans="2:7" x14ac:dyDescent="0.3">
      <c r="B131" s="558">
        <v>122</v>
      </c>
      <c r="C131" s="556" t="e">
        <f t="shared" si="4"/>
        <v>#NUM!</v>
      </c>
      <c r="D131" s="556" t="e">
        <f t="shared" si="5"/>
        <v>#NUM!</v>
      </c>
      <c r="E131" s="556" t="e">
        <f t="shared" si="6"/>
        <v>#NUM!</v>
      </c>
      <c r="G131" s="556" t="e">
        <f t="shared" si="7"/>
        <v>#NUM!</v>
      </c>
    </row>
    <row r="132" spans="2:7" x14ac:dyDescent="0.3">
      <c r="B132" s="558">
        <v>123</v>
      </c>
      <c r="C132" s="556" t="e">
        <f t="shared" si="4"/>
        <v>#NUM!</v>
      </c>
      <c r="D132" s="556" t="e">
        <f t="shared" si="5"/>
        <v>#NUM!</v>
      </c>
      <c r="E132" s="556" t="e">
        <f t="shared" si="6"/>
        <v>#NUM!</v>
      </c>
      <c r="G132" s="556" t="e">
        <f t="shared" si="7"/>
        <v>#NUM!</v>
      </c>
    </row>
    <row r="133" spans="2:7" x14ac:dyDescent="0.3">
      <c r="B133" s="558">
        <v>124</v>
      </c>
      <c r="C133" s="556" t="e">
        <f t="shared" si="4"/>
        <v>#NUM!</v>
      </c>
      <c r="D133" s="556" t="e">
        <f t="shared" si="5"/>
        <v>#NUM!</v>
      </c>
      <c r="E133" s="556" t="e">
        <f t="shared" si="6"/>
        <v>#NUM!</v>
      </c>
      <c r="G133" s="556" t="e">
        <f t="shared" si="7"/>
        <v>#NUM!</v>
      </c>
    </row>
    <row r="134" spans="2:7" x14ac:dyDescent="0.3">
      <c r="B134" s="558">
        <v>125</v>
      </c>
      <c r="C134" s="556" t="e">
        <f t="shared" si="4"/>
        <v>#NUM!</v>
      </c>
      <c r="D134" s="556" t="e">
        <f t="shared" si="5"/>
        <v>#NUM!</v>
      </c>
      <c r="E134" s="556" t="e">
        <f t="shared" si="6"/>
        <v>#NUM!</v>
      </c>
      <c r="G134" s="556" t="e">
        <f t="shared" si="7"/>
        <v>#NUM!</v>
      </c>
    </row>
    <row r="135" spans="2:7" x14ac:dyDescent="0.3">
      <c r="B135" s="558">
        <v>126</v>
      </c>
      <c r="C135" s="556" t="e">
        <f t="shared" si="4"/>
        <v>#NUM!</v>
      </c>
      <c r="D135" s="556" t="e">
        <f t="shared" si="5"/>
        <v>#NUM!</v>
      </c>
      <c r="E135" s="556" t="e">
        <f t="shared" si="6"/>
        <v>#NUM!</v>
      </c>
      <c r="G135" s="556" t="e">
        <f t="shared" si="7"/>
        <v>#NUM!</v>
      </c>
    </row>
    <row r="136" spans="2:7" x14ac:dyDescent="0.3">
      <c r="B136" s="558">
        <v>127</v>
      </c>
      <c r="C136" s="556" t="e">
        <f t="shared" si="4"/>
        <v>#NUM!</v>
      </c>
      <c r="D136" s="556" t="e">
        <f t="shared" si="5"/>
        <v>#NUM!</v>
      </c>
      <c r="E136" s="556" t="e">
        <f t="shared" si="6"/>
        <v>#NUM!</v>
      </c>
      <c r="G136" s="556" t="e">
        <f t="shared" si="7"/>
        <v>#NUM!</v>
      </c>
    </row>
    <row r="137" spans="2:7" x14ac:dyDescent="0.3">
      <c r="B137" s="558">
        <v>128</v>
      </c>
      <c r="C137" s="556" t="e">
        <f t="shared" si="4"/>
        <v>#NUM!</v>
      </c>
      <c r="D137" s="556" t="e">
        <f t="shared" si="5"/>
        <v>#NUM!</v>
      </c>
      <c r="E137" s="556" t="e">
        <f t="shared" si="6"/>
        <v>#NUM!</v>
      </c>
      <c r="G137" s="556" t="e">
        <f t="shared" si="7"/>
        <v>#NUM!</v>
      </c>
    </row>
    <row r="138" spans="2:7" x14ac:dyDescent="0.3">
      <c r="B138" s="558">
        <v>129</v>
      </c>
      <c r="C138" s="556" t="e">
        <f t="shared" ref="C138:C201" si="8">IF($C$3&lt;G138+(G138*($C$4/$C$6)),$C$3,G138+(G138*($C$4/$C$6)))</f>
        <v>#NUM!</v>
      </c>
      <c r="D138" s="556" t="e">
        <f t="shared" ref="D138:D201" si="9">G138*$C$4/$C$6</f>
        <v>#NUM!</v>
      </c>
      <c r="E138" s="556" t="e">
        <f t="shared" ref="E138:E201" si="10">C138-D138</f>
        <v>#NUM!</v>
      </c>
      <c r="G138" s="556" t="e">
        <f t="shared" si="7"/>
        <v>#NUM!</v>
      </c>
    </row>
    <row r="139" spans="2:7" x14ac:dyDescent="0.3">
      <c r="B139" s="558">
        <v>130</v>
      </c>
      <c r="C139" s="556" t="e">
        <f t="shared" si="8"/>
        <v>#NUM!</v>
      </c>
      <c r="D139" s="556" t="e">
        <f t="shared" si="9"/>
        <v>#NUM!</v>
      </c>
      <c r="E139" s="556" t="e">
        <f t="shared" si="10"/>
        <v>#NUM!</v>
      </c>
      <c r="G139" s="556" t="e">
        <f t="shared" ref="G139:G202" si="11">G138-E138-F138</f>
        <v>#NUM!</v>
      </c>
    </row>
    <row r="140" spans="2:7" x14ac:dyDescent="0.3">
      <c r="B140" s="558">
        <v>131</v>
      </c>
      <c r="C140" s="556" t="e">
        <f t="shared" si="8"/>
        <v>#NUM!</v>
      </c>
      <c r="D140" s="556" t="e">
        <f t="shared" si="9"/>
        <v>#NUM!</v>
      </c>
      <c r="E140" s="556" t="e">
        <f t="shared" si="10"/>
        <v>#NUM!</v>
      </c>
      <c r="G140" s="556" t="e">
        <f t="shared" si="11"/>
        <v>#NUM!</v>
      </c>
    </row>
    <row r="141" spans="2:7" x14ac:dyDescent="0.3">
      <c r="B141" s="558">
        <v>132</v>
      </c>
      <c r="C141" s="556" t="e">
        <f t="shared" si="8"/>
        <v>#NUM!</v>
      </c>
      <c r="D141" s="556" t="e">
        <f t="shared" si="9"/>
        <v>#NUM!</v>
      </c>
      <c r="E141" s="556" t="e">
        <f t="shared" si="10"/>
        <v>#NUM!</v>
      </c>
      <c r="G141" s="556" t="e">
        <f t="shared" si="11"/>
        <v>#NUM!</v>
      </c>
    </row>
    <row r="142" spans="2:7" x14ac:dyDescent="0.3">
      <c r="B142" s="558">
        <v>133</v>
      </c>
      <c r="C142" s="556" t="e">
        <f t="shared" si="8"/>
        <v>#NUM!</v>
      </c>
      <c r="D142" s="556" t="e">
        <f t="shared" si="9"/>
        <v>#NUM!</v>
      </c>
      <c r="E142" s="556" t="e">
        <f t="shared" si="10"/>
        <v>#NUM!</v>
      </c>
      <c r="G142" s="556" t="e">
        <f t="shared" si="11"/>
        <v>#NUM!</v>
      </c>
    </row>
    <row r="143" spans="2:7" x14ac:dyDescent="0.3">
      <c r="B143" s="558">
        <v>134</v>
      </c>
      <c r="C143" s="556" t="e">
        <f t="shared" si="8"/>
        <v>#NUM!</v>
      </c>
      <c r="D143" s="556" t="e">
        <f t="shared" si="9"/>
        <v>#NUM!</v>
      </c>
      <c r="E143" s="556" t="e">
        <f t="shared" si="10"/>
        <v>#NUM!</v>
      </c>
      <c r="G143" s="556" t="e">
        <f t="shared" si="11"/>
        <v>#NUM!</v>
      </c>
    </row>
    <row r="144" spans="2:7" x14ac:dyDescent="0.3">
      <c r="B144" s="558">
        <v>135</v>
      </c>
      <c r="C144" s="556" t="e">
        <f t="shared" si="8"/>
        <v>#NUM!</v>
      </c>
      <c r="D144" s="556" t="e">
        <f t="shared" si="9"/>
        <v>#NUM!</v>
      </c>
      <c r="E144" s="556" t="e">
        <f t="shared" si="10"/>
        <v>#NUM!</v>
      </c>
      <c r="G144" s="556" t="e">
        <f t="shared" si="11"/>
        <v>#NUM!</v>
      </c>
    </row>
    <row r="145" spans="2:7" x14ac:dyDescent="0.3">
      <c r="B145" s="558">
        <v>136</v>
      </c>
      <c r="C145" s="556" t="e">
        <f t="shared" si="8"/>
        <v>#NUM!</v>
      </c>
      <c r="D145" s="556" t="e">
        <f t="shared" si="9"/>
        <v>#NUM!</v>
      </c>
      <c r="E145" s="556" t="e">
        <f t="shared" si="10"/>
        <v>#NUM!</v>
      </c>
      <c r="G145" s="556" t="e">
        <f t="shared" si="11"/>
        <v>#NUM!</v>
      </c>
    </row>
    <row r="146" spans="2:7" x14ac:dyDescent="0.3">
      <c r="B146" s="558">
        <v>137</v>
      </c>
      <c r="C146" s="556" t="e">
        <f t="shared" si="8"/>
        <v>#NUM!</v>
      </c>
      <c r="D146" s="556" t="e">
        <f t="shared" si="9"/>
        <v>#NUM!</v>
      </c>
      <c r="E146" s="556" t="e">
        <f t="shared" si="10"/>
        <v>#NUM!</v>
      </c>
      <c r="G146" s="556" t="e">
        <f t="shared" si="11"/>
        <v>#NUM!</v>
      </c>
    </row>
    <row r="147" spans="2:7" x14ac:dyDescent="0.3">
      <c r="B147" s="558">
        <v>138</v>
      </c>
      <c r="C147" s="556" t="e">
        <f t="shared" si="8"/>
        <v>#NUM!</v>
      </c>
      <c r="D147" s="556" t="e">
        <f t="shared" si="9"/>
        <v>#NUM!</v>
      </c>
      <c r="E147" s="556" t="e">
        <f t="shared" si="10"/>
        <v>#NUM!</v>
      </c>
      <c r="G147" s="556" t="e">
        <f t="shared" si="11"/>
        <v>#NUM!</v>
      </c>
    </row>
    <row r="148" spans="2:7" x14ac:dyDescent="0.3">
      <c r="B148" s="558">
        <v>139</v>
      </c>
      <c r="C148" s="556" t="e">
        <f t="shared" si="8"/>
        <v>#NUM!</v>
      </c>
      <c r="D148" s="556" t="e">
        <f t="shared" si="9"/>
        <v>#NUM!</v>
      </c>
      <c r="E148" s="556" t="e">
        <f t="shared" si="10"/>
        <v>#NUM!</v>
      </c>
      <c r="G148" s="556" t="e">
        <f t="shared" si="11"/>
        <v>#NUM!</v>
      </c>
    </row>
    <row r="149" spans="2:7" x14ac:dyDescent="0.3">
      <c r="B149" s="558">
        <v>140</v>
      </c>
      <c r="C149" s="556" t="e">
        <f t="shared" si="8"/>
        <v>#NUM!</v>
      </c>
      <c r="D149" s="556" t="e">
        <f t="shared" si="9"/>
        <v>#NUM!</v>
      </c>
      <c r="E149" s="556" t="e">
        <f t="shared" si="10"/>
        <v>#NUM!</v>
      </c>
      <c r="G149" s="556" t="e">
        <f t="shared" si="11"/>
        <v>#NUM!</v>
      </c>
    </row>
    <row r="150" spans="2:7" x14ac:dyDescent="0.3">
      <c r="B150" s="558">
        <v>141</v>
      </c>
      <c r="C150" s="556" t="e">
        <f t="shared" si="8"/>
        <v>#NUM!</v>
      </c>
      <c r="D150" s="556" t="e">
        <f t="shared" si="9"/>
        <v>#NUM!</v>
      </c>
      <c r="E150" s="556" t="e">
        <f t="shared" si="10"/>
        <v>#NUM!</v>
      </c>
      <c r="G150" s="556" t="e">
        <f t="shared" si="11"/>
        <v>#NUM!</v>
      </c>
    </row>
    <row r="151" spans="2:7" x14ac:dyDescent="0.3">
      <c r="B151" s="558">
        <v>142</v>
      </c>
      <c r="C151" s="556" t="e">
        <f t="shared" si="8"/>
        <v>#NUM!</v>
      </c>
      <c r="D151" s="556" t="e">
        <f t="shared" si="9"/>
        <v>#NUM!</v>
      </c>
      <c r="E151" s="556" t="e">
        <f t="shared" si="10"/>
        <v>#NUM!</v>
      </c>
      <c r="G151" s="556" t="e">
        <f t="shared" si="11"/>
        <v>#NUM!</v>
      </c>
    </row>
    <row r="152" spans="2:7" x14ac:dyDescent="0.3">
      <c r="B152" s="558">
        <v>143</v>
      </c>
      <c r="C152" s="556" t="e">
        <f t="shared" si="8"/>
        <v>#NUM!</v>
      </c>
      <c r="D152" s="556" t="e">
        <f t="shared" si="9"/>
        <v>#NUM!</v>
      </c>
      <c r="E152" s="556" t="e">
        <f t="shared" si="10"/>
        <v>#NUM!</v>
      </c>
      <c r="G152" s="556" t="e">
        <f t="shared" si="11"/>
        <v>#NUM!</v>
      </c>
    </row>
    <row r="153" spans="2:7" x14ac:dyDescent="0.3">
      <c r="B153" s="558">
        <v>144</v>
      </c>
      <c r="C153" s="556" t="e">
        <f t="shared" si="8"/>
        <v>#NUM!</v>
      </c>
      <c r="D153" s="556" t="e">
        <f t="shared" si="9"/>
        <v>#NUM!</v>
      </c>
      <c r="E153" s="556" t="e">
        <f t="shared" si="10"/>
        <v>#NUM!</v>
      </c>
      <c r="G153" s="556" t="e">
        <f t="shared" si="11"/>
        <v>#NUM!</v>
      </c>
    </row>
    <row r="154" spans="2:7" x14ac:dyDescent="0.3">
      <c r="B154" s="558">
        <v>145</v>
      </c>
      <c r="C154" s="556" t="e">
        <f t="shared" si="8"/>
        <v>#NUM!</v>
      </c>
      <c r="D154" s="556" t="e">
        <f t="shared" si="9"/>
        <v>#NUM!</v>
      </c>
      <c r="E154" s="556" t="e">
        <f t="shared" si="10"/>
        <v>#NUM!</v>
      </c>
      <c r="G154" s="556" t="e">
        <f t="shared" si="11"/>
        <v>#NUM!</v>
      </c>
    </row>
    <row r="155" spans="2:7" x14ac:dyDescent="0.3">
      <c r="B155" s="558">
        <v>146</v>
      </c>
      <c r="C155" s="556" t="e">
        <f t="shared" si="8"/>
        <v>#NUM!</v>
      </c>
      <c r="D155" s="556" t="e">
        <f t="shared" si="9"/>
        <v>#NUM!</v>
      </c>
      <c r="E155" s="556" t="e">
        <f t="shared" si="10"/>
        <v>#NUM!</v>
      </c>
      <c r="G155" s="556" t="e">
        <f t="shared" si="11"/>
        <v>#NUM!</v>
      </c>
    </row>
    <row r="156" spans="2:7" x14ac:dyDescent="0.3">
      <c r="B156" s="558">
        <v>147</v>
      </c>
      <c r="C156" s="556" t="e">
        <f t="shared" si="8"/>
        <v>#NUM!</v>
      </c>
      <c r="D156" s="556" t="e">
        <f t="shared" si="9"/>
        <v>#NUM!</v>
      </c>
      <c r="E156" s="556" t="e">
        <f t="shared" si="10"/>
        <v>#NUM!</v>
      </c>
      <c r="G156" s="556" t="e">
        <f t="shared" si="11"/>
        <v>#NUM!</v>
      </c>
    </row>
    <row r="157" spans="2:7" x14ac:dyDescent="0.3">
      <c r="B157" s="558">
        <v>148</v>
      </c>
      <c r="C157" s="556" t="e">
        <f t="shared" si="8"/>
        <v>#NUM!</v>
      </c>
      <c r="D157" s="556" t="e">
        <f t="shared" si="9"/>
        <v>#NUM!</v>
      </c>
      <c r="E157" s="556" t="e">
        <f t="shared" si="10"/>
        <v>#NUM!</v>
      </c>
      <c r="G157" s="556" t="e">
        <f t="shared" si="11"/>
        <v>#NUM!</v>
      </c>
    </row>
    <row r="158" spans="2:7" x14ac:dyDescent="0.3">
      <c r="B158" s="558">
        <v>149</v>
      </c>
      <c r="C158" s="556" t="e">
        <f t="shared" si="8"/>
        <v>#NUM!</v>
      </c>
      <c r="D158" s="556" t="e">
        <f t="shared" si="9"/>
        <v>#NUM!</v>
      </c>
      <c r="E158" s="556" t="e">
        <f t="shared" si="10"/>
        <v>#NUM!</v>
      </c>
      <c r="G158" s="556" t="e">
        <f t="shared" si="11"/>
        <v>#NUM!</v>
      </c>
    </row>
    <row r="159" spans="2:7" x14ac:dyDescent="0.3">
      <c r="B159" s="558">
        <v>150</v>
      </c>
      <c r="C159" s="556" t="e">
        <f t="shared" si="8"/>
        <v>#NUM!</v>
      </c>
      <c r="D159" s="556" t="e">
        <f t="shared" si="9"/>
        <v>#NUM!</v>
      </c>
      <c r="E159" s="556" t="e">
        <f t="shared" si="10"/>
        <v>#NUM!</v>
      </c>
      <c r="G159" s="556" t="e">
        <f t="shared" si="11"/>
        <v>#NUM!</v>
      </c>
    </row>
    <row r="160" spans="2:7" x14ac:dyDescent="0.3">
      <c r="B160" s="558">
        <v>151</v>
      </c>
      <c r="C160" s="556" t="e">
        <f t="shared" si="8"/>
        <v>#NUM!</v>
      </c>
      <c r="D160" s="556" t="e">
        <f t="shared" si="9"/>
        <v>#NUM!</v>
      </c>
      <c r="E160" s="556" t="e">
        <f t="shared" si="10"/>
        <v>#NUM!</v>
      </c>
      <c r="G160" s="556" t="e">
        <f t="shared" si="11"/>
        <v>#NUM!</v>
      </c>
    </row>
    <row r="161" spans="2:7" x14ac:dyDescent="0.3">
      <c r="B161" s="558">
        <v>152</v>
      </c>
      <c r="C161" s="556" t="e">
        <f t="shared" si="8"/>
        <v>#NUM!</v>
      </c>
      <c r="D161" s="556" t="e">
        <f t="shared" si="9"/>
        <v>#NUM!</v>
      </c>
      <c r="E161" s="556" t="e">
        <f t="shared" si="10"/>
        <v>#NUM!</v>
      </c>
      <c r="G161" s="556" t="e">
        <f t="shared" si="11"/>
        <v>#NUM!</v>
      </c>
    </row>
    <row r="162" spans="2:7" x14ac:dyDescent="0.3">
      <c r="B162" s="558">
        <v>153</v>
      </c>
      <c r="C162" s="556" t="e">
        <f t="shared" si="8"/>
        <v>#NUM!</v>
      </c>
      <c r="D162" s="556" t="e">
        <f t="shared" si="9"/>
        <v>#NUM!</v>
      </c>
      <c r="E162" s="556" t="e">
        <f t="shared" si="10"/>
        <v>#NUM!</v>
      </c>
      <c r="G162" s="556" t="e">
        <f t="shared" si="11"/>
        <v>#NUM!</v>
      </c>
    </row>
    <row r="163" spans="2:7" x14ac:dyDescent="0.3">
      <c r="B163" s="558">
        <v>154</v>
      </c>
      <c r="C163" s="556" t="e">
        <f t="shared" si="8"/>
        <v>#NUM!</v>
      </c>
      <c r="D163" s="556" t="e">
        <f t="shared" si="9"/>
        <v>#NUM!</v>
      </c>
      <c r="E163" s="556" t="e">
        <f t="shared" si="10"/>
        <v>#NUM!</v>
      </c>
      <c r="G163" s="556" t="e">
        <f t="shared" si="11"/>
        <v>#NUM!</v>
      </c>
    </row>
    <row r="164" spans="2:7" x14ac:dyDescent="0.3">
      <c r="B164" s="558">
        <v>155</v>
      </c>
      <c r="C164" s="556" t="e">
        <f t="shared" si="8"/>
        <v>#NUM!</v>
      </c>
      <c r="D164" s="556" t="e">
        <f t="shared" si="9"/>
        <v>#NUM!</v>
      </c>
      <c r="E164" s="556" t="e">
        <f t="shared" si="10"/>
        <v>#NUM!</v>
      </c>
      <c r="G164" s="556" t="e">
        <f t="shared" si="11"/>
        <v>#NUM!</v>
      </c>
    </row>
    <row r="165" spans="2:7" x14ac:dyDescent="0.3">
      <c r="B165" s="558">
        <v>156</v>
      </c>
      <c r="C165" s="556" t="e">
        <f t="shared" si="8"/>
        <v>#NUM!</v>
      </c>
      <c r="D165" s="556" t="e">
        <f t="shared" si="9"/>
        <v>#NUM!</v>
      </c>
      <c r="E165" s="556" t="e">
        <f t="shared" si="10"/>
        <v>#NUM!</v>
      </c>
      <c r="G165" s="556" t="e">
        <f t="shared" si="11"/>
        <v>#NUM!</v>
      </c>
    </row>
    <row r="166" spans="2:7" x14ac:dyDescent="0.3">
      <c r="B166" s="558">
        <v>157</v>
      </c>
      <c r="C166" s="556" t="e">
        <f t="shared" si="8"/>
        <v>#NUM!</v>
      </c>
      <c r="D166" s="556" t="e">
        <f t="shared" si="9"/>
        <v>#NUM!</v>
      </c>
      <c r="E166" s="556" t="e">
        <f t="shared" si="10"/>
        <v>#NUM!</v>
      </c>
      <c r="G166" s="556" t="e">
        <f t="shared" si="11"/>
        <v>#NUM!</v>
      </c>
    </row>
    <row r="167" spans="2:7" x14ac:dyDescent="0.3">
      <c r="B167" s="558">
        <v>158</v>
      </c>
      <c r="C167" s="556" t="e">
        <f t="shared" si="8"/>
        <v>#NUM!</v>
      </c>
      <c r="D167" s="556" t="e">
        <f t="shared" si="9"/>
        <v>#NUM!</v>
      </c>
      <c r="E167" s="556" t="e">
        <f t="shared" si="10"/>
        <v>#NUM!</v>
      </c>
      <c r="G167" s="556" t="e">
        <f t="shared" si="11"/>
        <v>#NUM!</v>
      </c>
    </row>
    <row r="168" spans="2:7" x14ac:dyDescent="0.3">
      <c r="B168" s="558">
        <v>159</v>
      </c>
      <c r="C168" s="556" t="e">
        <f t="shared" si="8"/>
        <v>#NUM!</v>
      </c>
      <c r="D168" s="556" t="e">
        <f t="shared" si="9"/>
        <v>#NUM!</v>
      </c>
      <c r="E168" s="556" t="e">
        <f t="shared" si="10"/>
        <v>#NUM!</v>
      </c>
      <c r="G168" s="556" t="e">
        <f t="shared" si="11"/>
        <v>#NUM!</v>
      </c>
    </row>
    <row r="169" spans="2:7" x14ac:dyDescent="0.3">
      <c r="B169" s="558">
        <v>160</v>
      </c>
      <c r="C169" s="556" t="e">
        <f t="shared" si="8"/>
        <v>#NUM!</v>
      </c>
      <c r="D169" s="556" t="e">
        <f t="shared" si="9"/>
        <v>#NUM!</v>
      </c>
      <c r="E169" s="556" t="e">
        <f t="shared" si="10"/>
        <v>#NUM!</v>
      </c>
      <c r="G169" s="556" t="e">
        <f t="shared" si="11"/>
        <v>#NUM!</v>
      </c>
    </row>
    <row r="170" spans="2:7" x14ac:dyDescent="0.3">
      <c r="B170" s="558">
        <v>161</v>
      </c>
      <c r="C170" s="556" t="e">
        <f t="shared" si="8"/>
        <v>#NUM!</v>
      </c>
      <c r="D170" s="556" t="e">
        <f t="shared" si="9"/>
        <v>#NUM!</v>
      </c>
      <c r="E170" s="556" t="e">
        <f t="shared" si="10"/>
        <v>#NUM!</v>
      </c>
      <c r="G170" s="556" t="e">
        <f t="shared" si="11"/>
        <v>#NUM!</v>
      </c>
    </row>
    <row r="171" spans="2:7" x14ac:dyDescent="0.3">
      <c r="B171" s="558">
        <v>162</v>
      </c>
      <c r="C171" s="556" t="e">
        <f t="shared" si="8"/>
        <v>#NUM!</v>
      </c>
      <c r="D171" s="556" t="e">
        <f t="shared" si="9"/>
        <v>#NUM!</v>
      </c>
      <c r="E171" s="556" t="e">
        <f t="shared" si="10"/>
        <v>#NUM!</v>
      </c>
      <c r="G171" s="556" t="e">
        <f t="shared" si="11"/>
        <v>#NUM!</v>
      </c>
    </row>
    <row r="172" spans="2:7" x14ac:dyDescent="0.3">
      <c r="B172" s="558">
        <v>163</v>
      </c>
      <c r="C172" s="556" t="e">
        <f t="shared" si="8"/>
        <v>#NUM!</v>
      </c>
      <c r="D172" s="556" t="e">
        <f t="shared" si="9"/>
        <v>#NUM!</v>
      </c>
      <c r="E172" s="556" t="e">
        <f t="shared" si="10"/>
        <v>#NUM!</v>
      </c>
      <c r="G172" s="556" t="e">
        <f t="shared" si="11"/>
        <v>#NUM!</v>
      </c>
    </row>
    <row r="173" spans="2:7" x14ac:dyDescent="0.3">
      <c r="B173" s="558">
        <v>164</v>
      </c>
      <c r="C173" s="556" t="e">
        <f t="shared" si="8"/>
        <v>#NUM!</v>
      </c>
      <c r="D173" s="556" t="e">
        <f t="shared" si="9"/>
        <v>#NUM!</v>
      </c>
      <c r="E173" s="556" t="e">
        <f t="shared" si="10"/>
        <v>#NUM!</v>
      </c>
      <c r="G173" s="556" t="e">
        <f t="shared" si="11"/>
        <v>#NUM!</v>
      </c>
    </row>
    <row r="174" spans="2:7" x14ac:dyDescent="0.3">
      <c r="B174" s="558">
        <v>165</v>
      </c>
      <c r="C174" s="556" t="e">
        <f t="shared" si="8"/>
        <v>#NUM!</v>
      </c>
      <c r="D174" s="556" t="e">
        <f t="shared" si="9"/>
        <v>#NUM!</v>
      </c>
      <c r="E174" s="556" t="e">
        <f t="shared" si="10"/>
        <v>#NUM!</v>
      </c>
      <c r="G174" s="556" t="e">
        <f t="shared" si="11"/>
        <v>#NUM!</v>
      </c>
    </row>
    <row r="175" spans="2:7" x14ac:dyDescent="0.3">
      <c r="B175" s="558">
        <v>166</v>
      </c>
      <c r="C175" s="556" t="e">
        <f t="shared" si="8"/>
        <v>#NUM!</v>
      </c>
      <c r="D175" s="556" t="e">
        <f t="shared" si="9"/>
        <v>#NUM!</v>
      </c>
      <c r="E175" s="556" t="e">
        <f t="shared" si="10"/>
        <v>#NUM!</v>
      </c>
      <c r="G175" s="556" t="e">
        <f t="shared" si="11"/>
        <v>#NUM!</v>
      </c>
    </row>
    <row r="176" spans="2:7" x14ac:dyDescent="0.3">
      <c r="B176" s="558">
        <v>167</v>
      </c>
      <c r="C176" s="556" t="e">
        <f t="shared" si="8"/>
        <v>#NUM!</v>
      </c>
      <c r="D176" s="556" t="e">
        <f t="shared" si="9"/>
        <v>#NUM!</v>
      </c>
      <c r="E176" s="556" t="e">
        <f t="shared" si="10"/>
        <v>#NUM!</v>
      </c>
      <c r="G176" s="556" t="e">
        <f t="shared" si="11"/>
        <v>#NUM!</v>
      </c>
    </row>
    <row r="177" spans="2:7" x14ac:dyDescent="0.3">
      <c r="B177" s="558">
        <v>168</v>
      </c>
      <c r="C177" s="556" t="e">
        <f t="shared" si="8"/>
        <v>#NUM!</v>
      </c>
      <c r="D177" s="556" t="e">
        <f t="shared" si="9"/>
        <v>#NUM!</v>
      </c>
      <c r="E177" s="556" t="e">
        <f t="shared" si="10"/>
        <v>#NUM!</v>
      </c>
      <c r="G177" s="556" t="e">
        <f t="shared" si="11"/>
        <v>#NUM!</v>
      </c>
    </row>
    <row r="178" spans="2:7" x14ac:dyDescent="0.3">
      <c r="B178" s="558">
        <v>169</v>
      </c>
      <c r="C178" s="556" t="e">
        <f t="shared" si="8"/>
        <v>#NUM!</v>
      </c>
      <c r="D178" s="556" t="e">
        <f t="shared" si="9"/>
        <v>#NUM!</v>
      </c>
      <c r="E178" s="556" t="e">
        <f t="shared" si="10"/>
        <v>#NUM!</v>
      </c>
      <c r="G178" s="556" t="e">
        <f t="shared" si="11"/>
        <v>#NUM!</v>
      </c>
    </row>
    <row r="179" spans="2:7" x14ac:dyDescent="0.3">
      <c r="B179" s="558">
        <v>170</v>
      </c>
      <c r="C179" s="556" t="e">
        <f t="shared" si="8"/>
        <v>#NUM!</v>
      </c>
      <c r="D179" s="556" t="e">
        <f t="shared" si="9"/>
        <v>#NUM!</v>
      </c>
      <c r="E179" s="556" t="e">
        <f t="shared" si="10"/>
        <v>#NUM!</v>
      </c>
      <c r="G179" s="556" t="e">
        <f t="shared" si="11"/>
        <v>#NUM!</v>
      </c>
    </row>
    <row r="180" spans="2:7" x14ac:dyDescent="0.3">
      <c r="B180" s="558">
        <v>171</v>
      </c>
      <c r="C180" s="556" t="e">
        <f t="shared" si="8"/>
        <v>#NUM!</v>
      </c>
      <c r="D180" s="556" t="e">
        <f t="shared" si="9"/>
        <v>#NUM!</v>
      </c>
      <c r="E180" s="556" t="e">
        <f t="shared" si="10"/>
        <v>#NUM!</v>
      </c>
      <c r="G180" s="556" t="e">
        <f t="shared" si="11"/>
        <v>#NUM!</v>
      </c>
    </row>
    <row r="181" spans="2:7" x14ac:dyDescent="0.3">
      <c r="B181" s="558">
        <v>172</v>
      </c>
      <c r="C181" s="556" t="e">
        <f t="shared" si="8"/>
        <v>#NUM!</v>
      </c>
      <c r="D181" s="556" t="e">
        <f t="shared" si="9"/>
        <v>#NUM!</v>
      </c>
      <c r="E181" s="556" t="e">
        <f t="shared" si="10"/>
        <v>#NUM!</v>
      </c>
      <c r="G181" s="556" t="e">
        <f t="shared" si="11"/>
        <v>#NUM!</v>
      </c>
    </row>
    <row r="182" spans="2:7" x14ac:dyDescent="0.3">
      <c r="B182" s="558">
        <v>173</v>
      </c>
      <c r="C182" s="556" t="e">
        <f t="shared" si="8"/>
        <v>#NUM!</v>
      </c>
      <c r="D182" s="556" t="e">
        <f t="shared" si="9"/>
        <v>#NUM!</v>
      </c>
      <c r="E182" s="556" t="e">
        <f t="shared" si="10"/>
        <v>#NUM!</v>
      </c>
      <c r="G182" s="556" t="e">
        <f t="shared" si="11"/>
        <v>#NUM!</v>
      </c>
    </row>
    <row r="183" spans="2:7" x14ac:dyDescent="0.3">
      <c r="B183" s="558">
        <v>174</v>
      </c>
      <c r="C183" s="556" t="e">
        <f t="shared" si="8"/>
        <v>#NUM!</v>
      </c>
      <c r="D183" s="556" t="e">
        <f t="shared" si="9"/>
        <v>#NUM!</v>
      </c>
      <c r="E183" s="556" t="e">
        <f t="shared" si="10"/>
        <v>#NUM!</v>
      </c>
      <c r="G183" s="556" t="e">
        <f t="shared" si="11"/>
        <v>#NUM!</v>
      </c>
    </row>
    <row r="184" spans="2:7" x14ac:dyDescent="0.3">
      <c r="B184" s="558">
        <v>175</v>
      </c>
      <c r="C184" s="556" t="e">
        <f t="shared" si="8"/>
        <v>#NUM!</v>
      </c>
      <c r="D184" s="556" t="e">
        <f t="shared" si="9"/>
        <v>#NUM!</v>
      </c>
      <c r="E184" s="556" t="e">
        <f t="shared" si="10"/>
        <v>#NUM!</v>
      </c>
      <c r="G184" s="556" t="e">
        <f t="shared" si="11"/>
        <v>#NUM!</v>
      </c>
    </row>
    <row r="185" spans="2:7" x14ac:dyDescent="0.3">
      <c r="B185" s="558">
        <v>176</v>
      </c>
      <c r="C185" s="556" t="e">
        <f t="shared" si="8"/>
        <v>#NUM!</v>
      </c>
      <c r="D185" s="556" t="e">
        <f t="shared" si="9"/>
        <v>#NUM!</v>
      </c>
      <c r="E185" s="556" t="e">
        <f t="shared" si="10"/>
        <v>#NUM!</v>
      </c>
      <c r="G185" s="556" t="e">
        <f t="shared" si="11"/>
        <v>#NUM!</v>
      </c>
    </row>
    <row r="186" spans="2:7" x14ac:dyDescent="0.3">
      <c r="B186" s="558">
        <v>177</v>
      </c>
      <c r="C186" s="556" t="e">
        <f t="shared" si="8"/>
        <v>#NUM!</v>
      </c>
      <c r="D186" s="556" t="e">
        <f t="shared" si="9"/>
        <v>#NUM!</v>
      </c>
      <c r="E186" s="556" t="e">
        <f t="shared" si="10"/>
        <v>#NUM!</v>
      </c>
      <c r="G186" s="556" t="e">
        <f t="shared" si="11"/>
        <v>#NUM!</v>
      </c>
    </row>
    <row r="187" spans="2:7" x14ac:dyDescent="0.3">
      <c r="B187" s="558">
        <v>178</v>
      </c>
      <c r="C187" s="556" t="e">
        <f t="shared" si="8"/>
        <v>#NUM!</v>
      </c>
      <c r="D187" s="556" t="e">
        <f t="shared" si="9"/>
        <v>#NUM!</v>
      </c>
      <c r="E187" s="556" t="e">
        <f t="shared" si="10"/>
        <v>#NUM!</v>
      </c>
      <c r="G187" s="556" t="e">
        <f t="shared" si="11"/>
        <v>#NUM!</v>
      </c>
    </row>
    <row r="188" spans="2:7" x14ac:dyDescent="0.3">
      <c r="B188" s="558">
        <v>179</v>
      </c>
      <c r="C188" s="556" t="e">
        <f t="shared" si="8"/>
        <v>#NUM!</v>
      </c>
      <c r="D188" s="556" t="e">
        <f t="shared" si="9"/>
        <v>#NUM!</v>
      </c>
      <c r="E188" s="556" t="e">
        <f t="shared" si="10"/>
        <v>#NUM!</v>
      </c>
      <c r="G188" s="556" t="e">
        <f t="shared" si="11"/>
        <v>#NUM!</v>
      </c>
    </row>
    <row r="189" spans="2:7" x14ac:dyDescent="0.3">
      <c r="B189" s="558">
        <v>180</v>
      </c>
      <c r="C189" s="556" t="e">
        <f t="shared" si="8"/>
        <v>#NUM!</v>
      </c>
      <c r="D189" s="556" t="e">
        <f t="shared" si="9"/>
        <v>#NUM!</v>
      </c>
      <c r="E189" s="556" t="e">
        <f t="shared" si="10"/>
        <v>#NUM!</v>
      </c>
      <c r="G189" s="556" t="e">
        <f t="shared" si="11"/>
        <v>#NUM!</v>
      </c>
    </row>
    <row r="190" spans="2:7" x14ac:dyDescent="0.3">
      <c r="B190" s="558">
        <v>181</v>
      </c>
      <c r="C190" s="556" t="e">
        <f t="shared" si="8"/>
        <v>#NUM!</v>
      </c>
      <c r="D190" s="556" t="e">
        <f t="shared" si="9"/>
        <v>#NUM!</v>
      </c>
      <c r="E190" s="556" t="e">
        <f t="shared" si="10"/>
        <v>#NUM!</v>
      </c>
      <c r="G190" s="556" t="e">
        <f t="shared" si="11"/>
        <v>#NUM!</v>
      </c>
    </row>
    <row r="191" spans="2:7" x14ac:dyDescent="0.3">
      <c r="B191" s="558">
        <v>182</v>
      </c>
      <c r="C191" s="556" t="e">
        <f t="shared" si="8"/>
        <v>#NUM!</v>
      </c>
      <c r="D191" s="556" t="e">
        <f t="shared" si="9"/>
        <v>#NUM!</v>
      </c>
      <c r="E191" s="556" t="e">
        <f t="shared" si="10"/>
        <v>#NUM!</v>
      </c>
      <c r="G191" s="556" t="e">
        <f t="shared" si="11"/>
        <v>#NUM!</v>
      </c>
    </row>
    <row r="192" spans="2:7" x14ac:dyDescent="0.3">
      <c r="B192" s="558">
        <v>183</v>
      </c>
      <c r="C192" s="556" t="e">
        <f t="shared" si="8"/>
        <v>#NUM!</v>
      </c>
      <c r="D192" s="556" t="e">
        <f t="shared" si="9"/>
        <v>#NUM!</v>
      </c>
      <c r="E192" s="556" t="e">
        <f t="shared" si="10"/>
        <v>#NUM!</v>
      </c>
      <c r="G192" s="556" t="e">
        <f t="shared" si="11"/>
        <v>#NUM!</v>
      </c>
    </row>
    <row r="193" spans="2:7" x14ac:dyDescent="0.3">
      <c r="B193" s="558">
        <v>184</v>
      </c>
      <c r="C193" s="556" t="e">
        <f t="shared" si="8"/>
        <v>#NUM!</v>
      </c>
      <c r="D193" s="556" t="e">
        <f t="shared" si="9"/>
        <v>#NUM!</v>
      </c>
      <c r="E193" s="556" t="e">
        <f t="shared" si="10"/>
        <v>#NUM!</v>
      </c>
      <c r="G193" s="556" t="e">
        <f t="shared" si="11"/>
        <v>#NUM!</v>
      </c>
    </row>
    <row r="194" spans="2:7" x14ac:dyDescent="0.3">
      <c r="B194" s="558">
        <v>185</v>
      </c>
      <c r="C194" s="556" t="e">
        <f t="shared" si="8"/>
        <v>#NUM!</v>
      </c>
      <c r="D194" s="556" t="e">
        <f t="shared" si="9"/>
        <v>#NUM!</v>
      </c>
      <c r="E194" s="556" t="e">
        <f t="shared" si="10"/>
        <v>#NUM!</v>
      </c>
      <c r="G194" s="556" t="e">
        <f t="shared" si="11"/>
        <v>#NUM!</v>
      </c>
    </row>
    <row r="195" spans="2:7" x14ac:dyDescent="0.3">
      <c r="B195" s="558">
        <v>186</v>
      </c>
      <c r="C195" s="556" t="e">
        <f t="shared" si="8"/>
        <v>#NUM!</v>
      </c>
      <c r="D195" s="556" t="e">
        <f t="shared" si="9"/>
        <v>#NUM!</v>
      </c>
      <c r="E195" s="556" t="e">
        <f t="shared" si="10"/>
        <v>#NUM!</v>
      </c>
      <c r="G195" s="556" t="e">
        <f t="shared" si="11"/>
        <v>#NUM!</v>
      </c>
    </row>
    <row r="196" spans="2:7" x14ac:dyDescent="0.3">
      <c r="B196" s="558">
        <v>187</v>
      </c>
      <c r="C196" s="556" t="e">
        <f t="shared" si="8"/>
        <v>#NUM!</v>
      </c>
      <c r="D196" s="556" t="e">
        <f t="shared" si="9"/>
        <v>#NUM!</v>
      </c>
      <c r="E196" s="556" t="e">
        <f t="shared" si="10"/>
        <v>#NUM!</v>
      </c>
      <c r="G196" s="556" t="e">
        <f t="shared" si="11"/>
        <v>#NUM!</v>
      </c>
    </row>
    <row r="197" spans="2:7" x14ac:dyDescent="0.3">
      <c r="B197" s="558">
        <v>188</v>
      </c>
      <c r="C197" s="556" t="e">
        <f t="shared" si="8"/>
        <v>#NUM!</v>
      </c>
      <c r="D197" s="556" t="e">
        <f t="shared" si="9"/>
        <v>#NUM!</v>
      </c>
      <c r="E197" s="556" t="e">
        <f t="shared" si="10"/>
        <v>#NUM!</v>
      </c>
      <c r="G197" s="556" t="e">
        <f t="shared" si="11"/>
        <v>#NUM!</v>
      </c>
    </row>
    <row r="198" spans="2:7" x14ac:dyDescent="0.3">
      <c r="B198" s="558">
        <v>189</v>
      </c>
      <c r="C198" s="556" t="e">
        <f t="shared" si="8"/>
        <v>#NUM!</v>
      </c>
      <c r="D198" s="556" t="e">
        <f t="shared" si="9"/>
        <v>#NUM!</v>
      </c>
      <c r="E198" s="556" t="e">
        <f t="shared" si="10"/>
        <v>#NUM!</v>
      </c>
      <c r="G198" s="556" t="e">
        <f t="shared" si="11"/>
        <v>#NUM!</v>
      </c>
    </row>
    <row r="199" spans="2:7" x14ac:dyDescent="0.3">
      <c r="B199" s="558">
        <v>190</v>
      </c>
      <c r="C199" s="556" t="e">
        <f t="shared" si="8"/>
        <v>#NUM!</v>
      </c>
      <c r="D199" s="556" t="e">
        <f t="shared" si="9"/>
        <v>#NUM!</v>
      </c>
      <c r="E199" s="556" t="e">
        <f t="shared" si="10"/>
        <v>#NUM!</v>
      </c>
      <c r="G199" s="556" t="e">
        <f t="shared" si="11"/>
        <v>#NUM!</v>
      </c>
    </row>
    <row r="200" spans="2:7" x14ac:dyDescent="0.3">
      <c r="B200" s="558">
        <v>191</v>
      </c>
      <c r="C200" s="556" t="e">
        <f t="shared" si="8"/>
        <v>#NUM!</v>
      </c>
      <c r="D200" s="556" t="e">
        <f t="shared" si="9"/>
        <v>#NUM!</v>
      </c>
      <c r="E200" s="556" t="e">
        <f t="shared" si="10"/>
        <v>#NUM!</v>
      </c>
      <c r="G200" s="556" t="e">
        <f t="shared" si="11"/>
        <v>#NUM!</v>
      </c>
    </row>
    <row r="201" spans="2:7" x14ac:dyDescent="0.3">
      <c r="B201" s="558">
        <v>192</v>
      </c>
      <c r="C201" s="556" t="e">
        <f t="shared" si="8"/>
        <v>#NUM!</v>
      </c>
      <c r="D201" s="556" t="e">
        <f t="shared" si="9"/>
        <v>#NUM!</v>
      </c>
      <c r="E201" s="556" t="e">
        <f t="shared" si="10"/>
        <v>#NUM!</v>
      </c>
      <c r="G201" s="556" t="e">
        <f t="shared" si="11"/>
        <v>#NUM!</v>
      </c>
    </row>
    <row r="202" spans="2:7" x14ac:dyDescent="0.3">
      <c r="B202" s="558">
        <v>193</v>
      </c>
      <c r="C202" s="556" t="e">
        <f t="shared" ref="C202:C265" si="12">IF($C$3&lt;G202+(G202*($C$4/$C$6)),$C$3,G202+(G202*($C$4/$C$6)))</f>
        <v>#NUM!</v>
      </c>
      <c r="D202" s="556" t="e">
        <f t="shared" ref="D202:D265" si="13">G202*$C$4/$C$6</f>
        <v>#NUM!</v>
      </c>
      <c r="E202" s="556" t="e">
        <f t="shared" ref="E202:E265" si="14">C202-D202</f>
        <v>#NUM!</v>
      </c>
      <c r="G202" s="556" t="e">
        <f t="shared" si="11"/>
        <v>#NUM!</v>
      </c>
    </row>
    <row r="203" spans="2:7" x14ac:dyDescent="0.3">
      <c r="B203" s="558">
        <v>194</v>
      </c>
      <c r="C203" s="556" t="e">
        <f t="shared" si="12"/>
        <v>#NUM!</v>
      </c>
      <c r="D203" s="556" t="e">
        <f t="shared" si="13"/>
        <v>#NUM!</v>
      </c>
      <c r="E203" s="556" t="e">
        <f t="shared" si="14"/>
        <v>#NUM!</v>
      </c>
      <c r="G203" s="556" t="e">
        <f t="shared" ref="G203:G266" si="15">G202-E202-F202</f>
        <v>#NUM!</v>
      </c>
    </row>
    <row r="204" spans="2:7" x14ac:dyDescent="0.3">
      <c r="B204" s="558">
        <v>195</v>
      </c>
      <c r="C204" s="556" t="e">
        <f t="shared" si="12"/>
        <v>#NUM!</v>
      </c>
      <c r="D204" s="556" t="e">
        <f t="shared" si="13"/>
        <v>#NUM!</v>
      </c>
      <c r="E204" s="556" t="e">
        <f t="shared" si="14"/>
        <v>#NUM!</v>
      </c>
      <c r="G204" s="556" t="e">
        <f t="shared" si="15"/>
        <v>#NUM!</v>
      </c>
    </row>
    <row r="205" spans="2:7" x14ac:dyDescent="0.3">
      <c r="B205" s="558">
        <v>196</v>
      </c>
      <c r="C205" s="556" t="e">
        <f t="shared" si="12"/>
        <v>#NUM!</v>
      </c>
      <c r="D205" s="556" t="e">
        <f t="shared" si="13"/>
        <v>#NUM!</v>
      </c>
      <c r="E205" s="556" t="e">
        <f t="shared" si="14"/>
        <v>#NUM!</v>
      </c>
      <c r="G205" s="556" t="e">
        <f t="shared" si="15"/>
        <v>#NUM!</v>
      </c>
    </row>
    <row r="206" spans="2:7" x14ac:dyDescent="0.3">
      <c r="B206" s="558">
        <v>197</v>
      </c>
      <c r="C206" s="556" t="e">
        <f t="shared" si="12"/>
        <v>#NUM!</v>
      </c>
      <c r="D206" s="556" t="e">
        <f t="shared" si="13"/>
        <v>#NUM!</v>
      </c>
      <c r="E206" s="556" t="e">
        <f t="shared" si="14"/>
        <v>#NUM!</v>
      </c>
      <c r="G206" s="556" t="e">
        <f t="shared" si="15"/>
        <v>#NUM!</v>
      </c>
    </row>
    <row r="207" spans="2:7" x14ac:dyDescent="0.3">
      <c r="B207" s="558">
        <v>198</v>
      </c>
      <c r="C207" s="556" t="e">
        <f t="shared" si="12"/>
        <v>#NUM!</v>
      </c>
      <c r="D207" s="556" t="e">
        <f t="shared" si="13"/>
        <v>#NUM!</v>
      </c>
      <c r="E207" s="556" t="e">
        <f t="shared" si="14"/>
        <v>#NUM!</v>
      </c>
      <c r="G207" s="556" t="e">
        <f t="shared" si="15"/>
        <v>#NUM!</v>
      </c>
    </row>
    <row r="208" spans="2:7" x14ac:dyDescent="0.3">
      <c r="B208" s="558">
        <v>199</v>
      </c>
      <c r="C208" s="556" t="e">
        <f t="shared" si="12"/>
        <v>#NUM!</v>
      </c>
      <c r="D208" s="556" t="e">
        <f t="shared" si="13"/>
        <v>#NUM!</v>
      </c>
      <c r="E208" s="556" t="e">
        <f t="shared" si="14"/>
        <v>#NUM!</v>
      </c>
      <c r="G208" s="556" t="e">
        <f t="shared" si="15"/>
        <v>#NUM!</v>
      </c>
    </row>
    <row r="209" spans="2:7" x14ac:dyDescent="0.3">
      <c r="B209" s="558">
        <v>200</v>
      </c>
      <c r="C209" s="556" t="e">
        <f t="shared" si="12"/>
        <v>#NUM!</v>
      </c>
      <c r="D209" s="556" t="e">
        <f t="shared" si="13"/>
        <v>#NUM!</v>
      </c>
      <c r="E209" s="556" t="e">
        <f t="shared" si="14"/>
        <v>#NUM!</v>
      </c>
      <c r="G209" s="556" t="e">
        <f t="shared" si="15"/>
        <v>#NUM!</v>
      </c>
    </row>
    <row r="210" spans="2:7" x14ac:dyDescent="0.3">
      <c r="B210" s="558">
        <v>201</v>
      </c>
      <c r="C210" s="556" t="e">
        <f t="shared" si="12"/>
        <v>#NUM!</v>
      </c>
      <c r="D210" s="556" t="e">
        <f t="shared" si="13"/>
        <v>#NUM!</v>
      </c>
      <c r="E210" s="556" t="e">
        <f t="shared" si="14"/>
        <v>#NUM!</v>
      </c>
      <c r="G210" s="556" t="e">
        <f t="shared" si="15"/>
        <v>#NUM!</v>
      </c>
    </row>
    <row r="211" spans="2:7" x14ac:dyDescent="0.3">
      <c r="B211" s="558">
        <v>202</v>
      </c>
      <c r="C211" s="556" t="e">
        <f t="shared" si="12"/>
        <v>#NUM!</v>
      </c>
      <c r="D211" s="556" t="e">
        <f t="shared" si="13"/>
        <v>#NUM!</v>
      </c>
      <c r="E211" s="556" t="e">
        <f t="shared" si="14"/>
        <v>#NUM!</v>
      </c>
      <c r="G211" s="556" t="e">
        <f t="shared" si="15"/>
        <v>#NUM!</v>
      </c>
    </row>
    <row r="212" spans="2:7" x14ac:dyDescent="0.3">
      <c r="B212" s="558">
        <v>203</v>
      </c>
      <c r="C212" s="556" t="e">
        <f t="shared" si="12"/>
        <v>#NUM!</v>
      </c>
      <c r="D212" s="556" t="e">
        <f t="shared" si="13"/>
        <v>#NUM!</v>
      </c>
      <c r="E212" s="556" t="e">
        <f t="shared" si="14"/>
        <v>#NUM!</v>
      </c>
      <c r="G212" s="556" t="e">
        <f t="shared" si="15"/>
        <v>#NUM!</v>
      </c>
    </row>
    <row r="213" spans="2:7" x14ac:dyDescent="0.3">
      <c r="B213" s="558">
        <v>204</v>
      </c>
      <c r="C213" s="556" t="e">
        <f t="shared" si="12"/>
        <v>#NUM!</v>
      </c>
      <c r="D213" s="556" t="e">
        <f t="shared" si="13"/>
        <v>#NUM!</v>
      </c>
      <c r="E213" s="556" t="e">
        <f t="shared" si="14"/>
        <v>#NUM!</v>
      </c>
      <c r="G213" s="556" t="e">
        <f t="shared" si="15"/>
        <v>#NUM!</v>
      </c>
    </row>
    <row r="214" spans="2:7" x14ac:dyDescent="0.3">
      <c r="B214" s="558">
        <v>205</v>
      </c>
      <c r="C214" s="556" t="e">
        <f t="shared" si="12"/>
        <v>#NUM!</v>
      </c>
      <c r="D214" s="556" t="e">
        <f t="shared" si="13"/>
        <v>#NUM!</v>
      </c>
      <c r="E214" s="556" t="e">
        <f t="shared" si="14"/>
        <v>#NUM!</v>
      </c>
      <c r="G214" s="556" t="e">
        <f t="shared" si="15"/>
        <v>#NUM!</v>
      </c>
    </row>
    <row r="215" spans="2:7" x14ac:dyDescent="0.3">
      <c r="B215" s="558">
        <v>206</v>
      </c>
      <c r="C215" s="556" t="e">
        <f t="shared" si="12"/>
        <v>#NUM!</v>
      </c>
      <c r="D215" s="556" t="e">
        <f t="shared" si="13"/>
        <v>#NUM!</v>
      </c>
      <c r="E215" s="556" t="e">
        <f t="shared" si="14"/>
        <v>#NUM!</v>
      </c>
      <c r="G215" s="556" t="e">
        <f t="shared" si="15"/>
        <v>#NUM!</v>
      </c>
    </row>
    <row r="216" spans="2:7" x14ac:dyDescent="0.3">
      <c r="B216" s="558">
        <v>207</v>
      </c>
      <c r="C216" s="556" t="e">
        <f t="shared" si="12"/>
        <v>#NUM!</v>
      </c>
      <c r="D216" s="556" t="e">
        <f t="shared" si="13"/>
        <v>#NUM!</v>
      </c>
      <c r="E216" s="556" t="e">
        <f t="shared" si="14"/>
        <v>#NUM!</v>
      </c>
      <c r="G216" s="556" t="e">
        <f t="shared" si="15"/>
        <v>#NUM!</v>
      </c>
    </row>
    <row r="217" spans="2:7" x14ac:dyDescent="0.3">
      <c r="B217" s="558">
        <v>208</v>
      </c>
      <c r="C217" s="556" t="e">
        <f t="shared" si="12"/>
        <v>#NUM!</v>
      </c>
      <c r="D217" s="556" t="e">
        <f t="shared" si="13"/>
        <v>#NUM!</v>
      </c>
      <c r="E217" s="556" t="e">
        <f t="shared" si="14"/>
        <v>#NUM!</v>
      </c>
      <c r="G217" s="556" t="e">
        <f t="shared" si="15"/>
        <v>#NUM!</v>
      </c>
    </row>
    <row r="218" spans="2:7" x14ac:dyDescent="0.3">
      <c r="B218" s="558">
        <v>209</v>
      </c>
      <c r="C218" s="556" t="e">
        <f t="shared" si="12"/>
        <v>#NUM!</v>
      </c>
      <c r="D218" s="556" t="e">
        <f t="shared" si="13"/>
        <v>#NUM!</v>
      </c>
      <c r="E218" s="556" t="e">
        <f t="shared" si="14"/>
        <v>#NUM!</v>
      </c>
      <c r="G218" s="556" t="e">
        <f t="shared" si="15"/>
        <v>#NUM!</v>
      </c>
    </row>
    <row r="219" spans="2:7" x14ac:dyDescent="0.3">
      <c r="B219" s="558">
        <v>210</v>
      </c>
      <c r="C219" s="556" t="e">
        <f t="shared" si="12"/>
        <v>#NUM!</v>
      </c>
      <c r="D219" s="556" t="e">
        <f t="shared" si="13"/>
        <v>#NUM!</v>
      </c>
      <c r="E219" s="556" t="e">
        <f t="shared" si="14"/>
        <v>#NUM!</v>
      </c>
      <c r="G219" s="556" t="e">
        <f t="shared" si="15"/>
        <v>#NUM!</v>
      </c>
    </row>
    <row r="220" spans="2:7" x14ac:dyDescent="0.3">
      <c r="B220" s="558">
        <v>211</v>
      </c>
      <c r="C220" s="556" t="e">
        <f t="shared" si="12"/>
        <v>#NUM!</v>
      </c>
      <c r="D220" s="556" t="e">
        <f t="shared" si="13"/>
        <v>#NUM!</v>
      </c>
      <c r="E220" s="556" t="e">
        <f t="shared" si="14"/>
        <v>#NUM!</v>
      </c>
      <c r="G220" s="556" t="e">
        <f t="shared" si="15"/>
        <v>#NUM!</v>
      </c>
    </row>
    <row r="221" spans="2:7" x14ac:dyDescent="0.3">
      <c r="B221" s="558">
        <v>212</v>
      </c>
      <c r="C221" s="556" t="e">
        <f t="shared" si="12"/>
        <v>#NUM!</v>
      </c>
      <c r="D221" s="556" t="e">
        <f t="shared" si="13"/>
        <v>#NUM!</v>
      </c>
      <c r="E221" s="556" t="e">
        <f t="shared" si="14"/>
        <v>#NUM!</v>
      </c>
      <c r="G221" s="556" t="e">
        <f t="shared" si="15"/>
        <v>#NUM!</v>
      </c>
    </row>
    <row r="222" spans="2:7" x14ac:dyDescent="0.3">
      <c r="B222" s="558">
        <v>213</v>
      </c>
      <c r="C222" s="556" t="e">
        <f t="shared" si="12"/>
        <v>#NUM!</v>
      </c>
      <c r="D222" s="556" t="e">
        <f t="shared" si="13"/>
        <v>#NUM!</v>
      </c>
      <c r="E222" s="556" t="e">
        <f t="shared" si="14"/>
        <v>#NUM!</v>
      </c>
      <c r="G222" s="556" t="e">
        <f t="shared" si="15"/>
        <v>#NUM!</v>
      </c>
    </row>
    <row r="223" spans="2:7" x14ac:dyDescent="0.3">
      <c r="B223" s="558">
        <v>214</v>
      </c>
      <c r="C223" s="556" t="e">
        <f t="shared" si="12"/>
        <v>#NUM!</v>
      </c>
      <c r="D223" s="556" t="e">
        <f t="shared" si="13"/>
        <v>#NUM!</v>
      </c>
      <c r="E223" s="556" t="e">
        <f t="shared" si="14"/>
        <v>#NUM!</v>
      </c>
      <c r="G223" s="556" t="e">
        <f t="shared" si="15"/>
        <v>#NUM!</v>
      </c>
    </row>
    <row r="224" spans="2:7" x14ac:dyDescent="0.3">
      <c r="B224" s="558">
        <v>215</v>
      </c>
      <c r="C224" s="556" t="e">
        <f t="shared" si="12"/>
        <v>#NUM!</v>
      </c>
      <c r="D224" s="556" t="e">
        <f t="shared" si="13"/>
        <v>#NUM!</v>
      </c>
      <c r="E224" s="556" t="e">
        <f t="shared" si="14"/>
        <v>#NUM!</v>
      </c>
      <c r="G224" s="556" t="e">
        <f t="shared" si="15"/>
        <v>#NUM!</v>
      </c>
    </row>
    <row r="225" spans="2:7" x14ac:dyDescent="0.3">
      <c r="B225" s="558">
        <v>216</v>
      </c>
      <c r="C225" s="556" t="e">
        <f t="shared" si="12"/>
        <v>#NUM!</v>
      </c>
      <c r="D225" s="556" t="e">
        <f t="shared" si="13"/>
        <v>#NUM!</v>
      </c>
      <c r="E225" s="556" t="e">
        <f t="shared" si="14"/>
        <v>#NUM!</v>
      </c>
      <c r="G225" s="556" t="e">
        <f t="shared" si="15"/>
        <v>#NUM!</v>
      </c>
    </row>
    <row r="226" spans="2:7" x14ac:dyDescent="0.3">
      <c r="B226" s="558">
        <v>217</v>
      </c>
      <c r="C226" s="556" t="e">
        <f t="shared" si="12"/>
        <v>#NUM!</v>
      </c>
      <c r="D226" s="556" t="e">
        <f t="shared" si="13"/>
        <v>#NUM!</v>
      </c>
      <c r="E226" s="556" t="e">
        <f t="shared" si="14"/>
        <v>#NUM!</v>
      </c>
      <c r="G226" s="556" t="e">
        <f t="shared" si="15"/>
        <v>#NUM!</v>
      </c>
    </row>
    <row r="227" spans="2:7" x14ac:dyDescent="0.3">
      <c r="B227" s="558">
        <v>218</v>
      </c>
      <c r="C227" s="556" t="e">
        <f t="shared" si="12"/>
        <v>#NUM!</v>
      </c>
      <c r="D227" s="556" t="e">
        <f t="shared" si="13"/>
        <v>#NUM!</v>
      </c>
      <c r="E227" s="556" t="e">
        <f t="shared" si="14"/>
        <v>#NUM!</v>
      </c>
      <c r="G227" s="556" t="e">
        <f t="shared" si="15"/>
        <v>#NUM!</v>
      </c>
    </row>
    <row r="228" spans="2:7" x14ac:dyDescent="0.3">
      <c r="B228" s="558">
        <v>219</v>
      </c>
      <c r="C228" s="556" t="e">
        <f t="shared" si="12"/>
        <v>#NUM!</v>
      </c>
      <c r="D228" s="556" t="e">
        <f t="shared" si="13"/>
        <v>#NUM!</v>
      </c>
      <c r="E228" s="556" t="e">
        <f t="shared" si="14"/>
        <v>#NUM!</v>
      </c>
      <c r="G228" s="556" t="e">
        <f t="shared" si="15"/>
        <v>#NUM!</v>
      </c>
    </row>
    <row r="229" spans="2:7" x14ac:dyDescent="0.3">
      <c r="B229" s="558">
        <v>220</v>
      </c>
      <c r="C229" s="556" t="e">
        <f t="shared" si="12"/>
        <v>#NUM!</v>
      </c>
      <c r="D229" s="556" t="e">
        <f t="shared" si="13"/>
        <v>#NUM!</v>
      </c>
      <c r="E229" s="556" t="e">
        <f t="shared" si="14"/>
        <v>#NUM!</v>
      </c>
      <c r="G229" s="556" t="e">
        <f t="shared" si="15"/>
        <v>#NUM!</v>
      </c>
    </row>
    <row r="230" spans="2:7" x14ac:dyDescent="0.3">
      <c r="B230" s="558">
        <v>221</v>
      </c>
      <c r="C230" s="556" t="e">
        <f t="shared" si="12"/>
        <v>#NUM!</v>
      </c>
      <c r="D230" s="556" t="e">
        <f t="shared" si="13"/>
        <v>#NUM!</v>
      </c>
      <c r="E230" s="556" t="e">
        <f t="shared" si="14"/>
        <v>#NUM!</v>
      </c>
      <c r="G230" s="556" t="e">
        <f t="shared" si="15"/>
        <v>#NUM!</v>
      </c>
    </row>
    <row r="231" spans="2:7" x14ac:dyDescent="0.3">
      <c r="B231" s="558">
        <v>222</v>
      </c>
      <c r="C231" s="556" t="e">
        <f t="shared" si="12"/>
        <v>#NUM!</v>
      </c>
      <c r="D231" s="556" t="e">
        <f t="shared" si="13"/>
        <v>#NUM!</v>
      </c>
      <c r="E231" s="556" t="e">
        <f t="shared" si="14"/>
        <v>#NUM!</v>
      </c>
      <c r="G231" s="556" t="e">
        <f t="shared" si="15"/>
        <v>#NUM!</v>
      </c>
    </row>
    <row r="232" spans="2:7" x14ac:dyDescent="0.3">
      <c r="B232" s="558">
        <v>223</v>
      </c>
      <c r="C232" s="556" t="e">
        <f t="shared" si="12"/>
        <v>#NUM!</v>
      </c>
      <c r="D232" s="556" t="e">
        <f t="shared" si="13"/>
        <v>#NUM!</v>
      </c>
      <c r="E232" s="556" t="e">
        <f t="shared" si="14"/>
        <v>#NUM!</v>
      </c>
      <c r="G232" s="556" t="e">
        <f t="shared" si="15"/>
        <v>#NUM!</v>
      </c>
    </row>
    <row r="233" spans="2:7" x14ac:dyDescent="0.3">
      <c r="B233" s="558">
        <v>224</v>
      </c>
      <c r="C233" s="556" t="e">
        <f t="shared" si="12"/>
        <v>#NUM!</v>
      </c>
      <c r="D233" s="556" t="e">
        <f t="shared" si="13"/>
        <v>#NUM!</v>
      </c>
      <c r="E233" s="556" t="e">
        <f t="shared" si="14"/>
        <v>#NUM!</v>
      </c>
      <c r="G233" s="556" t="e">
        <f t="shared" si="15"/>
        <v>#NUM!</v>
      </c>
    </row>
    <row r="234" spans="2:7" x14ac:dyDescent="0.3">
      <c r="B234" s="558">
        <v>225</v>
      </c>
      <c r="C234" s="556" t="e">
        <f t="shared" si="12"/>
        <v>#NUM!</v>
      </c>
      <c r="D234" s="556" t="e">
        <f t="shared" si="13"/>
        <v>#NUM!</v>
      </c>
      <c r="E234" s="556" t="e">
        <f t="shared" si="14"/>
        <v>#NUM!</v>
      </c>
      <c r="G234" s="556" t="e">
        <f t="shared" si="15"/>
        <v>#NUM!</v>
      </c>
    </row>
    <row r="235" spans="2:7" x14ac:dyDescent="0.3">
      <c r="B235" s="558">
        <v>226</v>
      </c>
      <c r="C235" s="556" t="e">
        <f t="shared" si="12"/>
        <v>#NUM!</v>
      </c>
      <c r="D235" s="556" t="e">
        <f t="shared" si="13"/>
        <v>#NUM!</v>
      </c>
      <c r="E235" s="556" t="e">
        <f t="shared" si="14"/>
        <v>#NUM!</v>
      </c>
      <c r="G235" s="556" t="e">
        <f t="shared" si="15"/>
        <v>#NUM!</v>
      </c>
    </row>
    <row r="236" spans="2:7" x14ac:dyDescent="0.3">
      <c r="B236" s="558">
        <v>227</v>
      </c>
      <c r="C236" s="556" t="e">
        <f t="shared" si="12"/>
        <v>#NUM!</v>
      </c>
      <c r="D236" s="556" t="e">
        <f t="shared" si="13"/>
        <v>#NUM!</v>
      </c>
      <c r="E236" s="556" t="e">
        <f t="shared" si="14"/>
        <v>#NUM!</v>
      </c>
      <c r="G236" s="556" t="e">
        <f t="shared" si="15"/>
        <v>#NUM!</v>
      </c>
    </row>
    <row r="237" spans="2:7" x14ac:dyDescent="0.3">
      <c r="B237" s="558">
        <v>228</v>
      </c>
      <c r="C237" s="556" t="e">
        <f t="shared" si="12"/>
        <v>#NUM!</v>
      </c>
      <c r="D237" s="556" t="e">
        <f t="shared" si="13"/>
        <v>#NUM!</v>
      </c>
      <c r="E237" s="556" t="e">
        <f t="shared" si="14"/>
        <v>#NUM!</v>
      </c>
      <c r="G237" s="556" t="e">
        <f t="shared" si="15"/>
        <v>#NUM!</v>
      </c>
    </row>
    <row r="238" spans="2:7" x14ac:dyDescent="0.3">
      <c r="B238" s="558">
        <v>229</v>
      </c>
      <c r="C238" s="556" t="e">
        <f t="shared" si="12"/>
        <v>#NUM!</v>
      </c>
      <c r="D238" s="556" t="e">
        <f t="shared" si="13"/>
        <v>#NUM!</v>
      </c>
      <c r="E238" s="556" t="e">
        <f t="shared" si="14"/>
        <v>#NUM!</v>
      </c>
      <c r="G238" s="556" t="e">
        <f t="shared" si="15"/>
        <v>#NUM!</v>
      </c>
    </row>
    <row r="239" spans="2:7" x14ac:dyDescent="0.3">
      <c r="B239" s="558">
        <v>230</v>
      </c>
      <c r="C239" s="556" t="e">
        <f t="shared" si="12"/>
        <v>#NUM!</v>
      </c>
      <c r="D239" s="556" t="e">
        <f t="shared" si="13"/>
        <v>#NUM!</v>
      </c>
      <c r="E239" s="556" t="e">
        <f t="shared" si="14"/>
        <v>#NUM!</v>
      </c>
      <c r="G239" s="556" t="e">
        <f t="shared" si="15"/>
        <v>#NUM!</v>
      </c>
    </row>
    <row r="240" spans="2:7" x14ac:dyDescent="0.3">
      <c r="B240" s="558">
        <v>231</v>
      </c>
      <c r="C240" s="556" t="e">
        <f t="shared" si="12"/>
        <v>#NUM!</v>
      </c>
      <c r="D240" s="556" t="e">
        <f t="shared" si="13"/>
        <v>#NUM!</v>
      </c>
      <c r="E240" s="556" t="e">
        <f t="shared" si="14"/>
        <v>#NUM!</v>
      </c>
      <c r="G240" s="556" t="e">
        <f t="shared" si="15"/>
        <v>#NUM!</v>
      </c>
    </row>
    <row r="241" spans="2:7" x14ac:dyDescent="0.3">
      <c r="B241" s="558">
        <v>232</v>
      </c>
      <c r="C241" s="556" t="e">
        <f t="shared" si="12"/>
        <v>#NUM!</v>
      </c>
      <c r="D241" s="556" t="e">
        <f t="shared" si="13"/>
        <v>#NUM!</v>
      </c>
      <c r="E241" s="556" t="e">
        <f t="shared" si="14"/>
        <v>#NUM!</v>
      </c>
      <c r="G241" s="556" t="e">
        <f t="shared" si="15"/>
        <v>#NUM!</v>
      </c>
    </row>
    <row r="242" spans="2:7" x14ac:dyDescent="0.3">
      <c r="B242" s="558">
        <v>233</v>
      </c>
      <c r="C242" s="556" t="e">
        <f t="shared" si="12"/>
        <v>#NUM!</v>
      </c>
      <c r="D242" s="556" t="e">
        <f t="shared" si="13"/>
        <v>#NUM!</v>
      </c>
      <c r="E242" s="556" t="e">
        <f t="shared" si="14"/>
        <v>#NUM!</v>
      </c>
      <c r="G242" s="556" t="e">
        <f t="shared" si="15"/>
        <v>#NUM!</v>
      </c>
    </row>
    <row r="243" spans="2:7" x14ac:dyDescent="0.3">
      <c r="B243" s="558">
        <v>234</v>
      </c>
      <c r="C243" s="556" t="e">
        <f t="shared" si="12"/>
        <v>#NUM!</v>
      </c>
      <c r="D243" s="556" t="e">
        <f t="shared" si="13"/>
        <v>#NUM!</v>
      </c>
      <c r="E243" s="556" t="e">
        <f t="shared" si="14"/>
        <v>#NUM!</v>
      </c>
      <c r="G243" s="556" t="e">
        <f t="shared" si="15"/>
        <v>#NUM!</v>
      </c>
    </row>
    <row r="244" spans="2:7" x14ac:dyDescent="0.3">
      <c r="B244" s="558">
        <v>235</v>
      </c>
      <c r="C244" s="556" t="e">
        <f t="shared" si="12"/>
        <v>#NUM!</v>
      </c>
      <c r="D244" s="556" t="e">
        <f t="shared" si="13"/>
        <v>#NUM!</v>
      </c>
      <c r="E244" s="556" t="e">
        <f t="shared" si="14"/>
        <v>#NUM!</v>
      </c>
      <c r="G244" s="556" t="e">
        <f t="shared" si="15"/>
        <v>#NUM!</v>
      </c>
    </row>
    <row r="245" spans="2:7" x14ac:dyDescent="0.3">
      <c r="B245" s="558">
        <v>236</v>
      </c>
      <c r="C245" s="556" t="e">
        <f t="shared" si="12"/>
        <v>#NUM!</v>
      </c>
      <c r="D245" s="556" t="e">
        <f t="shared" si="13"/>
        <v>#NUM!</v>
      </c>
      <c r="E245" s="556" t="e">
        <f t="shared" si="14"/>
        <v>#NUM!</v>
      </c>
      <c r="G245" s="556" t="e">
        <f t="shared" si="15"/>
        <v>#NUM!</v>
      </c>
    </row>
    <row r="246" spans="2:7" x14ac:dyDescent="0.3">
      <c r="B246" s="558">
        <v>237</v>
      </c>
      <c r="C246" s="556" t="e">
        <f t="shared" si="12"/>
        <v>#NUM!</v>
      </c>
      <c r="D246" s="556" t="e">
        <f t="shared" si="13"/>
        <v>#NUM!</v>
      </c>
      <c r="E246" s="556" t="e">
        <f t="shared" si="14"/>
        <v>#NUM!</v>
      </c>
      <c r="G246" s="556" t="e">
        <f t="shared" si="15"/>
        <v>#NUM!</v>
      </c>
    </row>
    <row r="247" spans="2:7" x14ac:dyDescent="0.3">
      <c r="B247" s="558">
        <v>238</v>
      </c>
      <c r="C247" s="556" t="e">
        <f t="shared" si="12"/>
        <v>#NUM!</v>
      </c>
      <c r="D247" s="556" t="e">
        <f t="shared" si="13"/>
        <v>#NUM!</v>
      </c>
      <c r="E247" s="556" t="e">
        <f t="shared" si="14"/>
        <v>#NUM!</v>
      </c>
      <c r="G247" s="556" t="e">
        <f t="shared" si="15"/>
        <v>#NUM!</v>
      </c>
    </row>
    <row r="248" spans="2:7" x14ac:dyDescent="0.3">
      <c r="B248" s="558">
        <v>239</v>
      </c>
      <c r="C248" s="556" t="e">
        <f t="shared" si="12"/>
        <v>#NUM!</v>
      </c>
      <c r="D248" s="556" t="e">
        <f t="shared" si="13"/>
        <v>#NUM!</v>
      </c>
      <c r="E248" s="556" t="e">
        <f t="shared" si="14"/>
        <v>#NUM!</v>
      </c>
      <c r="G248" s="556" t="e">
        <f t="shared" si="15"/>
        <v>#NUM!</v>
      </c>
    </row>
    <row r="249" spans="2:7" x14ac:dyDescent="0.3">
      <c r="B249" s="558">
        <v>240</v>
      </c>
      <c r="C249" s="556" t="e">
        <f t="shared" si="12"/>
        <v>#NUM!</v>
      </c>
      <c r="D249" s="556" t="e">
        <f t="shared" si="13"/>
        <v>#NUM!</v>
      </c>
      <c r="E249" s="556" t="e">
        <f t="shared" si="14"/>
        <v>#NUM!</v>
      </c>
      <c r="G249" s="556" t="e">
        <f t="shared" si="15"/>
        <v>#NUM!</v>
      </c>
    </row>
    <row r="250" spans="2:7" x14ac:dyDescent="0.3">
      <c r="B250" s="558">
        <v>241</v>
      </c>
      <c r="C250" s="556" t="e">
        <f t="shared" si="12"/>
        <v>#NUM!</v>
      </c>
      <c r="D250" s="556" t="e">
        <f t="shared" si="13"/>
        <v>#NUM!</v>
      </c>
      <c r="E250" s="556" t="e">
        <f t="shared" si="14"/>
        <v>#NUM!</v>
      </c>
      <c r="G250" s="556" t="e">
        <f t="shared" si="15"/>
        <v>#NUM!</v>
      </c>
    </row>
    <row r="251" spans="2:7" x14ac:dyDescent="0.3">
      <c r="B251" s="558">
        <v>242</v>
      </c>
      <c r="C251" s="556" t="e">
        <f t="shared" si="12"/>
        <v>#NUM!</v>
      </c>
      <c r="D251" s="556" t="e">
        <f t="shared" si="13"/>
        <v>#NUM!</v>
      </c>
      <c r="E251" s="556" t="e">
        <f t="shared" si="14"/>
        <v>#NUM!</v>
      </c>
      <c r="G251" s="556" t="e">
        <f t="shared" si="15"/>
        <v>#NUM!</v>
      </c>
    </row>
    <row r="252" spans="2:7" x14ac:dyDescent="0.3">
      <c r="B252" s="558">
        <v>243</v>
      </c>
      <c r="C252" s="556" t="e">
        <f t="shared" si="12"/>
        <v>#NUM!</v>
      </c>
      <c r="D252" s="556" t="e">
        <f t="shared" si="13"/>
        <v>#NUM!</v>
      </c>
      <c r="E252" s="556" t="e">
        <f t="shared" si="14"/>
        <v>#NUM!</v>
      </c>
      <c r="G252" s="556" t="e">
        <f t="shared" si="15"/>
        <v>#NUM!</v>
      </c>
    </row>
    <row r="253" spans="2:7" x14ac:dyDescent="0.3">
      <c r="B253" s="558">
        <v>244</v>
      </c>
      <c r="C253" s="556" t="e">
        <f t="shared" si="12"/>
        <v>#NUM!</v>
      </c>
      <c r="D253" s="556" t="e">
        <f t="shared" si="13"/>
        <v>#NUM!</v>
      </c>
      <c r="E253" s="556" t="e">
        <f t="shared" si="14"/>
        <v>#NUM!</v>
      </c>
      <c r="G253" s="556" t="e">
        <f t="shared" si="15"/>
        <v>#NUM!</v>
      </c>
    </row>
    <row r="254" spans="2:7" x14ac:dyDescent="0.3">
      <c r="B254" s="558">
        <v>245</v>
      </c>
      <c r="C254" s="556" t="e">
        <f t="shared" si="12"/>
        <v>#NUM!</v>
      </c>
      <c r="D254" s="556" t="e">
        <f t="shared" si="13"/>
        <v>#NUM!</v>
      </c>
      <c r="E254" s="556" t="e">
        <f t="shared" si="14"/>
        <v>#NUM!</v>
      </c>
      <c r="G254" s="556" t="e">
        <f t="shared" si="15"/>
        <v>#NUM!</v>
      </c>
    </row>
    <row r="255" spans="2:7" x14ac:dyDescent="0.3">
      <c r="B255" s="558">
        <v>246</v>
      </c>
      <c r="C255" s="556" t="e">
        <f t="shared" si="12"/>
        <v>#NUM!</v>
      </c>
      <c r="D255" s="556" t="e">
        <f t="shared" si="13"/>
        <v>#NUM!</v>
      </c>
      <c r="E255" s="556" t="e">
        <f t="shared" si="14"/>
        <v>#NUM!</v>
      </c>
      <c r="G255" s="556" t="e">
        <f t="shared" si="15"/>
        <v>#NUM!</v>
      </c>
    </row>
    <row r="256" spans="2:7" x14ac:dyDescent="0.3">
      <c r="B256" s="558">
        <v>247</v>
      </c>
      <c r="C256" s="556" t="e">
        <f t="shared" si="12"/>
        <v>#NUM!</v>
      </c>
      <c r="D256" s="556" t="e">
        <f t="shared" si="13"/>
        <v>#NUM!</v>
      </c>
      <c r="E256" s="556" t="e">
        <f t="shared" si="14"/>
        <v>#NUM!</v>
      </c>
      <c r="G256" s="556" t="e">
        <f t="shared" si="15"/>
        <v>#NUM!</v>
      </c>
    </row>
    <row r="257" spans="2:7" x14ac:dyDescent="0.3">
      <c r="B257" s="558">
        <v>248</v>
      </c>
      <c r="C257" s="556" t="e">
        <f t="shared" si="12"/>
        <v>#NUM!</v>
      </c>
      <c r="D257" s="556" t="e">
        <f t="shared" si="13"/>
        <v>#NUM!</v>
      </c>
      <c r="E257" s="556" t="e">
        <f t="shared" si="14"/>
        <v>#NUM!</v>
      </c>
      <c r="G257" s="556" t="e">
        <f t="shared" si="15"/>
        <v>#NUM!</v>
      </c>
    </row>
    <row r="258" spans="2:7" x14ac:dyDescent="0.3">
      <c r="B258" s="558">
        <v>249</v>
      </c>
      <c r="C258" s="556" t="e">
        <f t="shared" si="12"/>
        <v>#NUM!</v>
      </c>
      <c r="D258" s="556" t="e">
        <f t="shared" si="13"/>
        <v>#NUM!</v>
      </c>
      <c r="E258" s="556" t="e">
        <f t="shared" si="14"/>
        <v>#NUM!</v>
      </c>
      <c r="G258" s="556" t="e">
        <f t="shared" si="15"/>
        <v>#NUM!</v>
      </c>
    </row>
    <row r="259" spans="2:7" x14ac:dyDescent="0.3">
      <c r="B259" s="558">
        <v>250</v>
      </c>
      <c r="C259" s="556" t="e">
        <f t="shared" si="12"/>
        <v>#NUM!</v>
      </c>
      <c r="D259" s="556" t="e">
        <f t="shared" si="13"/>
        <v>#NUM!</v>
      </c>
      <c r="E259" s="556" t="e">
        <f t="shared" si="14"/>
        <v>#NUM!</v>
      </c>
      <c r="G259" s="556" t="e">
        <f t="shared" si="15"/>
        <v>#NUM!</v>
      </c>
    </row>
    <row r="260" spans="2:7" x14ac:dyDescent="0.3">
      <c r="B260" s="558">
        <v>251</v>
      </c>
      <c r="C260" s="556" t="e">
        <f t="shared" si="12"/>
        <v>#NUM!</v>
      </c>
      <c r="D260" s="556" t="e">
        <f t="shared" si="13"/>
        <v>#NUM!</v>
      </c>
      <c r="E260" s="556" t="e">
        <f t="shared" si="14"/>
        <v>#NUM!</v>
      </c>
      <c r="G260" s="556" t="e">
        <f t="shared" si="15"/>
        <v>#NUM!</v>
      </c>
    </row>
    <row r="261" spans="2:7" x14ac:dyDescent="0.3">
      <c r="B261" s="558">
        <v>252</v>
      </c>
      <c r="C261" s="556" t="e">
        <f t="shared" si="12"/>
        <v>#NUM!</v>
      </c>
      <c r="D261" s="556" t="e">
        <f t="shared" si="13"/>
        <v>#NUM!</v>
      </c>
      <c r="E261" s="556" t="e">
        <f t="shared" si="14"/>
        <v>#NUM!</v>
      </c>
      <c r="G261" s="556" t="e">
        <f t="shared" si="15"/>
        <v>#NUM!</v>
      </c>
    </row>
    <row r="262" spans="2:7" x14ac:dyDescent="0.3">
      <c r="B262" s="558">
        <v>253</v>
      </c>
      <c r="C262" s="556" t="e">
        <f t="shared" si="12"/>
        <v>#NUM!</v>
      </c>
      <c r="D262" s="556" t="e">
        <f t="shared" si="13"/>
        <v>#NUM!</v>
      </c>
      <c r="E262" s="556" t="e">
        <f t="shared" si="14"/>
        <v>#NUM!</v>
      </c>
      <c r="G262" s="556" t="e">
        <f t="shared" si="15"/>
        <v>#NUM!</v>
      </c>
    </row>
    <row r="263" spans="2:7" x14ac:dyDescent="0.3">
      <c r="B263" s="558">
        <v>254</v>
      </c>
      <c r="C263" s="556" t="e">
        <f t="shared" si="12"/>
        <v>#NUM!</v>
      </c>
      <c r="D263" s="556" t="e">
        <f t="shared" si="13"/>
        <v>#NUM!</v>
      </c>
      <c r="E263" s="556" t="e">
        <f t="shared" si="14"/>
        <v>#NUM!</v>
      </c>
      <c r="G263" s="556" t="e">
        <f t="shared" si="15"/>
        <v>#NUM!</v>
      </c>
    </row>
    <row r="264" spans="2:7" x14ac:dyDescent="0.3">
      <c r="B264" s="558">
        <v>255</v>
      </c>
      <c r="C264" s="556" t="e">
        <f t="shared" si="12"/>
        <v>#NUM!</v>
      </c>
      <c r="D264" s="556" t="e">
        <f t="shared" si="13"/>
        <v>#NUM!</v>
      </c>
      <c r="E264" s="556" t="e">
        <f t="shared" si="14"/>
        <v>#NUM!</v>
      </c>
      <c r="G264" s="556" t="e">
        <f t="shared" si="15"/>
        <v>#NUM!</v>
      </c>
    </row>
    <row r="265" spans="2:7" x14ac:dyDescent="0.3">
      <c r="B265" s="558">
        <v>256</v>
      </c>
      <c r="C265" s="556" t="e">
        <f t="shared" si="12"/>
        <v>#NUM!</v>
      </c>
      <c r="D265" s="556" t="e">
        <f t="shared" si="13"/>
        <v>#NUM!</v>
      </c>
      <c r="E265" s="556" t="e">
        <f t="shared" si="14"/>
        <v>#NUM!</v>
      </c>
      <c r="G265" s="556" t="e">
        <f t="shared" si="15"/>
        <v>#NUM!</v>
      </c>
    </row>
    <row r="266" spans="2:7" x14ac:dyDescent="0.3">
      <c r="B266" s="558">
        <v>257</v>
      </c>
      <c r="C266" s="556" t="e">
        <f t="shared" ref="C266:C329" si="16">IF($C$3&lt;G266+(G266*($C$4/$C$6)),$C$3,G266+(G266*($C$4/$C$6)))</f>
        <v>#NUM!</v>
      </c>
      <c r="D266" s="556" t="e">
        <f t="shared" ref="D266:D329" si="17">G266*$C$4/$C$6</f>
        <v>#NUM!</v>
      </c>
      <c r="E266" s="556" t="e">
        <f t="shared" ref="E266:E329" si="18">C266-D266</f>
        <v>#NUM!</v>
      </c>
      <c r="G266" s="556" t="e">
        <f t="shared" si="15"/>
        <v>#NUM!</v>
      </c>
    </row>
    <row r="267" spans="2:7" x14ac:dyDescent="0.3">
      <c r="B267" s="558">
        <v>258</v>
      </c>
      <c r="C267" s="556" t="e">
        <f t="shared" si="16"/>
        <v>#NUM!</v>
      </c>
      <c r="D267" s="556" t="e">
        <f t="shared" si="17"/>
        <v>#NUM!</v>
      </c>
      <c r="E267" s="556" t="e">
        <f t="shared" si="18"/>
        <v>#NUM!</v>
      </c>
      <c r="G267" s="556" t="e">
        <f t="shared" ref="G267:G330" si="19">G266-E266-F266</f>
        <v>#NUM!</v>
      </c>
    </row>
    <row r="268" spans="2:7" x14ac:dyDescent="0.3">
      <c r="B268" s="558">
        <v>259</v>
      </c>
      <c r="C268" s="556" t="e">
        <f t="shared" si="16"/>
        <v>#NUM!</v>
      </c>
      <c r="D268" s="556" t="e">
        <f t="shared" si="17"/>
        <v>#NUM!</v>
      </c>
      <c r="E268" s="556" t="e">
        <f t="shared" si="18"/>
        <v>#NUM!</v>
      </c>
      <c r="G268" s="556" t="e">
        <f t="shared" si="19"/>
        <v>#NUM!</v>
      </c>
    </row>
    <row r="269" spans="2:7" x14ac:dyDescent="0.3">
      <c r="B269" s="558">
        <v>260</v>
      </c>
      <c r="C269" s="556" t="e">
        <f t="shared" si="16"/>
        <v>#NUM!</v>
      </c>
      <c r="D269" s="556" t="e">
        <f t="shared" si="17"/>
        <v>#NUM!</v>
      </c>
      <c r="E269" s="556" t="e">
        <f t="shared" si="18"/>
        <v>#NUM!</v>
      </c>
      <c r="G269" s="556" t="e">
        <f t="shared" si="19"/>
        <v>#NUM!</v>
      </c>
    </row>
    <row r="270" spans="2:7" x14ac:dyDescent="0.3">
      <c r="B270" s="558">
        <v>261</v>
      </c>
      <c r="C270" s="556" t="e">
        <f t="shared" si="16"/>
        <v>#NUM!</v>
      </c>
      <c r="D270" s="556" t="e">
        <f t="shared" si="17"/>
        <v>#NUM!</v>
      </c>
      <c r="E270" s="556" t="e">
        <f t="shared" si="18"/>
        <v>#NUM!</v>
      </c>
      <c r="G270" s="556" t="e">
        <f t="shared" si="19"/>
        <v>#NUM!</v>
      </c>
    </row>
    <row r="271" spans="2:7" x14ac:dyDescent="0.3">
      <c r="B271" s="558">
        <v>262</v>
      </c>
      <c r="C271" s="556" t="e">
        <f t="shared" si="16"/>
        <v>#NUM!</v>
      </c>
      <c r="D271" s="556" t="e">
        <f t="shared" si="17"/>
        <v>#NUM!</v>
      </c>
      <c r="E271" s="556" t="e">
        <f t="shared" si="18"/>
        <v>#NUM!</v>
      </c>
      <c r="G271" s="556" t="e">
        <f t="shared" si="19"/>
        <v>#NUM!</v>
      </c>
    </row>
    <row r="272" spans="2:7" x14ac:dyDescent="0.3">
      <c r="B272" s="558">
        <v>263</v>
      </c>
      <c r="C272" s="556" t="e">
        <f t="shared" si="16"/>
        <v>#NUM!</v>
      </c>
      <c r="D272" s="556" t="e">
        <f t="shared" si="17"/>
        <v>#NUM!</v>
      </c>
      <c r="E272" s="556" t="e">
        <f t="shared" si="18"/>
        <v>#NUM!</v>
      </c>
      <c r="G272" s="556" t="e">
        <f t="shared" si="19"/>
        <v>#NUM!</v>
      </c>
    </row>
    <row r="273" spans="2:7" x14ac:dyDescent="0.3">
      <c r="B273" s="558">
        <v>264</v>
      </c>
      <c r="C273" s="556" t="e">
        <f t="shared" si="16"/>
        <v>#NUM!</v>
      </c>
      <c r="D273" s="556" t="e">
        <f t="shared" si="17"/>
        <v>#NUM!</v>
      </c>
      <c r="E273" s="556" t="e">
        <f t="shared" si="18"/>
        <v>#NUM!</v>
      </c>
      <c r="G273" s="556" t="e">
        <f t="shared" si="19"/>
        <v>#NUM!</v>
      </c>
    </row>
    <row r="274" spans="2:7" x14ac:dyDescent="0.3">
      <c r="B274" s="558">
        <v>265</v>
      </c>
      <c r="C274" s="556" t="e">
        <f t="shared" si="16"/>
        <v>#NUM!</v>
      </c>
      <c r="D274" s="556" t="e">
        <f t="shared" si="17"/>
        <v>#NUM!</v>
      </c>
      <c r="E274" s="556" t="e">
        <f t="shared" si="18"/>
        <v>#NUM!</v>
      </c>
      <c r="G274" s="556" t="e">
        <f t="shared" si="19"/>
        <v>#NUM!</v>
      </c>
    </row>
    <row r="275" spans="2:7" x14ac:dyDescent="0.3">
      <c r="B275" s="558">
        <v>266</v>
      </c>
      <c r="C275" s="556" t="e">
        <f t="shared" si="16"/>
        <v>#NUM!</v>
      </c>
      <c r="D275" s="556" t="e">
        <f t="shared" si="17"/>
        <v>#NUM!</v>
      </c>
      <c r="E275" s="556" t="e">
        <f t="shared" si="18"/>
        <v>#NUM!</v>
      </c>
      <c r="G275" s="556" t="e">
        <f t="shared" si="19"/>
        <v>#NUM!</v>
      </c>
    </row>
    <row r="276" spans="2:7" x14ac:dyDescent="0.3">
      <c r="B276" s="558">
        <v>267</v>
      </c>
      <c r="C276" s="556" t="e">
        <f t="shared" si="16"/>
        <v>#NUM!</v>
      </c>
      <c r="D276" s="556" t="e">
        <f t="shared" si="17"/>
        <v>#NUM!</v>
      </c>
      <c r="E276" s="556" t="e">
        <f t="shared" si="18"/>
        <v>#NUM!</v>
      </c>
      <c r="G276" s="556" t="e">
        <f t="shared" si="19"/>
        <v>#NUM!</v>
      </c>
    </row>
    <row r="277" spans="2:7" x14ac:dyDescent="0.3">
      <c r="B277" s="558">
        <v>268</v>
      </c>
      <c r="C277" s="556" t="e">
        <f t="shared" si="16"/>
        <v>#NUM!</v>
      </c>
      <c r="D277" s="556" t="e">
        <f t="shared" si="17"/>
        <v>#NUM!</v>
      </c>
      <c r="E277" s="556" t="e">
        <f t="shared" si="18"/>
        <v>#NUM!</v>
      </c>
      <c r="G277" s="556" t="e">
        <f t="shared" si="19"/>
        <v>#NUM!</v>
      </c>
    </row>
    <row r="278" spans="2:7" x14ac:dyDescent="0.3">
      <c r="B278" s="558">
        <v>269</v>
      </c>
      <c r="C278" s="556" t="e">
        <f t="shared" si="16"/>
        <v>#NUM!</v>
      </c>
      <c r="D278" s="556" t="e">
        <f t="shared" si="17"/>
        <v>#NUM!</v>
      </c>
      <c r="E278" s="556" t="e">
        <f t="shared" si="18"/>
        <v>#NUM!</v>
      </c>
      <c r="G278" s="556" t="e">
        <f t="shared" si="19"/>
        <v>#NUM!</v>
      </c>
    </row>
    <row r="279" spans="2:7" x14ac:dyDescent="0.3">
      <c r="B279" s="558">
        <v>270</v>
      </c>
      <c r="C279" s="556" t="e">
        <f t="shared" si="16"/>
        <v>#NUM!</v>
      </c>
      <c r="D279" s="556" t="e">
        <f t="shared" si="17"/>
        <v>#NUM!</v>
      </c>
      <c r="E279" s="556" t="e">
        <f t="shared" si="18"/>
        <v>#NUM!</v>
      </c>
      <c r="G279" s="556" t="e">
        <f t="shared" si="19"/>
        <v>#NUM!</v>
      </c>
    </row>
    <row r="280" spans="2:7" x14ac:dyDescent="0.3">
      <c r="B280" s="558">
        <v>271</v>
      </c>
      <c r="C280" s="556" t="e">
        <f t="shared" si="16"/>
        <v>#NUM!</v>
      </c>
      <c r="D280" s="556" t="e">
        <f t="shared" si="17"/>
        <v>#NUM!</v>
      </c>
      <c r="E280" s="556" t="e">
        <f t="shared" si="18"/>
        <v>#NUM!</v>
      </c>
      <c r="G280" s="556" t="e">
        <f t="shared" si="19"/>
        <v>#NUM!</v>
      </c>
    </row>
    <row r="281" spans="2:7" x14ac:dyDescent="0.3">
      <c r="B281" s="558">
        <v>272</v>
      </c>
      <c r="C281" s="556" t="e">
        <f t="shared" si="16"/>
        <v>#NUM!</v>
      </c>
      <c r="D281" s="556" t="e">
        <f t="shared" si="17"/>
        <v>#NUM!</v>
      </c>
      <c r="E281" s="556" t="e">
        <f t="shared" si="18"/>
        <v>#NUM!</v>
      </c>
      <c r="G281" s="556" t="e">
        <f t="shared" si="19"/>
        <v>#NUM!</v>
      </c>
    </row>
    <row r="282" spans="2:7" x14ac:dyDescent="0.3">
      <c r="B282" s="558">
        <v>273</v>
      </c>
      <c r="C282" s="556" t="e">
        <f t="shared" si="16"/>
        <v>#NUM!</v>
      </c>
      <c r="D282" s="556" t="e">
        <f t="shared" si="17"/>
        <v>#NUM!</v>
      </c>
      <c r="E282" s="556" t="e">
        <f t="shared" si="18"/>
        <v>#NUM!</v>
      </c>
      <c r="G282" s="556" t="e">
        <f t="shared" si="19"/>
        <v>#NUM!</v>
      </c>
    </row>
    <row r="283" spans="2:7" x14ac:dyDescent="0.3">
      <c r="B283" s="558">
        <v>274</v>
      </c>
      <c r="C283" s="556" t="e">
        <f t="shared" si="16"/>
        <v>#NUM!</v>
      </c>
      <c r="D283" s="556" t="e">
        <f t="shared" si="17"/>
        <v>#NUM!</v>
      </c>
      <c r="E283" s="556" t="e">
        <f t="shared" si="18"/>
        <v>#NUM!</v>
      </c>
      <c r="G283" s="556" t="e">
        <f t="shared" si="19"/>
        <v>#NUM!</v>
      </c>
    </row>
    <row r="284" spans="2:7" x14ac:dyDescent="0.3">
      <c r="B284" s="558">
        <v>275</v>
      </c>
      <c r="C284" s="556" t="e">
        <f t="shared" si="16"/>
        <v>#NUM!</v>
      </c>
      <c r="D284" s="556" t="e">
        <f t="shared" si="17"/>
        <v>#NUM!</v>
      </c>
      <c r="E284" s="556" t="e">
        <f t="shared" si="18"/>
        <v>#NUM!</v>
      </c>
      <c r="G284" s="556" t="e">
        <f t="shared" si="19"/>
        <v>#NUM!</v>
      </c>
    </row>
    <row r="285" spans="2:7" x14ac:dyDescent="0.3">
      <c r="B285" s="558">
        <v>276</v>
      </c>
      <c r="C285" s="556" t="e">
        <f t="shared" si="16"/>
        <v>#NUM!</v>
      </c>
      <c r="D285" s="556" t="e">
        <f t="shared" si="17"/>
        <v>#NUM!</v>
      </c>
      <c r="E285" s="556" t="e">
        <f t="shared" si="18"/>
        <v>#NUM!</v>
      </c>
      <c r="G285" s="556" t="e">
        <f t="shared" si="19"/>
        <v>#NUM!</v>
      </c>
    </row>
    <row r="286" spans="2:7" x14ac:dyDescent="0.3">
      <c r="B286" s="558">
        <v>277</v>
      </c>
      <c r="C286" s="556" t="e">
        <f t="shared" si="16"/>
        <v>#NUM!</v>
      </c>
      <c r="D286" s="556" t="e">
        <f t="shared" si="17"/>
        <v>#NUM!</v>
      </c>
      <c r="E286" s="556" t="e">
        <f t="shared" si="18"/>
        <v>#NUM!</v>
      </c>
      <c r="G286" s="556" t="e">
        <f t="shared" si="19"/>
        <v>#NUM!</v>
      </c>
    </row>
    <row r="287" spans="2:7" x14ac:dyDescent="0.3">
      <c r="B287" s="558">
        <v>278</v>
      </c>
      <c r="C287" s="556" t="e">
        <f t="shared" si="16"/>
        <v>#NUM!</v>
      </c>
      <c r="D287" s="556" t="e">
        <f t="shared" si="17"/>
        <v>#NUM!</v>
      </c>
      <c r="E287" s="556" t="e">
        <f t="shared" si="18"/>
        <v>#NUM!</v>
      </c>
      <c r="G287" s="556" t="e">
        <f t="shared" si="19"/>
        <v>#NUM!</v>
      </c>
    </row>
    <row r="288" spans="2:7" x14ac:dyDescent="0.3">
      <c r="B288" s="558">
        <v>279</v>
      </c>
      <c r="C288" s="556" t="e">
        <f t="shared" si="16"/>
        <v>#NUM!</v>
      </c>
      <c r="D288" s="556" t="e">
        <f t="shared" si="17"/>
        <v>#NUM!</v>
      </c>
      <c r="E288" s="556" t="e">
        <f t="shared" si="18"/>
        <v>#NUM!</v>
      </c>
      <c r="G288" s="556" t="e">
        <f t="shared" si="19"/>
        <v>#NUM!</v>
      </c>
    </row>
    <row r="289" spans="2:7" x14ac:dyDescent="0.3">
      <c r="B289" s="558">
        <v>280</v>
      </c>
      <c r="C289" s="556" t="e">
        <f t="shared" si="16"/>
        <v>#NUM!</v>
      </c>
      <c r="D289" s="556" t="e">
        <f t="shared" si="17"/>
        <v>#NUM!</v>
      </c>
      <c r="E289" s="556" t="e">
        <f t="shared" si="18"/>
        <v>#NUM!</v>
      </c>
      <c r="G289" s="556" t="e">
        <f t="shared" si="19"/>
        <v>#NUM!</v>
      </c>
    </row>
    <row r="290" spans="2:7" x14ac:dyDescent="0.3">
      <c r="B290" s="558">
        <v>281</v>
      </c>
      <c r="C290" s="556" t="e">
        <f t="shared" si="16"/>
        <v>#NUM!</v>
      </c>
      <c r="D290" s="556" t="e">
        <f t="shared" si="17"/>
        <v>#NUM!</v>
      </c>
      <c r="E290" s="556" t="e">
        <f t="shared" si="18"/>
        <v>#NUM!</v>
      </c>
      <c r="G290" s="556" t="e">
        <f t="shared" si="19"/>
        <v>#NUM!</v>
      </c>
    </row>
    <row r="291" spans="2:7" x14ac:dyDescent="0.3">
      <c r="B291" s="558">
        <v>282</v>
      </c>
      <c r="C291" s="556" t="e">
        <f t="shared" si="16"/>
        <v>#NUM!</v>
      </c>
      <c r="D291" s="556" t="e">
        <f t="shared" si="17"/>
        <v>#NUM!</v>
      </c>
      <c r="E291" s="556" t="e">
        <f t="shared" si="18"/>
        <v>#NUM!</v>
      </c>
      <c r="G291" s="556" t="e">
        <f t="shared" si="19"/>
        <v>#NUM!</v>
      </c>
    </row>
    <row r="292" spans="2:7" x14ac:dyDescent="0.3">
      <c r="B292" s="558">
        <v>283</v>
      </c>
      <c r="C292" s="556" t="e">
        <f t="shared" si="16"/>
        <v>#NUM!</v>
      </c>
      <c r="D292" s="556" t="e">
        <f t="shared" si="17"/>
        <v>#NUM!</v>
      </c>
      <c r="E292" s="556" t="e">
        <f t="shared" si="18"/>
        <v>#NUM!</v>
      </c>
      <c r="G292" s="556" t="e">
        <f t="shared" si="19"/>
        <v>#NUM!</v>
      </c>
    </row>
    <row r="293" spans="2:7" x14ac:dyDescent="0.3">
      <c r="B293" s="558">
        <v>284</v>
      </c>
      <c r="C293" s="556" t="e">
        <f t="shared" si="16"/>
        <v>#NUM!</v>
      </c>
      <c r="D293" s="556" t="e">
        <f t="shared" si="17"/>
        <v>#NUM!</v>
      </c>
      <c r="E293" s="556" t="e">
        <f t="shared" si="18"/>
        <v>#NUM!</v>
      </c>
      <c r="G293" s="556" t="e">
        <f t="shared" si="19"/>
        <v>#NUM!</v>
      </c>
    </row>
    <row r="294" spans="2:7" x14ac:dyDescent="0.3">
      <c r="B294" s="558">
        <v>285</v>
      </c>
      <c r="C294" s="556" t="e">
        <f t="shared" si="16"/>
        <v>#NUM!</v>
      </c>
      <c r="D294" s="556" t="e">
        <f t="shared" si="17"/>
        <v>#NUM!</v>
      </c>
      <c r="E294" s="556" t="e">
        <f t="shared" si="18"/>
        <v>#NUM!</v>
      </c>
      <c r="G294" s="556" t="e">
        <f t="shared" si="19"/>
        <v>#NUM!</v>
      </c>
    </row>
    <row r="295" spans="2:7" x14ac:dyDescent="0.3">
      <c r="B295" s="558">
        <v>286</v>
      </c>
      <c r="C295" s="556" t="e">
        <f t="shared" si="16"/>
        <v>#NUM!</v>
      </c>
      <c r="D295" s="556" t="e">
        <f t="shared" si="17"/>
        <v>#NUM!</v>
      </c>
      <c r="E295" s="556" t="e">
        <f t="shared" si="18"/>
        <v>#NUM!</v>
      </c>
      <c r="G295" s="556" t="e">
        <f t="shared" si="19"/>
        <v>#NUM!</v>
      </c>
    </row>
    <row r="296" spans="2:7" x14ac:dyDescent="0.3">
      <c r="B296" s="558">
        <v>287</v>
      </c>
      <c r="C296" s="556" t="e">
        <f t="shared" si="16"/>
        <v>#NUM!</v>
      </c>
      <c r="D296" s="556" t="e">
        <f t="shared" si="17"/>
        <v>#NUM!</v>
      </c>
      <c r="E296" s="556" t="e">
        <f t="shared" si="18"/>
        <v>#NUM!</v>
      </c>
      <c r="G296" s="556" t="e">
        <f t="shared" si="19"/>
        <v>#NUM!</v>
      </c>
    </row>
    <row r="297" spans="2:7" x14ac:dyDescent="0.3">
      <c r="B297" s="558">
        <v>288</v>
      </c>
      <c r="C297" s="556" t="e">
        <f t="shared" si="16"/>
        <v>#NUM!</v>
      </c>
      <c r="D297" s="556" t="e">
        <f t="shared" si="17"/>
        <v>#NUM!</v>
      </c>
      <c r="E297" s="556" t="e">
        <f t="shared" si="18"/>
        <v>#NUM!</v>
      </c>
      <c r="G297" s="556" t="e">
        <f t="shared" si="19"/>
        <v>#NUM!</v>
      </c>
    </row>
    <row r="298" spans="2:7" x14ac:dyDescent="0.3">
      <c r="B298" s="558">
        <v>289</v>
      </c>
      <c r="C298" s="556" t="e">
        <f t="shared" si="16"/>
        <v>#NUM!</v>
      </c>
      <c r="D298" s="556" t="e">
        <f t="shared" si="17"/>
        <v>#NUM!</v>
      </c>
      <c r="E298" s="556" t="e">
        <f t="shared" si="18"/>
        <v>#NUM!</v>
      </c>
      <c r="G298" s="556" t="e">
        <f t="shared" si="19"/>
        <v>#NUM!</v>
      </c>
    </row>
    <row r="299" spans="2:7" x14ac:dyDescent="0.3">
      <c r="B299" s="558">
        <v>290</v>
      </c>
      <c r="C299" s="556" t="e">
        <f t="shared" si="16"/>
        <v>#NUM!</v>
      </c>
      <c r="D299" s="556" t="e">
        <f t="shared" si="17"/>
        <v>#NUM!</v>
      </c>
      <c r="E299" s="556" t="e">
        <f t="shared" si="18"/>
        <v>#NUM!</v>
      </c>
      <c r="G299" s="556" t="e">
        <f t="shared" si="19"/>
        <v>#NUM!</v>
      </c>
    </row>
    <row r="300" spans="2:7" x14ac:dyDescent="0.3">
      <c r="B300" s="558">
        <v>291</v>
      </c>
      <c r="C300" s="556" t="e">
        <f t="shared" si="16"/>
        <v>#NUM!</v>
      </c>
      <c r="D300" s="556" t="e">
        <f t="shared" si="17"/>
        <v>#NUM!</v>
      </c>
      <c r="E300" s="556" t="e">
        <f t="shared" si="18"/>
        <v>#NUM!</v>
      </c>
      <c r="G300" s="556" t="e">
        <f t="shared" si="19"/>
        <v>#NUM!</v>
      </c>
    </row>
    <row r="301" spans="2:7" x14ac:dyDescent="0.3">
      <c r="B301" s="558">
        <v>292</v>
      </c>
      <c r="C301" s="556" t="e">
        <f t="shared" si="16"/>
        <v>#NUM!</v>
      </c>
      <c r="D301" s="556" t="e">
        <f t="shared" si="17"/>
        <v>#NUM!</v>
      </c>
      <c r="E301" s="556" t="e">
        <f t="shared" si="18"/>
        <v>#NUM!</v>
      </c>
      <c r="G301" s="556" t="e">
        <f t="shared" si="19"/>
        <v>#NUM!</v>
      </c>
    </row>
    <row r="302" spans="2:7" x14ac:dyDescent="0.3">
      <c r="B302" s="558">
        <v>293</v>
      </c>
      <c r="C302" s="556" t="e">
        <f t="shared" si="16"/>
        <v>#NUM!</v>
      </c>
      <c r="D302" s="556" t="e">
        <f t="shared" si="17"/>
        <v>#NUM!</v>
      </c>
      <c r="E302" s="556" t="e">
        <f t="shared" si="18"/>
        <v>#NUM!</v>
      </c>
      <c r="G302" s="556" t="e">
        <f t="shared" si="19"/>
        <v>#NUM!</v>
      </c>
    </row>
    <row r="303" spans="2:7" x14ac:dyDescent="0.3">
      <c r="B303" s="558">
        <v>294</v>
      </c>
      <c r="C303" s="556" t="e">
        <f t="shared" si="16"/>
        <v>#NUM!</v>
      </c>
      <c r="D303" s="556" t="e">
        <f t="shared" si="17"/>
        <v>#NUM!</v>
      </c>
      <c r="E303" s="556" t="e">
        <f t="shared" si="18"/>
        <v>#NUM!</v>
      </c>
      <c r="G303" s="556" t="e">
        <f t="shared" si="19"/>
        <v>#NUM!</v>
      </c>
    </row>
    <row r="304" spans="2:7" x14ac:dyDescent="0.3">
      <c r="B304" s="558">
        <v>295</v>
      </c>
      <c r="C304" s="556" t="e">
        <f t="shared" si="16"/>
        <v>#NUM!</v>
      </c>
      <c r="D304" s="556" t="e">
        <f t="shared" si="17"/>
        <v>#NUM!</v>
      </c>
      <c r="E304" s="556" t="e">
        <f t="shared" si="18"/>
        <v>#NUM!</v>
      </c>
      <c r="G304" s="556" t="e">
        <f t="shared" si="19"/>
        <v>#NUM!</v>
      </c>
    </row>
    <row r="305" spans="2:7" x14ac:dyDescent="0.3">
      <c r="B305" s="558">
        <v>296</v>
      </c>
      <c r="C305" s="556" t="e">
        <f t="shared" si="16"/>
        <v>#NUM!</v>
      </c>
      <c r="D305" s="556" t="e">
        <f t="shared" si="17"/>
        <v>#NUM!</v>
      </c>
      <c r="E305" s="556" t="e">
        <f t="shared" si="18"/>
        <v>#NUM!</v>
      </c>
      <c r="G305" s="556" t="e">
        <f t="shared" si="19"/>
        <v>#NUM!</v>
      </c>
    </row>
    <row r="306" spans="2:7" x14ac:dyDescent="0.3">
      <c r="B306" s="558">
        <v>297</v>
      </c>
      <c r="C306" s="556" t="e">
        <f t="shared" si="16"/>
        <v>#NUM!</v>
      </c>
      <c r="D306" s="556" t="e">
        <f t="shared" si="17"/>
        <v>#NUM!</v>
      </c>
      <c r="E306" s="556" t="e">
        <f t="shared" si="18"/>
        <v>#NUM!</v>
      </c>
      <c r="G306" s="556" t="e">
        <f t="shared" si="19"/>
        <v>#NUM!</v>
      </c>
    </row>
    <row r="307" spans="2:7" x14ac:dyDescent="0.3">
      <c r="B307" s="558">
        <v>298</v>
      </c>
      <c r="C307" s="556" t="e">
        <f t="shared" si="16"/>
        <v>#NUM!</v>
      </c>
      <c r="D307" s="556" t="e">
        <f t="shared" si="17"/>
        <v>#NUM!</v>
      </c>
      <c r="E307" s="556" t="e">
        <f t="shared" si="18"/>
        <v>#NUM!</v>
      </c>
      <c r="G307" s="556" t="e">
        <f t="shared" si="19"/>
        <v>#NUM!</v>
      </c>
    </row>
    <row r="308" spans="2:7" x14ac:dyDescent="0.3">
      <c r="B308" s="558">
        <v>299</v>
      </c>
      <c r="C308" s="556" t="e">
        <f t="shared" si="16"/>
        <v>#NUM!</v>
      </c>
      <c r="D308" s="556" t="e">
        <f t="shared" si="17"/>
        <v>#NUM!</v>
      </c>
      <c r="E308" s="556" t="e">
        <f t="shared" si="18"/>
        <v>#NUM!</v>
      </c>
      <c r="G308" s="556" t="e">
        <f t="shared" si="19"/>
        <v>#NUM!</v>
      </c>
    </row>
    <row r="309" spans="2:7" x14ac:dyDescent="0.3">
      <c r="B309" s="558">
        <v>300</v>
      </c>
      <c r="C309" s="556" t="e">
        <f t="shared" si="16"/>
        <v>#NUM!</v>
      </c>
      <c r="D309" s="556" t="e">
        <f t="shared" si="17"/>
        <v>#NUM!</v>
      </c>
      <c r="E309" s="556" t="e">
        <f t="shared" si="18"/>
        <v>#NUM!</v>
      </c>
      <c r="G309" s="556" t="e">
        <f t="shared" si="19"/>
        <v>#NUM!</v>
      </c>
    </row>
    <row r="310" spans="2:7" x14ac:dyDescent="0.3">
      <c r="B310" s="558">
        <v>301</v>
      </c>
      <c r="C310" s="556" t="e">
        <f t="shared" si="16"/>
        <v>#NUM!</v>
      </c>
      <c r="D310" s="556" t="e">
        <f t="shared" si="17"/>
        <v>#NUM!</v>
      </c>
      <c r="E310" s="556" t="e">
        <f t="shared" si="18"/>
        <v>#NUM!</v>
      </c>
      <c r="G310" s="556" t="e">
        <f t="shared" si="19"/>
        <v>#NUM!</v>
      </c>
    </row>
    <row r="311" spans="2:7" x14ac:dyDescent="0.3">
      <c r="B311" s="558">
        <v>302</v>
      </c>
      <c r="C311" s="556" t="e">
        <f t="shared" si="16"/>
        <v>#NUM!</v>
      </c>
      <c r="D311" s="556" t="e">
        <f t="shared" si="17"/>
        <v>#NUM!</v>
      </c>
      <c r="E311" s="556" t="e">
        <f t="shared" si="18"/>
        <v>#NUM!</v>
      </c>
      <c r="G311" s="556" t="e">
        <f t="shared" si="19"/>
        <v>#NUM!</v>
      </c>
    </row>
    <row r="312" spans="2:7" x14ac:dyDescent="0.3">
      <c r="B312" s="558">
        <v>303</v>
      </c>
      <c r="C312" s="556" t="e">
        <f t="shared" si="16"/>
        <v>#NUM!</v>
      </c>
      <c r="D312" s="556" t="e">
        <f t="shared" si="17"/>
        <v>#NUM!</v>
      </c>
      <c r="E312" s="556" t="e">
        <f t="shared" si="18"/>
        <v>#NUM!</v>
      </c>
      <c r="G312" s="556" t="e">
        <f t="shared" si="19"/>
        <v>#NUM!</v>
      </c>
    </row>
    <row r="313" spans="2:7" x14ac:dyDescent="0.3">
      <c r="B313" s="558">
        <v>304</v>
      </c>
      <c r="C313" s="556" t="e">
        <f t="shared" si="16"/>
        <v>#NUM!</v>
      </c>
      <c r="D313" s="556" t="e">
        <f t="shared" si="17"/>
        <v>#NUM!</v>
      </c>
      <c r="E313" s="556" t="e">
        <f t="shared" si="18"/>
        <v>#NUM!</v>
      </c>
      <c r="G313" s="556" t="e">
        <f t="shared" si="19"/>
        <v>#NUM!</v>
      </c>
    </row>
    <row r="314" spans="2:7" x14ac:dyDescent="0.3">
      <c r="B314" s="558">
        <v>305</v>
      </c>
      <c r="C314" s="556" t="e">
        <f t="shared" si="16"/>
        <v>#NUM!</v>
      </c>
      <c r="D314" s="556" t="e">
        <f t="shared" si="17"/>
        <v>#NUM!</v>
      </c>
      <c r="E314" s="556" t="e">
        <f t="shared" si="18"/>
        <v>#NUM!</v>
      </c>
      <c r="G314" s="556" t="e">
        <f t="shared" si="19"/>
        <v>#NUM!</v>
      </c>
    </row>
    <row r="315" spans="2:7" x14ac:dyDescent="0.3">
      <c r="B315" s="558">
        <v>306</v>
      </c>
      <c r="C315" s="556" t="e">
        <f t="shared" si="16"/>
        <v>#NUM!</v>
      </c>
      <c r="D315" s="556" t="e">
        <f t="shared" si="17"/>
        <v>#NUM!</v>
      </c>
      <c r="E315" s="556" t="e">
        <f t="shared" si="18"/>
        <v>#NUM!</v>
      </c>
      <c r="G315" s="556" t="e">
        <f t="shared" si="19"/>
        <v>#NUM!</v>
      </c>
    </row>
    <row r="316" spans="2:7" x14ac:dyDescent="0.3">
      <c r="B316" s="558">
        <v>307</v>
      </c>
      <c r="C316" s="556" t="e">
        <f t="shared" si="16"/>
        <v>#NUM!</v>
      </c>
      <c r="D316" s="556" t="e">
        <f t="shared" si="17"/>
        <v>#NUM!</v>
      </c>
      <c r="E316" s="556" t="e">
        <f t="shared" si="18"/>
        <v>#NUM!</v>
      </c>
      <c r="G316" s="556" t="e">
        <f t="shared" si="19"/>
        <v>#NUM!</v>
      </c>
    </row>
    <row r="317" spans="2:7" x14ac:dyDescent="0.3">
      <c r="B317" s="558">
        <v>308</v>
      </c>
      <c r="C317" s="556" t="e">
        <f t="shared" si="16"/>
        <v>#NUM!</v>
      </c>
      <c r="D317" s="556" t="e">
        <f t="shared" si="17"/>
        <v>#NUM!</v>
      </c>
      <c r="E317" s="556" t="e">
        <f t="shared" si="18"/>
        <v>#NUM!</v>
      </c>
      <c r="G317" s="556" t="e">
        <f t="shared" si="19"/>
        <v>#NUM!</v>
      </c>
    </row>
    <row r="318" spans="2:7" x14ac:dyDescent="0.3">
      <c r="B318" s="558">
        <v>309</v>
      </c>
      <c r="C318" s="556" t="e">
        <f t="shared" si="16"/>
        <v>#NUM!</v>
      </c>
      <c r="D318" s="556" t="e">
        <f t="shared" si="17"/>
        <v>#NUM!</v>
      </c>
      <c r="E318" s="556" t="e">
        <f t="shared" si="18"/>
        <v>#NUM!</v>
      </c>
      <c r="G318" s="556" t="e">
        <f t="shared" si="19"/>
        <v>#NUM!</v>
      </c>
    </row>
    <row r="319" spans="2:7" x14ac:dyDescent="0.3">
      <c r="B319" s="558">
        <v>310</v>
      </c>
      <c r="C319" s="556" t="e">
        <f t="shared" si="16"/>
        <v>#NUM!</v>
      </c>
      <c r="D319" s="556" t="e">
        <f t="shared" si="17"/>
        <v>#NUM!</v>
      </c>
      <c r="E319" s="556" t="e">
        <f t="shared" si="18"/>
        <v>#NUM!</v>
      </c>
      <c r="G319" s="556" t="e">
        <f t="shared" si="19"/>
        <v>#NUM!</v>
      </c>
    </row>
    <row r="320" spans="2:7" x14ac:dyDescent="0.3">
      <c r="B320" s="558">
        <v>311</v>
      </c>
      <c r="C320" s="556" t="e">
        <f t="shared" si="16"/>
        <v>#NUM!</v>
      </c>
      <c r="D320" s="556" t="e">
        <f t="shared" si="17"/>
        <v>#NUM!</v>
      </c>
      <c r="E320" s="556" t="e">
        <f t="shared" si="18"/>
        <v>#NUM!</v>
      </c>
      <c r="G320" s="556" t="e">
        <f t="shared" si="19"/>
        <v>#NUM!</v>
      </c>
    </row>
    <row r="321" spans="2:7" x14ac:dyDescent="0.3">
      <c r="B321" s="558">
        <v>312</v>
      </c>
      <c r="C321" s="556" t="e">
        <f t="shared" si="16"/>
        <v>#NUM!</v>
      </c>
      <c r="D321" s="556" t="e">
        <f t="shared" si="17"/>
        <v>#NUM!</v>
      </c>
      <c r="E321" s="556" t="e">
        <f t="shared" si="18"/>
        <v>#NUM!</v>
      </c>
      <c r="G321" s="556" t="e">
        <f t="shared" si="19"/>
        <v>#NUM!</v>
      </c>
    </row>
    <row r="322" spans="2:7" x14ac:dyDescent="0.3">
      <c r="B322" s="558">
        <v>313</v>
      </c>
      <c r="C322" s="556" t="e">
        <f t="shared" si="16"/>
        <v>#NUM!</v>
      </c>
      <c r="D322" s="556" t="e">
        <f t="shared" si="17"/>
        <v>#NUM!</v>
      </c>
      <c r="E322" s="556" t="e">
        <f t="shared" si="18"/>
        <v>#NUM!</v>
      </c>
      <c r="G322" s="556" t="e">
        <f t="shared" si="19"/>
        <v>#NUM!</v>
      </c>
    </row>
    <row r="323" spans="2:7" x14ac:dyDescent="0.3">
      <c r="B323" s="558">
        <v>314</v>
      </c>
      <c r="C323" s="556" t="e">
        <f t="shared" si="16"/>
        <v>#NUM!</v>
      </c>
      <c r="D323" s="556" t="e">
        <f t="shared" si="17"/>
        <v>#NUM!</v>
      </c>
      <c r="E323" s="556" t="e">
        <f t="shared" si="18"/>
        <v>#NUM!</v>
      </c>
      <c r="G323" s="556" t="e">
        <f t="shared" si="19"/>
        <v>#NUM!</v>
      </c>
    </row>
    <row r="324" spans="2:7" x14ac:dyDescent="0.3">
      <c r="B324" s="558">
        <v>315</v>
      </c>
      <c r="C324" s="556" t="e">
        <f t="shared" si="16"/>
        <v>#NUM!</v>
      </c>
      <c r="D324" s="556" t="e">
        <f t="shared" si="17"/>
        <v>#NUM!</v>
      </c>
      <c r="E324" s="556" t="e">
        <f t="shared" si="18"/>
        <v>#NUM!</v>
      </c>
      <c r="G324" s="556" t="e">
        <f t="shared" si="19"/>
        <v>#NUM!</v>
      </c>
    </row>
    <row r="325" spans="2:7" x14ac:dyDescent="0.3">
      <c r="B325" s="558">
        <v>316</v>
      </c>
      <c r="C325" s="556" t="e">
        <f t="shared" si="16"/>
        <v>#NUM!</v>
      </c>
      <c r="D325" s="556" t="e">
        <f t="shared" si="17"/>
        <v>#NUM!</v>
      </c>
      <c r="E325" s="556" t="e">
        <f t="shared" si="18"/>
        <v>#NUM!</v>
      </c>
      <c r="G325" s="556" t="e">
        <f t="shared" si="19"/>
        <v>#NUM!</v>
      </c>
    </row>
    <row r="326" spans="2:7" x14ac:dyDescent="0.3">
      <c r="B326" s="558">
        <v>317</v>
      </c>
      <c r="C326" s="556" t="e">
        <f t="shared" si="16"/>
        <v>#NUM!</v>
      </c>
      <c r="D326" s="556" t="e">
        <f t="shared" si="17"/>
        <v>#NUM!</v>
      </c>
      <c r="E326" s="556" t="e">
        <f t="shared" si="18"/>
        <v>#NUM!</v>
      </c>
      <c r="G326" s="556" t="e">
        <f t="shared" si="19"/>
        <v>#NUM!</v>
      </c>
    </row>
    <row r="327" spans="2:7" x14ac:dyDescent="0.3">
      <c r="B327" s="558">
        <v>318</v>
      </c>
      <c r="C327" s="556" t="e">
        <f t="shared" si="16"/>
        <v>#NUM!</v>
      </c>
      <c r="D327" s="556" t="e">
        <f t="shared" si="17"/>
        <v>#NUM!</v>
      </c>
      <c r="E327" s="556" t="e">
        <f t="shared" si="18"/>
        <v>#NUM!</v>
      </c>
      <c r="G327" s="556" t="e">
        <f t="shared" si="19"/>
        <v>#NUM!</v>
      </c>
    </row>
    <row r="328" spans="2:7" x14ac:dyDescent="0.3">
      <c r="B328" s="558">
        <v>319</v>
      </c>
      <c r="C328" s="556" t="e">
        <f t="shared" si="16"/>
        <v>#NUM!</v>
      </c>
      <c r="D328" s="556" t="e">
        <f t="shared" si="17"/>
        <v>#NUM!</v>
      </c>
      <c r="E328" s="556" t="e">
        <f t="shared" si="18"/>
        <v>#NUM!</v>
      </c>
      <c r="G328" s="556" t="e">
        <f t="shared" si="19"/>
        <v>#NUM!</v>
      </c>
    </row>
    <row r="329" spans="2:7" x14ac:dyDescent="0.3">
      <c r="B329" s="558">
        <v>320</v>
      </c>
      <c r="C329" s="556" t="e">
        <f t="shared" si="16"/>
        <v>#NUM!</v>
      </c>
      <c r="D329" s="556" t="e">
        <f t="shared" si="17"/>
        <v>#NUM!</v>
      </c>
      <c r="E329" s="556" t="e">
        <f t="shared" si="18"/>
        <v>#NUM!</v>
      </c>
      <c r="G329" s="556" t="e">
        <f t="shared" si="19"/>
        <v>#NUM!</v>
      </c>
    </row>
    <row r="330" spans="2:7" x14ac:dyDescent="0.3">
      <c r="B330" s="558">
        <v>321</v>
      </c>
      <c r="C330" s="556" t="e">
        <f t="shared" ref="C330:C371" si="20">IF($C$3&lt;G330+(G330*($C$4/$C$6)),$C$3,G330+(G330*($C$4/$C$6)))</f>
        <v>#NUM!</v>
      </c>
      <c r="D330" s="556" t="e">
        <f t="shared" ref="D330:D371" si="21">G330*$C$4/$C$6</f>
        <v>#NUM!</v>
      </c>
      <c r="E330" s="556" t="e">
        <f t="shared" ref="E330:E371" si="22">C330-D330</f>
        <v>#NUM!</v>
      </c>
      <c r="G330" s="556" t="e">
        <f t="shared" si="19"/>
        <v>#NUM!</v>
      </c>
    </row>
    <row r="331" spans="2:7" x14ac:dyDescent="0.3">
      <c r="B331" s="558">
        <v>322</v>
      </c>
      <c r="C331" s="556" t="e">
        <f t="shared" si="20"/>
        <v>#NUM!</v>
      </c>
      <c r="D331" s="556" t="e">
        <f t="shared" si="21"/>
        <v>#NUM!</v>
      </c>
      <c r="E331" s="556" t="e">
        <f t="shared" si="22"/>
        <v>#NUM!</v>
      </c>
      <c r="G331" s="556" t="e">
        <f t="shared" ref="G331:G371" si="23">G330-E330-F330</f>
        <v>#NUM!</v>
      </c>
    </row>
    <row r="332" spans="2:7" x14ac:dyDescent="0.3">
      <c r="B332" s="558">
        <v>323</v>
      </c>
      <c r="C332" s="556" t="e">
        <f t="shared" si="20"/>
        <v>#NUM!</v>
      </c>
      <c r="D332" s="556" t="e">
        <f t="shared" si="21"/>
        <v>#NUM!</v>
      </c>
      <c r="E332" s="556" t="e">
        <f t="shared" si="22"/>
        <v>#NUM!</v>
      </c>
      <c r="G332" s="556" t="e">
        <f t="shared" si="23"/>
        <v>#NUM!</v>
      </c>
    </row>
    <row r="333" spans="2:7" x14ac:dyDescent="0.3">
      <c r="B333" s="558">
        <v>324</v>
      </c>
      <c r="C333" s="556" t="e">
        <f t="shared" si="20"/>
        <v>#NUM!</v>
      </c>
      <c r="D333" s="556" t="e">
        <f t="shared" si="21"/>
        <v>#NUM!</v>
      </c>
      <c r="E333" s="556" t="e">
        <f t="shared" si="22"/>
        <v>#NUM!</v>
      </c>
      <c r="G333" s="556" t="e">
        <f t="shared" si="23"/>
        <v>#NUM!</v>
      </c>
    </row>
    <row r="334" spans="2:7" x14ac:dyDescent="0.3">
      <c r="B334" s="558">
        <v>325</v>
      </c>
      <c r="C334" s="556" t="e">
        <f t="shared" si="20"/>
        <v>#NUM!</v>
      </c>
      <c r="D334" s="556" t="e">
        <f t="shared" si="21"/>
        <v>#NUM!</v>
      </c>
      <c r="E334" s="556" t="e">
        <f t="shared" si="22"/>
        <v>#NUM!</v>
      </c>
      <c r="G334" s="556" t="e">
        <f t="shared" si="23"/>
        <v>#NUM!</v>
      </c>
    </row>
    <row r="335" spans="2:7" x14ac:dyDescent="0.3">
      <c r="B335" s="558">
        <v>326</v>
      </c>
      <c r="C335" s="556" t="e">
        <f t="shared" si="20"/>
        <v>#NUM!</v>
      </c>
      <c r="D335" s="556" t="e">
        <f t="shared" si="21"/>
        <v>#NUM!</v>
      </c>
      <c r="E335" s="556" t="e">
        <f t="shared" si="22"/>
        <v>#NUM!</v>
      </c>
      <c r="G335" s="556" t="e">
        <f t="shared" si="23"/>
        <v>#NUM!</v>
      </c>
    </row>
    <row r="336" spans="2:7" x14ac:dyDescent="0.3">
      <c r="B336" s="558">
        <v>327</v>
      </c>
      <c r="C336" s="556" t="e">
        <f t="shared" si="20"/>
        <v>#NUM!</v>
      </c>
      <c r="D336" s="556" t="e">
        <f t="shared" si="21"/>
        <v>#NUM!</v>
      </c>
      <c r="E336" s="556" t="e">
        <f t="shared" si="22"/>
        <v>#NUM!</v>
      </c>
      <c r="G336" s="556" t="e">
        <f t="shared" si="23"/>
        <v>#NUM!</v>
      </c>
    </row>
    <row r="337" spans="2:7" x14ac:dyDescent="0.3">
      <c r="B337" s="558">
        <v>328</v>
      </c>
      <c r="C337" s="556" t="e">
        <f t="shared" si="20"/>
        <v>#NUM!</v>
      </c>
      <c r="D337" s="556" t="e">
        <f t="shared" si="21"/>
        <v>#NUM!</v>
      </c>
      <c r="E337" s="556" t="e">
        <f t="shared" si="22"/>
        <v>#NUM!</v>
      </c>
      <c r="G337" s="556" t="e">
        <f t="shared" si="23"/>
        <v>#NUM!</v>
      </c>
    </row>
    <row r="338" spans="2:7" x14ac:dyDescent="0.3">
      <c r="B338" s="558">
        <v>329</v>
      </c>
      <c r="C338" s="556" t="e">
        <f t="shared" si="20"/>
        <v>#NUM!</v>
      </c>
      <c r="D338" s="556" t="e">
        <f t="shared" si="21"/>
        <v>#NUM!</v>
      </c>
      <c r="E338" s="556" t="e">
        <f t="shared" si="22"/>
        <v>#NUM!</v>
      </c>
      <c r="G338" s="556" t="e">
        <f t="shared" si="23"/>
        <v>#NUM!</v>
      </c>
    </row>
    <row r="339" spans="2:7" x14ac:dyDescent="0.3">
      <c r="B339" s="558">
        <v>330</v>
      </c>
      <c r="C339" s="556" t="e">
        <f t="shared" si="20"/>
        <v>#NUM!</v>
      </c>
      <c r="D339" s="556" t="e">
        <f t="shared" si="21"/>
        <v>#NUM!</v>
      </c>
      <c r="E339" s="556" t="e">
        <f t="shared" si="22"/>
        <v>#NUM!</v>
      </c>
      <c r="G339" s="556" t="e">
        <f t="shared" si="23"/>
        <v>#NUM!</v>
      </c>
    </row>
    <row r="340" spans="2:7" x14ac:dyDescent="0.3">
      <c r="B340" s="558">
        <v>331</v>
      </c>
      <c r="C340" s="556" t="e">
        <f t="shared" si="20"/>
        <v>#NUM!</v>
      </c>
      <c r="D340" s="556" t="e">
        <f t="shared" si="21"/>
        <v>#NUM!</v>
      </c>
      <c r="E340" s="556" t="e">
        <f t="shared" si="22"/>
        <v>#NUM!</v>
      </c>
      <c r="G340" s="556" t="e">
        <f t="shared" si="23"/>
        <v>#NUM!</v>
      </c>
    </row>
    <row r="341" spans="2:7" x14ac:dyDescent="0.3">
      <c r="B341" s="558">
        <v>332</v>
      </c>
      <c r="C341" s="556" t="e">
        <f t="shared" si="20"/>
        <v>#NUM!</v>
      </c>
      <c r="D341" s="556" t="e">
        <f t="shared" si="21"/>
        <v>#NUM!</v>
      </c>
      <c r="E341" s="556" t="e">
        <f t="shared" si="22"/>
        <v>#NUM!</v>
      </c>
      <c r="G341" s="556" t="e">
        <f t="shared" si="23"/>
        <v>#NUM!</v>
      </c>
    </row>
    <row r="342" spans="2:7" x14ac:dyDescent="0.3">
      <c r="B342" s="558">
        <v>333</v>
      </c>
      <c r="C342" s="556" t="e">
        <f t="shared" si="20"/>
        <v>#NUM!</v>
      </c>
      <c r="D342" s="556" t="e">
        <f t="shared" si="21"/>
        <v>#NUM!</v>
      </c>
      <c r="E342" s="556" t="e">
        <f t="shared" si="22"/>
        <v>#NUM!</v>
      </c>
      <c r="G342" s="556" t="e">
        <f t="shared" si="23"/>
        <v>#NUM!</v>
      </c>
    </row>
    <row r="343" spans="2:7" x14ac:dyDescent="0.3">
      <c r="B343" s="558">
        <v>334</v>
      </c>
      <c r="C343" s="556" t="e">
        <f t="shared" si="20"/>
        <v>#NUM!</v>
      </c>
      <c r="D343" s="556" t="e">
        <f t="shared" si="21"/>
        <v>#NUM!</v>
      </c>
      <c r="E343" s="556" t="e">
        <f t="shared" si="22"/>
        <v>#NUM!</v>
      </c>
      <c r="G343" s="556" t="e">
        <f t="shared" si="23"/>
        <v>#NUM!</v>
      </c>
    </row>
    <row r="344" spans="2:7" x14ac:dyDescent="0.3">
      <c r="B344" s="558">
        <v>335</v>
      </c>
      <c r="C344" s="556" t="e">
        <f t="shared" si="20"/>
        <v>#NUM!</v>
      </c>
      <c r="D344" s="556" t="e">
        <f t="shared" si="21"/>
        <v>#NUM!</v>
      </c>
      <c r="E344" s="556" t="e">
        <f t="shared" si="22"/>
        <v>#NUM!</v>
      </c>
      <c r="G344" s="556" t="e">
        <f t="shared" si="23"/>
        <v>#NUM!</v>
      </c>
    </row>
    <row r="345" spans="2:7" x14ac:dyDescent="0.3">
      <c r="B345" s="558">
        <v>336</v>
      </c>
      <c r="C345" s="556" t="e">
        <f t="shared" si="20"/>
        <v>#NUM!</v>
      </c>
      <c r="D345" s="556" t="e">
        <f t="shared" si="21"/>
        <v>#NUM!</v>
      </c>
      <c r="E345" s="556" t="e">
        <f t="shared" si="22"/>
        <v>#NUM!</v>
      </c>
      <c r="G345" s="556" t="e">
        <f t="shared" si="23"/>
        <v>#NUM!</v>
      </c>
    </row>
    <row r="346" spans="2:7" x14ac:dyDescent="0.3">
      <c r="B346" s="558">
        <v>337</v>
      </c>
      <c r="C346" s="556" t="e">
        <f t="shared" si="20"/>
        <v>#NUM!</v>
      </c>
      <c r="D346" s="556" t="e">
        <f t="shared" si="21"/>
        <v>#NUM!</v>
      </c>
      <c r="E346" s="556" t="e">
        <f t="shared" si="22"/>
        <v>#NUM!</v>
      </c>
      <c r="G346" s="556" t="e">
        <f t="shared" si="23"/>
        <v>#NUM!</v>
      </c>
    </row>
    <row r="347" spans="2:7" x14ac:dyDescent="0.3">
      <c r="B347" s="558">
        <v>338</v>
      </c>
      <c r="C347" s="556" t="e">
        <f t="shared" si="20"/>
        <v>#NUM!</v>
      </c>
      <c r="D347" s="556" t="e">
        <f t="shared" si="21"/>
        <v>#NUM!</v>
      </c>
      <c r="E347" s="556" t="e">
        <f t="shared" si="22"/>
        <v>#NUM!</v>
      </c>
      <c r="G347" s="556" t="e">
        <f t="shared" si="23"/>
        <v>#NUM!</v>
      </c>
    </row>
    <row r="348" spans="2:7" x14ac:dyDescent="0.3">
      <c r="B348" s="558">
        <v>339</v>
      </c>
      <c r="C348" s="556" t="e">
        <f t="shared" si="20"/>
        <v>#NUM!</v>
      </c>
      <c r="D348" s="556" t="e">
        <f t="shared" si="21"/>
        <v>#NUM!</v>
      </c>
      <c r="E348" s="556" t="e">
        <f t="shared" si="22"/>
        <v>#NUM!</v>
      </c>
      <c r="G348" s="556" t="e">
        <f t="shared" si="23"/>
        <v>#NUM!</v>
      </c>
    </row>
    <row r="349" spans="2:7" x14ac:dyDescent="0.3">
      <c r="B349" s="558">
        <v>340</v>
      </c>
      <c r="C349" s="556" t="e">
        <f t="shared" si="20"/>
        <v>#NUM!</v>
      </c>
      <c r="D349" s="556" t="e">
        <f t="shared" si="21"/>
        <v>#NUM!</v>
      </c>
      <c r="E349" s="556" t="e">
        <f t="shared" si="22"/>
        <v>#NUM!</v>
      </c>
      <c r="G349" s="556" t="e">
        <f t="shared" si="23"/>
        <v>#NUM!</v>
      </c>
    </row>
    <row r="350" spans="2:7" x14ac:dyDescent="0.3">
      <c r="B350" s="558">
        <v>341</v>
      </c>
      <c r="C350" s="556" t="e">
        <f t="shared" si="20"/>
        <v>#NUM!</v>
      </c>
      <c r="D350" s="556" t="e">
        <f t="shared" si="21"/>
        <v>#NUM!</v>
      </c>
      <c r="E350" s="556" t="e">
        <f t="shared" si="22"/>
        <v>#NUM!</v>
      </c>
      <c r="G350" s="556" t="e">
        <f t="shared" si="23"/>
        <v>#NUM!</v>
      </c>
    </row>
    <row r="351" spans="2:7" x14ac:dyDescent="0.3">
      <c r="B351" s="558">
        <v>342</v>
      </c>
      <c r="C351" s="556" t="e">
        <f t="shared" si="20"/>
        <v>#NUM!</v>
      </c>
      <c r="D351" s="556" t="e">
        <f t="shared" si="21"/>
        <v>#NUM!</v>
      </c>
      <c r="E351" s="556" t="e">
        <f t="shared" si="22"/>
        <v>#NUM!</v>
      </c>
      <c r="G351" s="556" t="e">
        <f t="shared" si="23"/>
        <v>#NUM!</v>
      </c>
    </row>
    <row r="352" spans="2:7" x14ac:dyDescent="0.3">
      <c r="B352" s="558">
        <v>343</v>
      </c>
      <c r="C352" s="556" t="e">
        <f t="shared" si="20"/>
        <v>#NUM!</v>
      </c>
      <c r="D352" s="556" t="e">
        <f t="shared" si="21"/>
        <v>#NUM!</v>
      </c>
      <c r="E352" s="556" t="e">
        <f t="shared" si="22"/>
        <v>#NUM!</v>
      </c>
      <c r="G352" s="556" t="e">
        <f t="shared" si="23"/>
        <v>#NUM!</v>
      </c>
    </row>
    <row r="353" spans="2:7" x14ac:dyDescent="0.3">
      <c r="B353" s="558">
        <v>344</v>
      </c>
      <c r="C353" s="556" t="e">
        <f t="shared" si="20"/>
        <v>#NUM!</v>
      </c>
      <c r="D353" s="556" t="e">
        <f t="shared" si="21"/>
        <v>#NUM!</v>
      </c>
      <c r="E353" s="556" t="e">
        <f t="shared" si="22"/>
        <v>#NUM!</v>
      </c>
      <c r="G353" s="556" t="e">
        <f t="shared" si="23"/>
        <v>#NUM!</v>
      </c>
    </row>
    <row r="354" spans="2:7" x14ac:dyDescent="0.3">
      <c r="B354" s="558">
        <v>345</v>
      </c>
      <c r="C354" s="556" t="e">
        <f t="shared" si="20"/>
        <v>#NUM!</v>
      </c>
      <c r="D354" s="556" t="e">
        <f t="shared" si="21"/>
        <v>#NUM!</v>
      </c>
      <c r="E354" s="556" t="e">
        <f t="shared" si="22"/>
        <v>#NUM!</v>
      </c>
      <c r="G354" s="556" t="e">
        <f t="shared" si="23"/>
        <v>#NUM!</v>
      </c>
    </row>
    <row r="355" spans="2:7" x14ac:dyDescent="0.3">
      <c r="B355" s="558">
        <v>346</v>
      </c>
      <c r="C355" s="556" t="e">
        <f t="shared" si="20"/>
        <v>#NUM!</v>
      </c>
      <c r="D355" s="556" t="e">
        <f t="shared" si="21"/>
        <v>#NUM!</v>
      </c>
      <c r="E355" s="556" t="e">
        <f t="shared" si="22"/>
        <v>#NUM!</v>
      </c>
      <c r="G355" s="556" t="e">
        <f t="shared" si="23"/>
        <v>#NUM!</v>
      </c>
    </row>
    <row r="356" spans="2:7" x14ac:dyDescent="0.3">
      <c r="B356" s="558">
        <v>347</v>
      </c>
      <c r="C356" s="556" t="e">
        <f t="shared" si="20"/>
        <v>#NUM!</v>
      </c>
      <c r="D356" s="556" t="e">
        <f t="shared" si="21"/>
        <v>#NUM!</v>
      </c>
      <c r="E356" s="556" t="e">
        <f t="shared" si="22"/>
        <v>#NUM!</v>
      </c>
      <c r="G356" s="556" t="e">
        <f t="shared" si="23"/>
        <v>#NUM!</v>
      </c>
    </row>
    <row r="357" spans="2:7" x14ac:dyDescent="0.3">
      <c r="B357" s="558">
        <v>348</v>
      </c>
      <c r="C357" s="556" t="e">
        <f t="shared" si="20"/>
        <v>#NUM!</v>
      </c>
      <c r="D357" s="556" t="e">
        <f t="shared" si="21"/>
        <v>#NUM!</v>
      </c>
      <c r="E357" s="556" t="e">
        <f t="shared" si="22"/>
        <v>#NUM!</v>
      </c>
      <c r="G357" s="556" t="e">
        <f t="shared" si="23"/>
        <v>#NUM!</v>
      </c>
    </row>
    <row r="358" spans="2:7" x14ac:dyDescent="0.3">
      <c r="B358" s="558">
        <v>349</v>
      </c>
      <c r="C358" s="556" t="e">
        <f t="shared" si="20"/>
        <v>#NUM!</v>
      </c>
      <c r="D358" s="556" t="e">
        <f t="shared" si="21"/>
        <v>#NUM!</v>
      </c>
      <c r="E358" s="556" t="e">
        <f t="shared" si="22"/>
        <v>#NUM!</v>
      </c>
      <c r="G358" s="556" t="e">
        <f t="shared" si="23"/>
        <v>#NUM!</v>
      </c>
    </row>
    <row r="359" spans="2:7" x14ac:dyDescent="0.3">
      <c r="B359" s="558">
        <v>350</v>
      </c>
      <c r="C359" s="556" t="e">
        <f t="shared" si="20"/>
        <v>#NUM!</v>
      </c>
      <c r="D359" s="556" t="e">
        <f t="shared" si="21"/>
        <v>#NUM!</v>
      </c>
      <c r="E359" s="556" t="e">
        <f t="shared" si="22"/>
        <v>#NUM!</v>
      </c>
      <c r="G359" s="556" t="e">
        <f t="shared" si="23"/>
        <v>#NUM!</v>
      </c>
    </row>
    <row r="360" spans="2:7" x14ac:dyDescent="0.3">
      <c r="B360" s="558">
        <v>351</v>
      </c>
      <c r="C360" s="556" t="e">
        <f t="shared" si="20"/>
        <v>#NUM!</v>
      </c>
      <c r="D360" s="556" t="e">
        <f t="shared" si="21"/>
        <v>#NUM!</v>
      </c>
      <c r="E360" s="556" t="e">
        <f t="shared" si="22"/>
        <v>#NUM!</v>
      </c>
      <c r="G360" s="556" t="e">
        <f t="shared" si="23"/>
        <v>#NUM!</v>
      </c>
    </row>
    <row r="361" spans="2:7" x14ac:dyDescent="0.3">
      <c r="B361" s="558">
        <v>352</v>
      </c>
      <c r="C361" s="556" t="e">
        <f t="shared" si="20"/>
        <v>#NUM!</v>
      </c>
      <c r="D361" s="556" t="e">
        <f t="shared" si="21"/>
        <v>#NUM!</v>
      </c>
      <c r="E361" s="556" t="e">
        <f t="shared" si="22"/>
        <v>#NUM!</v>
      </c>
      <c r="G361" s="556" t="e">
        <f t="shared" si="23"/>
        <v>#NUM!</v>
      </c>
    </row>
    <row r="362" spans="2:7" x14ac:dyDescent="0.3">
      <c r="B362" s="558">
        <v>353</v>
      </c>
      <c r="C362" s="556" t="e">
        <f t="shared" si="20"/>
        <v>#NUM!</v>
      </c>
      <c r="D362" s="556" t="e">
        <f t="shared" si="21"/>
        <v>#NUM!</v>
      </c>
      <c r="E362" s="556" t="e">
        <f t="shared" si="22"/>
        <v>#NUM!</v>
      </c>
      <c r="G362" s="556" t="e">
        <f t="shared" si="23"/>
        <v>#NUM!</v>
      </c>
    </row>
    <row r="363" spans="2:7" x14ac:dyDescent="0.3">
      <c r="B363" s="558">
        <v>354</v>
      </c>
      <c r="C363" s="556" t="e">
        <f t="shared" si="20"/>
        <v>#NUM!</v>
      </c>
      <c r="D363" s="556" t="e">
        <f t="shared" si="21"/>
        <v>#NUM!</v>
      </c>
      <c r="E363" s="556" t="e">
        <f t="shared" si="22"/>
        <v>#NUM!</v>
      </c>
      <c r="G363" s="556" t="e">
        <f t="shared" si="23"/>
        <v>#NUM!</v>
      </c>
    </row>
    <row r="364" spans="2:7" x14ac:dyDescent="0.3">
      <c r="B364" s="558">
        <v>355</v>
      </c>
      <c r="C364" s="556" t="e">
        <f t="shared" si="20"/>
        <v>#NUM!</v>
      </c>
      <c r="D364" s="556" t="e">
        <f t="shared" si="21"/>
        <v>#NUM!</v>
      </c>
      <c r="E364" s="556" t="e">
        <f t="shared" si="22"/>
        <v>#NUM!</v>
      </c>
      <c r="G364" s="556" t="e">
        <f t="shared" si="23"/>
        <v>#NUM!</v>
      </c>
    </row>
    <row r="365" spans="2:7" x14ac:dyDescent="0.3">
      <c r="B365" s="558">
        <v>356</v>
      </c>
      <c r="C365" s="556" t="e">
        <f t="shared" si="20"/>
        <v>#NUM!</v>
      </c>
      <c r="D365" s="556" t="e">
        <f t="shared" si="21"/>
        <v>#NUM!</v>
      </c>
      <c r="E365" s="556" t="e">
        <f t="shared" si="22"/>
        <v>#NUM!</v>
      </c>
      <c r="G365" s="556" t="e">
        <f t="shared" si="23"/>
        <v>#NUM!</v>
      </c>
    </row>
    <row r="366" spans="2:7" x14ac:dyDescent="0.3">
      <c r="B366" s="558">
        <v>357</v>
      </c>
      <c r="C366" s="556" t="e">
        <f t="shared" si="20"/>
        <v>#NUM!</v>
      </c>
      <c r="D366" s="556" t="e">
        <f t="shared" si="21"/>
        <v>#NUM!</v>
      </c>
      <c r="E366" s="556" t="e">
        <f t="shared" si="22"/>
        <v>#NUM!</v>
      </c>
      <c r="G366" s="556" t="e">
        <f t="shared" si="23"/>
        <v>#NUM!</v>
      </c>
    </row>
    <row r="367" spans="2:7" x14ac:dyDescent="0.3">
      <c r="B367" s="558">
        <v>358</v>
      </c>
      <c r="C367" s="556" t="e">
        <f t="shared" si="20"/>
        <v>#NUM!</v>
      </c>
      <c r="D367" s="556" t="e">
        <f t="shared" si="21"/>
        <v>#NUM!</v>
      </c>
      <c r="E367" s="556" t="e">
        <f t="shared" si="22"/>
        <v>#NUM!</v>
      </c>
      <c r="G367" s="556" t="e">
        <f t="shared" si="23"/>
        <v>#NUM!</v>
      </c>
    </row>
    <row r="368" spans="2:7" x14ac:dyDescent="0.3">
      <c r="B368" s="558">
        <v>359</v>
      </c>
      <c r="C368" s="556" t="e">
        <f t="shared" si="20"/>
        <v>#NUM!</v>
      </c>
      <c r="D368" s="556" t="e">
        <f t="shared" si="21"/>
        <v>#NUM!</v>
      </c>
      <c r="E368" s="556" t="e">
        <f t="shared" si="22"/>
        <v>#NUM!</v>
      </c>
      <c r="G368" s="556" t="e">
        <f t="shared" si="23"/>
        <v>#NUM!</v>
      </c>
    </row>
    <row r="369" spans="2:7" x14ac:dyDescent="0.3">
      <c r="B369" s="558">
        <v>360</v>
      </c>
      <c r="C369" s="556" t="e">
        <f t="shared" si="20"/>
        <v>#NUM!</v>
      </c>
      <c r="D369" s="556" t="e">
        <f t="shared" si="21"/>
        <v>#NUM!</v>
      </c>
      <c r="E369" s="556" t="e">
        <f t="shared" si="22"/>
        <v>#NUM!</v>
      </c>
      <c r="G369" s="556" t="e">
        <f t="shared" si="23"/>
        <v>#NUM!</v>
      </c>
    </row>
    <row r="370" spans="2:7" x14ac:dyDescent="0.3">
      <c r="B370" s="558">
        <v>361</v>
      </c>
      <c r="C370" s="556" t="e">
        <f t="shared" si="20"/>
        <v>#NUM!</v>
      </c>
      <c r="D370" s="556" t="e">
        <f t="shared" si="21"/>
        <v>#NUM!</v>
      </c>
      <c r="E370" s="556" t="e">
        <f t="shared" si="22"/>
        <v>#NUM!</v>
      </c>
      <c r="G370" s="556" t="e">
        <f t="shared" si="23"/>
        <v>#NUM!</v>
      </c>
    </row>
    <row r="371" spans="2:7" x14ac:dyDescent="0.3">
      <c r="B371" s="558">
        <v>362</v>
      </c>
      <c r="C371" s="556" t="e">
        <f t="shared" si="20"/>
        <v>#NUM!</v>
      </c>
      <c r="D371" s="556" t="e">
        <f t="shared" si="21"/>
        <v>#NUM!</v>
      </c>
      <c r="E371" s="556" t="e">
        <f t="shared" si="22"/>
        <v>#NUM!</v>
      </c>
      <c r="G371" s="556" t="e">
        <f t="shared" si="23"/>
        <v>#NUM!</v>
      </c>
    </row>
  </sheetData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7A020BA9-7A66-4A02-AE68-651D6F7B3FE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44C8-2F8A-44A1-BB1A-A19515344C61}">
  <sheetPr codeName="Sheet16">
    <tabColor theme="4" tint="0.39997558519241921"/>
  </sheetPr>
  <dimension ref="A1:H33"/>
  <sheetViews>
    <sheetView workbookViewId="0">
      <selection activeCell="D17" sqref="D17"/>
    </sheetView>
  </sheetViews>
  <sheetFormatPr defaultColWidth="8.77734375" defaultRowHeight="14.4" x14ac:dyDescent="0.3"/>
  <cols>
    <col min="1" max="1" width="8.77734375" style="558"/>
    <col min="2" max="2" width="28.44140625" style="562" customWidth="1"/>
    <col min="3" max="3" width="17.88671875" style="563" customWidth="1"/>
    <col min="4" max="4" width="25.5546875" style="562" customWidth="1"/>
    <col min="5" max="5" width="16" style="563" customWidth="1"/>
    <col min="6" max="6" width="12.77734375" style="564" customWidth="1"/>
    <col min="7" max="7" width="13.5546875" style="564" customWidth="1"/>
    <col min="8" max="8" width="26.33203125" style="558" customWidth="1"/>
    <col min="9" max="9" width="17.21875" style="558" customWidth="1"/>
    <col min="10" max="16384" width="8.77734375" style="558"/>
  </cols>
  <sheetData>
    <row r="1" spans="1:8" x14ac:dyDescent="0.3">
      <c r="A1" s="628" t="s">
        <v>454</v>
      </c>
    </row>
    <row r="2" spans="1:8" ht="15" thickBot="1" x14ac:dyDescent="0.35"/>
    <row r="3" spans="1:8" s="569" customFormat="1" ht="29.4" thickBot="1" x14ac:dyDescent="0.35">
      <c r="B3" s="565" t="s">
        <v>385</v>
      </c>
      <c r="C3" s="566" t="e">
        <f>'Principle Recapture ARV'!C3</f>
        <v>#NUM!</v>
      </c>
      <c r="D3" s="565"/>
      <c r="E3" s="566"/>
      <c r="F3" s="567" t="s">
        <v>445</v>
      </c>
      <c r="G3" s="568" t="s">
        <v>446</v>
      </c>
      <c r="H3"/>
    </row>
    <row r="4" spans="1:8" x14ac:dyDescent="0.3">
      <c r="B4" s="570" t="s">
        <v>384</v>
      </c>
      <c r="C4" s="571" t="e">
        <f>SUM('Principle Recapture ARV'!E9:E20)</f>
        <v>#NUM!</v>
      </c>
      <c r="D4" s="572" t="s">
        <v>415</v>
      </c>
      <c r="E4" s="571" t="e">
        <f>SUM('Principle Recapture ARV'!D9:D20)</f>
        <v>#NUM!</v>
      </c>
      <c r="F4" s="573" t="e">
        <f>C4/(C4+E4)</f>
        <v>#NUM!</v>
      </c>
      <c r="G4" s="574" t="e">
        <f>C4/'ROI Detail ARV'!$I$3</f>
        <v>#NUM!</v>
      </c>
      <c r="H4"/>
    </row>
    <row r="5" spans="1:8" x14ac:dyDescent="0.3">
      <c r="B5" s="575" t="s">
        <v>386</v>
      </c>
      <c r="C5" s="576" t="e">
        <f>SUM('Principle Recapture ARV'!E21:E32)</f>
        <v>#NUM!</v>
      </c>
      <c r="D5" s="577" t="s">
        <v>416</v>
      </c>
      <c r="E5" s="576" t="e">
        <f>SUM('Principle Recapture ARV'!D21:D32)</f>
        <v>#NUM!</v>
      </c>
      <c r="F5" s="578" t="e">
        <f t="shared" ref="F5:F33" si="0">C5/(C5+E5)</f>
        <v>#NUM!</v>
      </c>
      <c r="G5" s="574" t="e">
        <f>C5/'ROI Detail ARV'!$I$3</f>
        <v>#NUM!</v>
      </c>
      <c r="H5"/>
    </row>
    <row r="6" spans="1:8" x14ac:dyDescent="0.3">
      <c r="B6" s="575" t="s">
        <v>387</v>
      </c>
      <c r="C6" s="576" t="e">
        <f>SUM('Principle Recapture ARV'!E33:E44)</f>
        <v>#NUM!</v>
      </c>
      <c r="D6" s="577" t="s">
        <v>417</v>
      </c>
      <c r="E6" s="576" t="e">
        <f>SUM('Principle Recapture ARV'!D33:D44)</f>
        <v>#NUM!</v>
      </c>
      <c r="F6" s="578" t="e">
        <f t="shared" si="0"/>
        <v>#NUM!</v>
      </c>
      <c r="G6" s="574" t="e">
        <f>C6/'ROI Detail ARV'!$I$3</f>
        <v>#NUM!</v>
      </c>
      <c r="H6"/>
    </row>
    <row r="7" spans="1:8" x14ac:dyDescent="0.3">
      <c r="B7" s="575" t="s">
        <v>388</v>
      </c>
      <c r="C7" s="576" t="e">
        <f>SUM('Principle Recapture ARV'!E45:E56)</f>
        <v>#NUM!</v>
      </c>
      <c r="D7" s="577" t="s">
        <v>418</v>
      </c>
      <c r="E7" s="576" t="e">
        <f>SUM('Principle Recapture ARV'!D45:D56)</f>
        <v>#NUM!</v>
      </c>
      <c r="F7" s="578" t="e">
        <f t="shared" si="0"/>
        <v>#NUM!</v>
      </c>
      <c r="G7" s="574" t="e">
        <f>C7/'ROI Detail ARV'!$I$3</f>
        <v>#NUM!</v>
      </c>
      <c r="H7"/>
    </row>
    <row r="8" spans="1:8" x14ac:dyDescent="0.3">
      <c r="B8" s="575" t="s">
        <v>389</v>
      </c>
      <c r="C8" s="576" t="e">
        <f>SUM('Principle Recapture ARV'!E57:E68)</f>
        <v>#NUM!</v>
      </c>
      <c r="D8" s="577" t="s">
        <v>419</v>
      </c>
      <c r="E8" s="576" t="e">
        <f>SUM('Principle Recapture ARV'!D57:D68)</f>
        <v>#NUM!</v>
      </c>
      <c r="F8" s="578" t="e">
        <f t="shared" si="0"/>
        <v>#NUM!</v>
      </c>
      <c r="G8" s="574" t="e">
        <f>C8/'ROI Detail ARV'!$I$3</f>
        <v>#NUM!</v>
      </c>
      <c r="H8"/>
    </row>
    <row r="9" spans="1:8" x14ac:dyDescent="0.3">
      <c r="B9" s="575" t="s">
        <v>390</v>
      </c>
      <c r="C9" s="576" t="e">
        <f>SUM('Principle Recapture ARV'!E69:E80)</f>
        <v>#NUM!</v>
      </c>
      <c r="D9" s="577" t="s">
        <v>420</v>
      </c>
      <c r="E9" s="576" t="e">
        <f>SUM('Principle Recapture ARV'!D69:D80)</f>
        <v>#NUM!</v>
      </c>
      <c r="F9" s="578" t="e">
        <f t="shared" si="0"/>
        <v>#NUM!</v>
      </c>
      <c r="G9" s="574" t="e">
        <f>C9/'ROI Detail ARV'!$I$3</f>
        <v>#NUM!</v>
      </c>
      <c r="H9"/>
    </row>
    <row r="10" spans="1:8" x14ac:dyDescent="0.3">
      <c r="B10" s="575" t="s">
        <v>391</v>
      </c>
      <c r="C10" s="576" t="e">
        <f>SUM('Principle Recapture ARV'!E81:E92)</f>
        <v>#NUM!</v>
      </c>
      <c r="D10" s="577" t="s">
        <v>421</v>
      </c>
      <c r="E10" s="576" t="e">
        <f>SUM('Principle Recapture ARV'!D81:D92)</f>
        <v>#NUM!</v>
      </c>
      <c r="F10" s="578" t="e">
        <f t="shared" si="0"/>
        <v>#NUM!</v>
      </c>
      <c r="G10" s="574" t="e">
        <f>C10/'ROI Detail ARV'!$I$3</f>
        <v>#NUM!</v>
      </c>
      <c r="H10"/>
    </row>
    <row r="11" spans="1:8" x14ac:dyDescent="0.3">
      <c r="B11" s="575" t="s">
        <v>392</v>
      </c>
      <c r="C11" s="576" t="e">
        <f>SUM('Principle Recapture ARV'!E93:E104)</f>
        <v>#NUM!</v>
      </c>
      <c r="D11" s="577" t="s">
        <v>422</v>
      </c>
      <c r="E11" s="576" t="e">
        <f>SUM('Principle Recapture ARV'!D93:D104)</f>
        <v>#NUM!</v>
      </c>
      <c r="F11" s="578" t="e">
        <f t="shared" si="0"/>
        <v>#NUM!</v>
      </c>
      <c r="G11" s="574" t="e">
        <f>C11/'ROI Detail ARV'!$I$3</f>
        <v>#NUM!</v>
      </c>
      <c r="H11"/>
    </row>
    <row r="12" spans="1:8" x14ac:dyDescent="0.3">
      <c r="B12" s="575" t="s">
        <v>393</v>
      </c>
      <c r="C12" s="576" t="e">
        <f>SUM('Principle Recapture ARV'!E105:E116)</f>
        <v>#NUM!</v>
      </c>
      <c r="D12" s="577" t="s">
        <v>423</v>
      </c>
      <c r="E12" s="576" t="e">
        <f>SUM('Principle Recapture ARV'!D105:D116)</f>
        <v>#NUM!</v>
      </c>
      <c r="F12" s="578" t="e">
        <f t="shared" si="0"/>
        <v>#NUM!</v>
      </c>
      <c r="G12" s="574" t="e">
        <f>C12/'ROI Detail ARV'!$I$3</f>
        <v>#NUM!</v>
      </c>
      <c r="H12"/>
    </row>
    <row r="13" spans="1:8" x14ac:dyDescent="0.3">
      <c r="B13" s="575" t="s">
        <v>394</v>
      </c>
      <c r="C13" s="576" t="e">
        <f>SUM('Principle Recapture ARV'!E117:E128)</f>
        <v>#NUM!</v>
      </c>
      <c r="D13" s="577" t="s">
        <v>424</v>
      </c>
      <c r="E13" s="576" t="e">
        <f>SUM('Principle Recapture ARV'!D117:D128)</f>
        <v>#NUM!</v>
      </c>
      <c r="F13" s="578" t="e">
        <f t="shared" si="0"/>
        <v>#NUM!</v>
      </c>
      <c r="G13" s="574" t="e">
        <f>C13/'ROI Detail ARV'!$I$3</f>
        <v>#NUM!</v>
      </c>
      <c r="H13"/>
    </row>
    <row r="14" spans="1:8" x14ac:dyDescent="0.3">
      <c r="B14" s="575" t="s">
        <v>395</v>
      </c>
      <c r="C14" s="576" t="e">
        <f>SUM('Principle Recapture ARV'!E129:E140)</f>
        <v>#NUM!</v>
      </c>
      <c r="D14" s="577" t="s">
        <v>425</v>
      </c>
      <c r="E14" s="576" t="e">
        <f>SUM('Principle Recapture ARV'!D129:D140)</f>
        <v>#NUM!</v>
      </c>
      <c r="F14" s="578" t="e">
        <f t="shared" si="0"/>
        <v>#NUM!</v>
      </c>
      <c r="G14" s="574" t="e">
        <f>C14/'ROI Detail ARV'!$I$3</f>
        <v>#NUM!</v>
      </c>
      <c r="H14"/>
    </row>
    <row r="15" spans="1:8" x14ac:dyDescent="0.3">
      <c r="B15" s="575" t="s">
        <v>396</v>
      </c>
      <c r="C15" s="576" t="e">
        <f>SUM('Principle Recapture ARV'!E141:E152)</f>
        <v>#NUM!</v>
      </c>
      <c r="D15" s="577" t="s">
        <v>426</v>
      </c>
      <c r="E15" s="576" t="e">
        <f>SUM('Principle Recapture ARV'!D141:D152)</f>
        <v>#NUM!</v>
      </c>
      <c r="F15" s="578" t="e">
        <f t="shared" si="0"/>
        <v>#NUM!</v>
      </c>
      <c r="G15" s="574" t="e">
        <f>C15/'ROI Detail ARV'!$I$3</f>
        <v>#NUM!</v>
      </c>
      <c r="H15"/>
    </row>
    <row r="16" spans="1:8" x14ac:dyDescent="0.3">
      <c r="B16" s="575" t="s">
        <v>397</v>
      </c>
      <c r="C16" s="576" t="e">
        <f>SUM('Principle Recapture ARV'!E153:E164)</f>
        <v>#NUM!</v>
      </c>
      <c r="D16" s="577" t="s">
        <v>427</v>
      </c>
      <c r="E16" s="576" t="e">
        <f>SUM('Principle Recapture ARV'!D153:D164)</f>
        <v>#NUM!</v>
      </c>
      <c r="F16" s="578" t="e">
        <f t="shared" si="0"/>
        <v>#NUM!</v>
      </c>
      <c r="G16" s="574" t="e">
        <f>C16/'ROI Detail ARV'!$I$3</f>
        <v>#NUM!</v>
      </c>
      <c r="H16"/>
    </row>
    <row r="17" spans="2:8" x14ac:dyDescent="0.3">
      <c r="B17" s="575" t="s">
        <v>398</v>
      </c>
      <c r="C17" s="576" t="e">
        <f>SUM('Principle Recapture ARV'!E165:E176)</f>
        <v>#NUM!</v>
      </c>
      <c r="D17" s="577" t="s">
        <v>428</v>
      </c>
      <c r="E17" s="576" t="e">
        <f>SUM('Principle Recapture ARV'!D165:D176)</f>
        <v>#NUM!</v>
      </c>
      <c r="F17" s="578" t="e">
        <f t="shared" si="0"/>
        <v>#NUM!</v>
      </c>
      <c r="G17" s="574" t="e">
        <f>C17/'ROI Detail ARV'!$I$3</f>
        <v>#NUM!</v>
      </c>
      <c r="H17"/>
    </row>
    <row r="18" spans="2:8" x14ac:dyDescent="0.3">
      <c r="B18" s="575" t="s">
        <v>399</v>
      </c>
      <c r="C18" s="576" t="e">
        <f>SUM('Principle Recapture ARV'!E177:E188)</f>
        <v>#NUM!</v>
      </c>
      <c r="D18" s="577" t="s">
        <v>429</v>
      </c>
      <c r="E18" s="576" t="e">
        <f>SUM('Principle Recapture ARV'!D177:D188)</f>
        <v>#NUM!</v>
      </c>
      <c r="F18" s="578" t="e">
        <f t="shared" si="0"/>
        <v>#NUM!</v>
      </c>
      <c r="G18" s="574" t="e">
        <f>C18/'ROI Detail ARV'!$I$3</f>
        <v>#NUM!</v>
      </c>
    </row>
    <row r="19" spans="2:8" x14ac:dyDescent="0.3">
      <c r="B19" s="575" t="s">
        <v>400</v>
      </c>
      <c r="C19" s="576" t="e">
        <f>SUM('Principle Recapture ARV'!E189:E200)</f>
        <v>#NUM!</v>
      </c>
      <c r="D19" s="577" t="s">
        <v>430</v>
      </c>
      <c r="E19" s="576" t="e">
        <f>SUM('Principle Recapture ARV'!D189:D200)</f>
        <v>#NUM!</v>
      </c>
      <c r="F19" s="578" t="e">
        <f t="shared" si="0"/>
        <v>#NUM!</v>
      </c>
      <c r="G19" s="574" t="e">
        <f>C19/'ROI Detail ARV'!$I$3</f>
        <v>#NUM!</v>
      </c>
    </row>
    <row r="20" spans="2:8" x14ac:dyDescent="0.3">
      <c r="B20" s="575" t="s">
        <v>401</v>
      </c>
      <c r="C20" s="576" t="e">
        <f>SUM('Principle Recapture ARV'!E201:E212)</f>
        <v>#NUM!</v>
      </c>
      <c r="D20" s="577" t="s">
        <v>431</v>
      </c>
      <c r="E20" s="576" t="e">
        <f>SUM('Principle Recapture ARV'!D201:D212)</f>
        <v>#NUM!</v>
      </c>
      <c r="F20" s="578" t="e">
        <f t="shared" si="0"/>
        <v>#NUM!</v>
      </c>
      <c r="G20" s="574" t="e">
        <f>C20/'ROI Detail ARV'!$I$3</f>
        <v>#NUM!</v>
      </c>
    </row>
    <row r="21" spans="2:8" x14ac:dyDescent="0.3">
      <c r="B21" s="575" t="s">
        <v>402</v>
      </c>
      <c r="C21" s="576" t="e">
        <f>SUM('Principle Recapture ARV'!E213:E224)</f>
        <v>#NUM!</v>
      </c>
      <c r="D21" s="577" t="s">
        <v>432</v>
      </c>
      <c r="E21" s="576" t="e">
        <f>SUM('Principle Recapture ARV'!D213:D224)</f>
        <v>#NUM!</v>
      </c>
      <c r="F21" s="578" t="e">
        <f t="shared" si="0"/>
        <v>#NUM!</v>
      </c>
      <c r="G21" s="574" t="e">
        <f>C21/'ROI Detail ARV'!$I$3</f>
        <v>#NUM!</v>
      </c>
    </row>
    <row r="22" spans="2:8" x14ac:dyDescent="0.3">
      <c r="B22" s="575" t="s">
        <v>403</v>
      </c>
      <c r="C22" s="576" t="e">
        <f>SUM('Principle Recapture ARV'!E225:E236)</f>
        <v>#NUM!</v>
      </c>
      <c r="D22" s="577" t="s">
        <v>433</v>
      </c>
      <c r="E22" s="576" t="e">
        <f>SUM('Principle Recapture ARV'!D225:D236)</f>
        <v>#NUM!</v>
      </c>
      <c r="F22" s="578" t="e">
        <f t="shared" si="0"/>
        <v>#NUM!</v>
      </c>
      <c r="G22" s="574" t="e">
        <f>C22/'ROI Detail ARV'!$I$3</f>
        <v>#NUM!</v>
      </c>
    </row>
    <row r="23" spans="2:8" x14ac:dyDescent="0.3">
      <c r="B23" s="575" t="s">
        <v>404</v>
      </c>
      <c r="C23" s="576" t="e">
        <f>SUM('Principle Recapture ARV'!E237:E248)</f>
        <v>#NUM!</v>
      </c>
      <c r="D23" s="577" t="s">
        <v>434</v>
      </c>
      <c r="E23" s="576" t="e">
        <f>SUM('Principle Recapture ARV'!D237:D248)</f>
        <v>#NUM!</v>
      </c>
      <c r="F23" s="578" t="e">
        <f t="shared" si="0"/>
        <v>#NUM!</v>
      </c>
      <c r="G23" s="574" t="e">
        <f>C23/'ROI Detail ARV'!$I$3</f>
        <v>#NUM!</v>
      </c>
    </row>
    <row r="24" spans="2:8" x14ac:dyDescent="0.3">
      <c r="B24" s="575" t="s">
        <v>405</v>
      </c>
      <c r="C24" s="576" t="e">
        <f>SUM('Principle Recapture ARV'!E249:E260)</f>
        <v>#NUM!</v>
      </c>
      <c r="D24" s="577" t="s">
        <v>435</v>
      </c>
      <c r="E24" s="576" t="e">
        <f>SUM('Principle Recapture ARV'!D249:D260)</f>
        <v>#NUM!</v>
      </c>
      <c r="F24" s="578" t="e">
        <f t="shared" si="0"/>
        <v>#NUM!</v>
      </c>
      <c r="G24" s="574" t="e">
        <f>C24/'ROI Detail ARV'!$I$3</f>
        <v>#NUM!</v>
      </c>
    </row>
    <row r="25" spans="2:8" x14ac:dyDescent="0.3">
      <c r="B25" s="575" t="s">
        <v>406</v>
      </c>
      <c r="C25" s="576" t="e">
        <f>SUM('Principle Recapture ARV'!E261:E272)</f>
        <v>#NUM!</v>
      </c>
      <c r="D25" s="577" t="s">
        <v>436</v>
      </c>
      <c r="E25" s="576" t="e">
        <f>SUM('Principle Recapture ARV'!D261:D272)</f>
        <v>#NUM!</v>
      </c>
      <c r="F25" s="578" t="e">
        <f t="shared" si="0"/>
        <v>#NUM!</v>
      </c>
      <c r="G25" s="574" t="e">
        <f>C25/'ROI Detail ARV'!$I$3</f>
        <v>#NUM!</v>
      </c>
    </row>
    <row r="26" spans="2:8" x14ac:dyDescent="0.3">
      <c r="B26" s="575" t="s">
        <v>407</v>
      </c>
      <c r="C26" s="576" t="e">
        <f>SUM('Principle Recapture ARV'!E273:E284)</f>
        <v>#NUM!</v>
      </c>
      <c r="D26" s="577" t="s">
        <v>437</v>
      </c>
      <c r="E26" s="576" t="e">
        <f>SUM('Principle Recapture ARV'!D273:D284)</f>
        <v>#NUM!</v>
      </c>
      <c r="F26" s="578" t="e">
        <f t="shared" si="0"/>
        <v>#NUM!</v>
      </c>
      <c r="G26" s="574" t="e">
        <f>C26/'ROI Detail ARV'!$I$3</f>
        <v>#NUM!</v>
      </c>
    </row>
    <row r="27" spans="2:8" x14ac:dyDescent="0.3">
      <c r="B27" s="575" t="s">
        <v>408</v>
      </c>
      <c r="C27" s="576" t="e">
        <f>SUM('Principle Recapture ARV'!E285:E296)</f>
        <v>#NUM!</v>
      </c>
      <c r="D27" s="577" t="s">
        <v>438</v>
      </c>
      <c r="E27" s="576" t="e">
        <f>SUM('Principle Recapture ARV'!D285:D296)</f>
        <v>#NUM!</v>
      </c>
      <c r="F27" s="578" t="e">
        <f t="shared" si="0"/>
        <v>#NUM!</v>
      </c>
      <c r="G27" s="574" t="e">
        <f>C27/'ROI Detail ARV'!$I$3</f>
        <v>#NUM!</v>
      </c>
    </row>
    <row r="28" spans="2:8" x14ac:dyDescent="0.3">
      <c r="B28" s="575" t="s">
        <v>409</v>
      </c>
      <c r="C28" s="576" t="e">
        <f>SUM('Principle Recapture ARV'!E297:E308)</f>
        <v>#NUM!</v>
      </c>
      <c r="D28" s="577" t="s">
        <v>439</v>
      </c>
      <c r="E28" s="576" t="e">
        <f>SUM('Principle Recapture ARV'!D297:D308)</f>
        <v>#NUM!</v>
      </c>
      <c r="F28" s="578" t="e">
        <f t="shared" si="0"/>
        <v>#NUM!</v>
      </c>
      <c r="G28" s="574" t="e">
        <f>C28/'ROI Detail ARV'!$I$3</f>
        <v>#NUM!</v>
      </c>
    </row>
    <row r="29" spans="2:8" x14ac:dyDescent="0.3">
      <c r="B29" s="575" t="s">
        <v>410</v>
      </c>
      <c r="C29" s="576" t="e">
        <f>SUM('Principle Recapture ARV'!E309:E320)</f>
        <v>#NUM!</v>
      </c>
      <c r="D29" s="577" t="s">
        <v>440</v>
      </c>
      <c r="E29" s="576" t="e">
        <f>SUM('Principle Recapture ARV'!D309:D320)</f>
        <v>#NUM!</v>
      </c>
      <c r="F29" s="578" t="e">
        <f t="shared" si="0"/>
        <v>#NUM!</v>
      </c>
      <c r="G29" s="574" t="e">
        <f>C29/'ROI Detail ARV'!$I$3</f>
        <v>#NUM!</v>
      </c>
    </row>
    <row r="30" spans="2:8" x14ac:dyDescent="0.3">
      <c r="B30" s="575" t="s">
        <v>411</v>
      </c>
      <c r="C30" s="576" t="e">
        <f>SUM('Principle Recapture ARV'!E321:E332)</f>
        <v>#NUM!</v>
      </c>
      <c r="D30" s="577" t="s">
        <v>441</v>
      </c>
      <c r="E30" s="576" t="e">
        <f>SUM('Principle Recapture ARV'!D321:D332)</f>
        <v>#NUM!</v>
      </c>
      <c r="F30" s="578" t="e">
        <f t="shared" si="0"/>
        <v>#NUM!</v>
      </c>
      <c r="G30" s="574" t="e">
        <f>C30/'ROI Detail ARV'!$I$3</f>
        <v>#NUM!</v>
      </c>
    </row>
    <row r="31" spans="2:8" x14ac:dyDescent="0.3">
      <c r="B31" s="575" t="s">
        <v>412</v>
      </c>
      <c r="C31" s="576" t="e">
        <f>SUM('Principle Recapture ARV'!E333:E344)</f>
        <v>#NUM!</v>
      </c>
      <c r="D31" s="577" t="s">
        <v>442</v>
      </c>
      <c r="E31" s="576" t="e">
        <f>SUM('Principle Recapture ARV'!D333:D344)</f>
        <v>#NUM!</v>
      </c>
      <c r="F31" s="578" t="e">
        <f t="shared" si="0"/>
        <v>#NUM!</v>
      </c>
      <c r="G31" s="574" t="e">
        <f>C31/'ROI Detail ARV'!$I$3</f>
        <v>#NUM!</v>
      </c>
    </row>
    <row r="32" spans="2:8" x14ac:dyDescent="0.3">
      <c r="B32" s="575" t="s">
        <v>413</v>
      </c>
      <c r="C32" s="576" t="e">
        <f>SUM('Principle Recapture ARV'!E345:E356)</f>
        <v>#NUM!</v>
      </c>
      <c r="D32" s="577" t="s">
        <v>443</v>
      </c>
      <c r="E32" s="576" t="e">
        <f>SUM('Principle Recapture ARV'!D345:D356)</f>
        <v>#NUM!</v>
      </c>
      <c r="F32" s="578" t="e">
        <f t="shared" si="0"/>
        <v>#NUM!</v>
      </c>
      <c r="G32" s="574" t="e">
        <f>C32/'ROI Detail ARV'!$I$3</f>
        <v>#NUM!</v>
      </c>
    </row>
    <row r="33" spans="2:7" ht="15" thickBot="1" x14ac:dyDescent="0.35">
      <c r="B33" s="579" t="s">
        <v>414</v>
      </c>
      <c r="C33" s="580" t="e">
        <f>SUM('Principle Recapture ARV'!E357:E368)</f>
        <v>#NUM!</v>
      </c>
      <c r="D33" s="581" t="s">
        <v>444</v>
      </c>
      <c r="E33" s="580" t="e">
        <f>SUM('Principle Recapture ARV'!D357:D368)</f>
        <v>#NUM!</v>
      </c>
      <c r="F33" s="582" t="e">
        <f t="shared" si="0"/>
        <v>#NUM!</v>
      </c>
      <c r="G33" s="574" t="e">
        <f>C33/'ROI Detail ARV'!$I$3</f>
        <v>#NUM!</v>
      </c>
    </row>
  </sheetData>
  <hyperlinks>
    <hyperlink ref="A1" location="'Table of contents'!A1" display="Table of contents" xr:uid="{B9E63A39-EEF7-470F-8474-17302B37E50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Calculating offering price</vt:lpstr>
      <vt:lpstr>ROI Number insert</vt:lpstr>
      <vt:lpstr>Outputs</vt:lpstr>
      <vt:lpstr>Total Result</vt:lpstr>
      <vt:lpstr>Financial Statement</vt:lpstr>
      <vt:lpstr>ROI details</vt:lpstr>
      <vt:lpstr>Total CF</vt:lpstr>
      <vt:lpstr>PR Result</vt:lpstr>
      <vt:lpstr>Mortgage payment schedule</vt:lpstr>
      <vt:lpstr>Graph</vt:lpstr>
      <vt:lpstr>Capital Budgeting</vt:lpstr>
      <vt:lpstr>Deal structure</vt:lpstr>
      <vt:lpstr>Mortgage Caculator</vt:lpstr>
      <vt:lpstr>Debt payment Calculator</vt:lpstr>
      <vt:lpstr>Financial Statement ARV</vt:lpstr>
      <vt:lpstr>Calculating offering price ARV</vt:lpstr>
      <vt:lpstr>ROI Detail ARV</vt:lpstr>
      <vt:lpstr>ROI Number insert ARV</vt:lpstr>
      <vt:lpstr>Principle Recapture ARV</vt:lpstr>
      <vt:lpstr>PR ARV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 ichigo</dc:creator>
  <cp:lastModifiedBy>Masa</cp:lastModifiedBy>
  <dcterms:created xsi:type="dcterms:W3CDTF">2020-06-04T21:48:11Z</dcterms:created>
  <dcterms:modified xsi:type="dcterms:W3CDTF">2023-02-17T21:34:25Z</dcterms:modified>
</cp:coreProperties>
</file>