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5.140"/>
  <workbookPr/>
  <bookViews>
    <workbookView xWindow="480" yWindow="5670" windowWidth="19320" windowHeight="5715"/>
  </bookViews>
  <sheets>
    <sheet name="売上実績" sheetId="1" r:id="rId1"/>
    <sheet name="自社シェア" sheetId="2" r:id="rId2"/>
    <sheet name="実績推移" sheetId="3" r:id="rId3"/>
    <sheet name="構成比推移" sheetId="4" r:id="rId4"/>
    <sheet name="平均売価推移" sheetId="5" r:id="rId5"/>
    <sheet name="販売指数" sheetId="6" r:id="rId6"/>
    <sheet name="INFO" sheetId="7" state="hidden" r:id="rId7"/>
    <sheet name="来店客数推移" sheetId="8" state="hidden" r:id="rId8"/>
    <sheet name="DATA" sheetId="9" state="hidden" r:id="rId9"/>
    <sheet name="$$SHEETDATA1$$" sheetId="10" state="hidden" r:id="rId10"/>
    <sheet name="$$SHEETRANGE$$" sheetId="11" state="hidden" r:id="rId11"/>
    <sheet name="$$SHEET$$" sheetId="12" state="hidden" r:id="rId12"/>
    <sheet name="$$INFO命令$$" sheetId="13" state="hidden" r:id="rId13"/>
    <sheet name="$$DATA命令1$$" sheetId="14" state="hidden" r:id="rId14"/>
    <sheet name="$$RANGE命令$$" sheetId="15" state="hidden" r:id="rId15"/>
  </sheets>
  <definedNames>
    <definedName name="PI値モード名称">INFO!$I$9</definedName>
    <definedName name="_xlnm.Print_Area" localSheetId="0">売上実績!$B$2:$P$61</definedName>
    <definedName name="_xlnm.Print_Area" localSheetId="2">実績推移!$B$2:$Q$86</definedName>
    <definedName name="_xlnm.Print_Area" localSheetId="4">平均売価推移!$B$2:$Q$86</definedName>
    <definedName name="_xlnm.Print_Area" localSheetId="7">来店客数推移!$B$2:$Q$37</definedName>
    <definedName name="_xlnm.Print_Area" localSheetId="3">構成比推移!$B$2:$Q$84</definedName>
    <definedName name="_xlnm.Print_Area" localSheetId="1">自社シェア!$B$2:$P$61</definedName>
    <definedName name="_xlnm.Print_Area" localSheetId="5">販売指数!$B$2:$P$84</definedName>
    <definedName name="リスト用値単位">INFO!$R$14:$R$17</definedName>
    <definedName name="値単位リスト">INFO!$R$4:$U$7</definedName>
    <definedName name="出力日付">INFO!$D$7</definedName>
    <definedName name="分析POS名称">INFO!$D$4</definedName>
    <definedName name="分析オプション">INFO!$F$30</definedName>
    <definedName name="分析カテゴリー">INFO!$Y$4:$Z$54</definedName>
    <definedName name="分析シェア">DATA!$C$534:$F$583</definedName>
    <definedName name="分析シェア合計">DATA!$C$905:$F$905</definedName>
    <definedName name="分析データ">DATA!$C$110:$F$159</definedName>
    <definedName name="分析データ合計">DATA!$C$873:$F$873</definedName>
    <definedName name="分析前年来店客数">DATA!$C$860:$N$860</definedName>
    <definedName name="分析数">INFO!$D$12</definedName>
    <definedName name="分析来店客数">DATA!$C$857:$N$857</definedName>
    <definedName name="分析種別名称">INFO!$I$8</definedName>
    <definedName name="分析終了年月">INFO!$I$7</definedName>
    <definedName name="分析終了月">INFO!$I$4</definedName>
    <definedName name="分析開始年月">INFO!$I$6</definedName>
    <definedName name="分析開始月">INFO!$I$3</definedName>
    <definedName name="前年分析シェア">DATA!$C$587:$F$636</definedName>
    <definedName name="前年分析シェア合計">DATA!$C$909:$F$909</definedName>
    <definedName name="前年分析データ">DATA!$C$163:$F$212</definedName>
    <definedName name="前年分析データ合計">DATA!$C$877:$F$877</definedName>
    <definedName name="前年比較シェア">DATA!$C$481:$F$530</definedName>
    <definedName name="前年比較シェア合計">DATA!$C$901:$F$901</definedName>
    <definedName name="前年比較データ">DATA!$C$57:$F$106</definedName>
    <definedName name="前年比較データ合計">DATA!$C$869:$F$869</definedName>
    <definedName name="合算分析シェア">DATA!$I$534:$L$583</definedName>
    <definedName name="合算分析シェア合計">DATA!$I$905:$L$905</definedName>
    <definedName name="合算分析データ">DATA!$I$110:$L$159</definedName>
    <definedName name="合算分析データ合計">DATA!$I$873:$L$873</definedName>
    <definedName name="合算前年分析シェア">DATA!$I$587:$L$636</definedName>
    <definedName name="合算前年分析シェア合計">DATA!$I$909:$L$909</definedName>
    <definedName name="合算前年分析データ">DATA!$I$163:$L$212</definedName>
    <definedName name="合算前年分析データ合計">DATA!$I$877:$L$877</definedName>
    <definedName name="合算前年比較シェア">DATA!$I$481:$L$530</definedName>
    <definedName name="合算前年比較シェア合計">DATA!$I$901:$L$901</definedName>
    <definedName name="合算前年比較データ">DATA!$I$57:$L$106</definedName>
    <definedName name="合算前年比較データ合計">DATA!$I$869:$L$869</definedName>
    <definedName name="合算比較シェア">DATA!$I$428:$L$477</definedName>
    <definedName name="合算比較シェア合計">DATA!$I$897:$L$897</definedName>
    <definedName name="合算比較データ">DATA!$I$4:$L$53</definedName>
    <definedName name="合算比較データ合計">DATA!$I$865:$L$865</definedName>
    <definedName name="年度開始年月">INFO!$I$5</definedName>
    <definedName name="比較POS名称">INFO!$D$3</definedName>
    <definedName name="比較シェア">DATA!$C$428:$F$477</definedName>
    <definedName name="比較シェア合計">DATA!$C$897:$F$897</definedName>
    <definedName name="比較データ">DATA!$C$4:$F$53</definedName>
    <definedName name="比較データ合計">DATA!$C$865:$F$865</definedName>
    <definedName name="比較前年来店客数">DATA!$C$854:$N$854</definedName>
    <definedName name="比較来店客数">DATA!$C$851:$N$851</definedName>
    <definedName name="累計分析シェア">DATA!$C$746:$AX$795</definedName>
    <definedName name="累計分析データ">DATA!$C$322:$AX$371</definedName>
    <definedName name="累計分析データ期間合計">DATA!$C$889:$AX$889</definedName>
    <definedName name="累計前年分析シェア">DATA!$C$799:$AX$848</definedName>
    <definedName name="累計前年分析シェア期間合計">DATA!$C$925:$AX$925</definedName>
    <definedName name="累計前年分析データ">DATA!$C$375:$AX$424</definedName>
    <definedName name="累計前年分析データ期間合計">DATA!$C$893:$AX$893</definedName>
    <definedName name="累計前年比較シェア">DATA!$C$693:$AX$742</definedName>
    <definedName name="累計前年比較シェア期間合計">DATA!$C$917:$AX$917</definedName>
    <definedName name="累計前年比較データ">DATA!$C$269:$AX$318</definedName>
    <definedName name="累計前年比較データ期間合計">DATA!$C$885:$AX$885</definedName>
    <definedName name="累計比較シェア">DATA!$C$640:$AX$689</definedName>
    <definedName name="累計比較シェア期間合計">DATA!$C$913:$AX$913</definedName>
    <definedName name="累計比較データ">DATA!$C$216:$AX$265</definedName>
    <definedName name="累計比較データ期間合計">DATA!$C$881:$AX$881</definedName>
    <definedName name="自社名称">INFO!$D$6</definedName>
    <definedName name="項目">DATA!$B$4:$B$53</definedName>
  </definedNames>
  <calcPr calcId="40001"/>
</workbook>
</file>

<file path=xl/sharedStrings.xml><?xml version="1.0" encoding="utf-8"?>
<sst xmlns="http://schemas.openxmlformats.org/spreadsheetml/2006/main" count="1804" uniqueCount="350">
  <si>
    <t>数量</t>
  </si>
  <si>
    <t>金額</t>
  </si>
  <si>
    <t>粗利</t>
  </si>
  <si>
    <t>容量</t>
  </si>
  <si>
    <t>出力日付</t>
  </si>
  <si>
    <t>分析開始日付</t>
  </si>
  <si>
    <t>分析終了日付</t>
  </si>
  <si>
    <t>比較POS名称</t>
  </si>
  <si>
    <t>分析POS名称</t>
  </si>
  <si>
    <t>分析数</t>
  </si>
  <si>
    <t>分析種別</t>
  </si>
  <si>
    <t>PI値モード</t>
  </si>
  <si>
    <t>年度開始月</t>
  </si>
  <si>
    <t>分析開始月</t>
  </si>
  <si>
    <t>分析終了月</t>
  </si>
  <si>
    <t>分析開始年月</t>
  </si>
  <si>
    <t>分析終了年月</t>
  </si>
  <si>
    <t>分析種別名称</t>
  </si>
  <si>
    <t>PI値モード名称</t>
  </si>
  <si>
    <t>カテゴリー別</t>
  </si>
  <si>
    <t>メーカー別</t>
  </si>
  <si>
    <t>規格容量別</t>
  </si>
  <si>
    <t>価格帯別</t>
  </si>
  <si>
    <t>属性別</t>
  </si>
  <si>
    <t>My属性別</t>
  </si>
  <si>
    <t>個</t>
  </si>
  <si>
    <t>Ｌ</t>
  </si>
  <si>
    <t>種別名称リスト</t>
  </si>
  <si>
    <t>値単位リスト</t>
  </si>
  <si>
    <t>自社名称</t>
  </si>
  <si>
    <t>前年比</t>
  </si>
  <si>
    <t>構成比</t>
  </si>
  <si>
    <t>合　　計</t>
  </si>
  <si>
    <t>年度開始年月</t>
  </si>
  <si>
    <t>年度開始日付</t>
  </si>
  <si>
    <t>分析期間合算</t>
  </si>
  <si>
    <t>累計比較データ</t>
  </si>
  <si>
    <t>累計前年比較データ</t>
  </si>
  <si>
    <t>累計分析データ</t>
  </si>
  <si>
    <t>累計前年分析データ</t>
  </si>
  <si>
    <t>比較データ</t>
  </si>
  <si>
    <t>前年比較データ</t>
  </si>
  <si>
    <t>分析データ</t>
  </si>
  <si>
    <t>前年分析データ</t>
  </si>
  <si>
    <t>前年実績</t>
  </si>
  <si>
    <t>シェア</t>
  </si>
  <si>
    <t>増減</t>
  </si>
  <si>
    <t>比較シェア</t>
  </si>
  <si>
    <t>前年比較シェア</t>
  </si>
  <si>
    <t>分析シェア</t>
  </si>
  <si>
    <t>前年分析シェア</t>
  </si>
  <si>
    <t>累計比較シェア</t>
  </si>
  <si>
    <t>累計前年比較シェア</t>
  </si>
  <si>
    <t>累計分析シェア</t>
  </si>
  <si>
    <t>累計前年分析シェア</t>
  </si>
  <si>
    <t>前年シェア実績</t>
  </si>
  <si>
    <t>前年累計シェア実績</t>
  </si>
  <si>
    <t>実績</t>
  </si>
  <si>
    <t>累計実績</t>
  </si>
  <si>
    <t>前年累計実績</t>
  </si>
  <si>
    <t>累計前年実績</t>
  </si>
  <si>
    <t>合計</t>
  </si>
  <si>
    <t>平均</t>
  </si>
  <si>
    <t>項目4</t>
  </si>
  <si>
    <t>項目5</t>
  </si>
  <si>
    <t>項目6</t>
  </si>
  <si>
    <t>項目7</t>
  </si>
  <si>
    <t>項目8</t>
  </si>
  <si>
    <t>項目9</t>
  </si>
  <si>
    <t>項目10</t>
  </si>
  <si>
    <t>項目11</t>
  </si>
  <si>
    <t>項目12</t>
  </si>
  <si>
    <t>項目13</t>
  </si>
  <si>
    <t>項目14</t>
  </si>
  <si>
    <t>項目15</t>
  </si>
  <si>
    <t>項目16</t>
  </si>
  <si>
    <t>項目17</t>
  </si>
  <si>
    <t>項目18</t>
  </si>
  <si>
    <t>項目19</t>
  </si>
  <si>
    <t>項目20</t>
  </si>
  <si>
    <t>項目21</t>
  </si>
  <si>
    <t>項目22</t>
  </si>
  <si>
    <t>項目23</t>
  </si>
  <si>
    <t>項目24</t>
  </si>
  <si>
    <t>項目25</t>
  </si>
  <si>
    <t>項目26</t>
  </si>
  <si>
    <t>項目27</t>
  </si>
  <si>
    <t>項目28</t>
  </si>
  <si>
    <t>項目29</t>
  </si>
  <si>
    <t>項目30</t>
  </si>
  <si>
    <t>分析カテゴリー情報</t>
  </si>
  <si>
    <t>分析カテゴリー</t>
  </si>
  <si>
    <t>合算比較データ</t>
  </si>
  <si>
    <t>合算前年比較データ</t>
  </si>
  <si>
    <t>合算分析データ</t>
  </si>
  <si>
    <t>合算前年分析データ</t>
  </si>
  <si>
    <t>合算比較シェア</t>
  </si>
  <si>
    <t>合算前年比較シェア</t>
  </si>
  <si>
    <t>合算分析シェア</t>
  </si>
  <si>
    <t>合算前年分析シェア</t>
  </si>
  <si>
    <t>来店客数（前年）</t>
  </si>
  <si>
    <t>前年比　（％）</t>
  </si>
  <si>
    <t>来店客数</t>
  </si>
  <si>
    <t>比較来店客数</t>
  </si>
  <si>
    <t>比較前年来店客数</t>
  </si>
  <si>
    <t>分析来店客数</t>
  </si>
  <si>
    <t>分析前年来店客数</t>
  </si>
  <si>
    <t>【 来店客数推移 】</t>
  </si>
  <si>
    <t>比較 【 来店客数推移 】</t>
  </si>
  <si>
    <t>全　　体</t>
  </si>
  <si>
    <t>来店客数　（千人）</t>
  </si>
  <si>
    <t>項目31</t>
  </si>
  <si>
    <t>項目32</t>
  </si>
  <si>
    <t>項目33</t>
  </si>
  <si>
    <t>項目34</t>
  </si>
  <si>
    <t>項目35</t>
  </si>
  <si>
    <t>項目36</t>
  </si>
  <si>
    <t>項目37</t>
  </si>
  <si>
    <t>項目38</t>
  </si>
  <si>
    <t>項目39</t>
  </si>
  <si>
    <t>項目40</t>
  </si>
  <si>
    <t>項目41</t>
  </si>
  <si>
    <t>項目42</t>
  </si>
  <si>
    <t>項目43</t>
  </si>
  <si>
    <t>項目44</t>
  </si>
  <si>
    <t>項目45</t>
  </si>
  <si>
    <t>項目46</t>
  </si>
  <si>
    <t>項目47</t>
  </si>
  <si>
    <t>項目48</t>
  </si>
  <si>
    <t>項目49</t>
  </si>
  <si>
    <t>項目50</t>
  </si>
  <si>
    <t>前 年 比</t>
  </si>
  <si>
    <t>実年</t>
  </si>
  <si>
    <t>前年</t>
  </si>
  <si>
    <t>前年開始日付</t>
  </si>
  <si>
    <t>リスト用値単位</t>
  </si>
  <si>
    <t xml:space="preserve"> データの切り替えが可能です⇒</t>
  </si>
  <si>
    <t>命令読込</t>
  </si>
  <si>
    <t>debuglog</t>
  </si>
  <si>
    <t>parserlog</t>
  </si>
  <si>
    <t>converterlog</t>
  </si>
  <si>
    <t>再帰呼出</t>
  </si>
  <si>
    <t>$$DATA命令1$$</t>
  </si>
  <si>
    <t>$$RANGE命令$$</t>
  </si>
  <si>
    <t>[spread01]</t>
  </si>
  <si>
    <t>ビュータイプ</t>
  </si>
  <si>
    <t>CATEGORYLIST</t>
  </si>
  <si>
    <t>出力項目</t>
  </si>
  <si>
    <t>CATCD,CATNM</t>
  </si>
  <si>
    <t>出力開始位置</t>
  </si>
  <si>
    <t>Y4</t>
  </si>
  <si>
    <t>出力方向</t>
  </si>
  <si>
    <t>行</t>
  </si>
  <si>
    <t>[main]</t>
  </si>
  <si>
    <t>setSheet(INFO)</t>
  </si>
  <si>
    <t>writeSpreadDirect(#spread01#)</t>
  </si>
  <si>
    <t>set(D3,@比較POS名称)</t>
  </si>
  <si>
    <t>set(D4,@分析POS名称)</t>
  </si>
  <si>
    <t>set(D6,@自社メーカー)</t>
  </si>
  <si>
    <t>set(D7,@出力日付)</t>
  </si>
  <si>
    <t>set(D8,@年度開始月)</t>
  </si>
  <si>
    <t>set(D9,@年度開始日付)</t>
  </si>
  <si>
    <t>set(D10,@分析開始日付)</t>
  </si>
  <si>
    <t>set(D11,@分析終了日付)</t>
  </si>
  <si>
    <t>set(D12,@分析数)</t>
  </si>
  <si>
    <t>set(D13,@分析種別)</t>
  </si>
  <si>
    <t>set(D14,@PIモード)</t>
  </si>
  <si>
    <t>set(D15,@前年開始日付)</t>
  </si>
  <si>
    <t>deleteSheet($$SHEET$$)</t>
  </si>
  <si>
    <t>copySheet($$SHEETDATA1$$,$$SHEET$$)</t>
  </si>
  <si>
    <t>CONDITION1LIST</t>
  </si>
  <si>
    <t>NM</t>
  </si>
  <si>
    <t>B4</t>
  </si>
  <si>
    <t>ソート順</t>
  </si>
  <si>
    <t>SORTKEY</t>
  </si>
  <si>
    <t>CONDITION1SUM_HK_J_ALL</t>
  </si>
  <si>
    <t>NUM,PR,AR,CAP</t>
  </si>
  <si>
    <t>C4</t>
  </si>
  <si>
    <t>CONDITION1TOTAL_HK_J_ALL</t>
  </si>
  <si>
    <t>I4</t>
  </si>
  <si>
    <t>CONDITION1SUM_HK_Z_ALL</t>
  </si>
  <si>
    <t>C57</t>
  </si>
  <si>
    <t>CONDITION1TOTAL_HK_Z_ALL</t>
  </si>
  <si>
    <t>I57</t>
  </si>
  <si>
    <t>CONDITION1SUM_BS_J_ALL</t>
  </si>
  <si>
    <t>C110</t>
  </si>
  <si>
    <t>CONDITION1TOTAL_BS_J_ALL</t>
  </si>
  <si>
    <t>I110</t>
  </si>
  <si>
    <t>CONDITION1SUM_BS_Z_ALL</t>
  </si>
  <si>
    <t>C163</t>
  </si>
  <si>
    <t>CONDITION1TOTAL_BS_Z_ALL</t>
  </si>
  <si>
    <t>I163</t>
  </si>
  <si>
    <t>CONDITION1SUM_HK_J_SHA</t>
  </si>
  <si>
    <t>C428</t>
  </si>
  <si>
    <t>CONDITION1TOTAL_HK_J_SHA</t>
  </si>
  <si>
    <t>I428</t>
  </si>
  <si>
    <t>CONDITION1SUM_HK_Z_SHA</t>
  </si>
  <si>
    <t>C481</t>
  </si>
  <si>
    <t>CONDITION1TOTAL_HK_Z_SHA</t>
  </si>
  <si>
    <t>I481</t>
  </si>
  <si>
    <t>CONDITION1SUM_BS_J_SHA</t>
  </si>
  <si>
    <t>C534</t>
  </si>
  <si>
    <t>CONDITION1TOTAL_BS_J_SHA</t>
  </si>
  <si>
    <t>I534</t>
  </si>
  <si>
    <t>CONDITION1SUM_BS_Z_SHA</t>
  </si>
  <si>
    <t>C587</t>
  </si>
  <si>
    <t>CONDITION1TOTAL_BS_Z_SHA</t>
  </si>
  <si>
    <t>I587</t>
  </si>
  <si>
    <t>CONDITION1_TIMESERIES_TOTAL_HK_J_ALL</t>
  </si>
  <si>
    <t>NUM1,PR1,AR1,CAP1,NUM2,PR2,AR2,CAP2,NUM3,PR3,AR3,CAP3,NUM4,PR4,AR4,CAP4,NUM5,PR5,AR5,CAP5,NUM6,PR6,AR6,CAP6,NUM7,PR7,AR7,CAP7,NUM8,PR8,AR8,CAP8,NUM9,PR9,AR9,CAP9,NUM10,PR10,AR10,CAP10,NUM11,PR11,AR11,CAP11,NUM12,PR12,AR12,CAP12</t>
  </si>
  <si>
    <t>C216</t>
  </si>
  <si>
    <t>CONDITION1_TIMESERIES_TOTAL_HK_Z_ALL</t>
  </si>
  <si>
    <t>C269</t>
  </si>
  <si>
    <t>CONDITION1_TIMESERIES_TOTAL_BS_J_ALL</t>
  </si>
  <si>
    <t>C322</t>
  </si>
  <si>
    <t>CONDITION1_TIMESERIES_TOTAL_BS_Z_ALL</t>
  </si>
  <si>
    <t>C375</t>
  </si>
  <si>
    <t>C640</t>
  </si>
  <si>
    <t>C693</t>
  </si>
  <si>
    <t>C746</t>
  </si>
  <si>
    <t>C799</t>
  </si>
  <si>
    <t>sum(NUM),sum(PR),sum(AR),sum(CAP)</t>
  </si>
  <si>
    <t>C865</t>
  </si>
  <si>
    <t>I865</t>
  </si>
  <si>
    <t>C869</t>
  </si>
  <si>
    <t>I869</t>
  </si>
  <si>
    <t>C873</t>
  </si>
  <si>
    <t>I873</t>
  </si>
  <si>
    <t>C877</t>
  </si>
  <si>
    <t>I877</t>
  </si>
  <si>
    <t>C897</t>
  </si>
  <si>
    <t>I897</t>
  </si>
  <si>
    <t>C901</t>
  </si>
  <si>
    <t>I901</t>
  </si>
  <si>
    <t>C905</t>
  </si>
  <si>
    <t>I905</t>
  </si>
  <si>
    <t>C909</t>
  </si>
  <si>
    <t>I909</t>
  </si>
  <si>
    <t>sum(NUM1),sum(PR1),sum(AR1),sum(CAP1),sum(NUM2),sum(PR2),sum(AR2),sum(CAP2),sum(NUM3),sum(PR3),sum(AR3),sum(CAP3),sum(NUM4),sum(PR4),sum(AR4),sum(CAP4),sum(NUM5),sum(PR5),sum(AR5),sum(CAP5),sum(NUM6),sum(PR6),sum(AR6),sum(CAP6),sum(NUM7),sum(PR7),sum(AR7),sum(CAP7),sum(NUM8),sum(PR8),sum(AR8),sum(CAP8),sum(NUM9),sum(PR9),sum(AR9),sum(CAP9),sum(NUM10),sum(PR10),sum(AR10),sum(CAP10),sum(NUM11),sum(PR11),sum(AR11),sum(CAP11),sum(NUM12),sum(PR12),sum(AR12),sum(CAP12)</t>
  </si>
  <si>
    <t>C881</t>
  </si>
  <si>
    <t>C885</t>
  </si>
  <si>
    <t>C889</t>
  </si>
  <si>
    <t>C893</t>
  </si>
  <si>
    <t>C913</t>
  </si>
  <si>
    <t>C917</t>
  </si>
  <si>
    <t>C921</t>
  </si>
  <si>
    <t>C925</t>
  </si>
  <si>
    <t>TIMESERIES_TOTAL_GUEST_HK_J</t>
  </si>
  <si>
    <t>KYAKUSU1,KYAKUSU2,KYAKUSU3,KYAKUSU4,KYAKUSU5,KYAKUSU6,KYAKUSU7,KYAKUSU8,KYAKUSU9,KYAKUSU10,KYAKUSU11,KYAKUSU12</t>
  </si>
  <si>
    <t>C851</t>
  </si>
  <si>
    <t>TIMESERIES_TOTAL_GUEST_HK_Z</t>
  </si>
  <si>
    <t>C854</t>
  </si>
  <si>
    <t>TIMESERIES_TOTAL_GUEST_BS_J</t>
  </si>
  <si>
    <t>C857</t>
  </si>
  <si>
    <t>TIMESERIES_TOTAL_GUEST_BS_Z</t>
  </si>
  <si>
    <t>C860</t>
  </si>
  <si>
    <t>setSheet(DATA)</t>
  </si>
  <si>
    <t>writeSpreadDirect(#spread02#)</t>
  </si>
  <si>
    <t>writeSpreadDirect(#spread03#)</t>
  </si>
  <si>
    <t>writeSpreadDirect(#spread04#)</t>
  </si>
  <si>
    <t>writeSpreadDirect(#spread05#)</t>
  </si>
  <si>
    <t>writeSpreadDirect(#spread06#)</t>
  </si>
  <si>
    <t>writeSpreadDirect(#spread07#)</t>
  </si>
  <si>
    <t>writeSpreadDirect(#spread08#)</t>
  </si>
  <si>
    <t>writeSpreadDirect(#spread09#)</t>
  </si>
  <si>
    <t>writeSpreadDirect(#spread10#)</t>
  </si>
  <si>
    <t>writeSpreadDirect(#spread11#)</t>
  </si>
  <si>
    <t>writeSpreadDirect(#spread12#)</t>
  </si>
  <si>
    <t>writeSpreadDirect(#spread13#)</t>
  </si>
  <si>
    <t>writeSpreadDirect(#spread14#)</t>
  </si>
  <si>
    <t>writeSpreadDirect(#spread15#)</t>
  </si>
  <si>
    <t>writeSpreadDirect(#spread16#)</t>
  </si>
  <si>
    <t>writeSpreadDirect(#spread17#)</t>
  </si>
  <si>
    <t>writeSpreadDirect(#spread18#)</t>
  </si>
  <si>
    <t>writeSpreadDirect(#spread19#)</t>
  </si>
  <si>
    <t>writeSpreadDirect(#spread20#)</t>
  </si>
  <si>
    <t>writeSpreadDirect(#spread21#)</t>
  </si>
  <si>
    <t>writeSpreadDirect(#spread22#)</t>
  </si>
  <si>
    <t>writeSpreadDirect(#spread23#)</t>
  </si>
  <si>
    <t>writeSpreadDirect(#spread24#)</t>
  </si>
  <si>
    <t>writeSpreadDirect(#spread25#)</t>
  </si>
  <si>
    <t>writeSpreadDirect(#spread26#)</t>
  </si>
  <si>
    <t>writeSpreadDirect(#spread27#)</t>
  </si>
  <si>
    <t>writeSpreadDirect(#spread28#)</t>
  </si>
  <si>
    <t>writeSpreadDirect(#spread29#)</t>
  </si>
  <si>
    <t>writeSpreadDirect(#spread30#)</t>
  </si>
  <si>
    <t>writeSpreadDirect(#spread31#)</t>
  </si>
  <si>
    <t>writeSpreadDirect(#spread32#)</t>
  </si>
  <si>
    <t>writeSpreadDirect(#spread33#)</t>
  </si>
  <si>
    <t>writeSpreadDirect(#spread34#)</t>
  </si>
  <si>
    <t>writeSpreadDirect(#spread35#)</t>
  </si>
  <si>
    <t>writeSpreadDirect(#spread36#)</t>
  </si>
  <si>
    <t>writeSpreadDirect(#spread37#)</t>
  </si>
  <si>
    <t>writeSpreadDirect(#spread38#)</t>
  </si>
  <si>
    <t>writeSpreadDirect(#spread39#)</t>
  </si>
  <si>
    <t>writeSpreadDirect(#spread40#)</t>
  </si>
  <si>
    <t>writeSpreadDirect(#spread41#)</t>
  </si>
  <si>
    <t>writeSpreadDirect(#spread42#)</t>
  </si>
  <si>
    <t>writeSpreadDirect(#spread43#)</t>
  </si>
  <si>
    <t>writeSpreadDirect(#spread44#)</t>
  </si>
  <si>
    <t>writeSpreadDirect(#spread45#)</t>
  </si>
  <si>
    <t>writeSpreadDirect(#spread46#)</t>
  </si>
  <si>
    <t>writeSpreadDirect(#spread47#)</t>
  </si>
  <si>
    <t>writeSpreadDirect(#spread48#)</t>
  </si>
  <si>
    <t>copySheet($$SHEETRANGE$$,$$SHEET$$)</t>
  </si>
  <si>
    <t>setSheet(売上実績)</t>
  </si>
  <si>
    <t>setSheet(自社シェア)</t>
  </si>
  <si>
    <t>setSheet(実績推移)</t>
  </si>
  <si>
    <t>setSheet(構成比推移)</t>
  </si>
  <si>
    <t>setSheet(平均売価推移)</t>
  </si>
  <si>
    <t>setSheet(販売指数)</t>
  </si>
  <si>
    <t>setSheet(売価粗利率推移)</t>
  </si>
  <si>
    <t>setSheet(来店客数推移)</t>
  </si>
  <si>
    <t>activeSheet2(0)</t>
  </si>
  <si>
    <t>writeSpreadDirect(#spread49#)</t>
  </si>
  <si>
    <t>set(D28,@税込フラグ)</t>
  </si>
  <si>
    <t>set(D29,@JAN合算フラグ)</t>
  </si>
  <si>
    <t>set(D30,@単品集約フラグ)</t>
  </si>
  <si>
    <t>税込フラグ</t>
  </si>
  <si>
    <t>JAN合算フラグ</t>
  </si>
  <si>
    <t>単品集約フラグ</t>
  </si>
  <si>
    <t>ALL_SUM_HK_J_ALL</t>
  </si>
  <si>
    <t>ALL_TOTAL_HK_J_ALL</t>
  </si>
  <si>
    <t>ALL_SUM_HK_Z_ALL</t>
  </si>
  <si>
    <t>ALL_TOTAL_HK_Z_ALL</t>
  </si>
  <si>
    <t>ALL_SUM_BS_J_ALL</t>
  </si>
  <si>
    <t>ALL_TOTAL_BS_J_ALL</t>
  </si>
  <si>
    <t>ALL_SUM_BS_Z_ALL</t>
  </si>
  <si>
    <t>ALL_TOTAL_BS_Z_ALL</t>
  </si>
  <si>
    <t>ALL_SUM_HK_J_SHA</t>
  </si>
  <si>
    <t>ALL_TOTAL_HK_J_SHA</t>
  </si>
  <si>
    <t>ALL_SUM_HK_Z_SHA</t>
  </si>
  <si>
    <t>ALL_TOTAL_HK_Z_SHA</t>
  </si>
  <si>
    <t>ALL_SUM_BS_J_SHA</t>
  </si>
  <si>
    <t>ALL_TOTAL_BS_J_SHA</t>
  </si>
  <si>
    <t>ALL_SUM_BS_Z_SHA</t>
  </si>
  <si>
    <t>ALL_TOTAL_BS_Z_SHA</t>
  </si>
  <si>
    <t>ALL_TIMESERIES_TOTAL_HK_J_ALL</t>
  </si>
  <si>
    <t>ALL_TIMESERIES_TOTAL_HK_Z_ALL</t>
  </si>
  <si>
    <t>ALL_TIMESERIES_TOTAL_BS_J_ALL</t>
  </si>
  <si>
    <t>ALL_TIMESERIES_TOTAL_BS_Z_ALL</t>
  </si>
  <si>
    <t>1-1--</t>
  </si>
  <si>
    <t>加工食品</t>
  </si>
  <si>
    <t>1-2--</t>
  </si>
  <si>
    <t>生鮮食品</t>
  </si>
  <si>
    <t>1-3--</t>
  </si>
  <si>
    <t>菓子類</t>
  </si>
  <si>
    <t>RDS06 スーパー  00 全国</t>
  </si>
  <si>
    <t>RDS06 スーパー  04 首都圏</t>
  </si>
  <si>
    <t>@自社メーカー</t>
  </si>
</sst>
</file>

<file path=xl/styles.xml><?xml version="1.0" encoding="utf-8"?>
<styleSheet xmlns="http://schemas.openxmlformats.org/spreadsheetml/2006/main">
  <numFmts count="7">
    <numFmt numFmtId="164" formatCode="#,##0_ ;[Red]\-#,##0\ "/>
    <numFmt numFmtId="165" formatCode="yyyy/m/d;@"/>
    <numFmt numFmtId="166" formatCode="0.0;&quot;▲ &quot;0.0"/>
    <numFmt numFmtId="167" formatCode="#,##0;&quot;▲ &quot;#,##0"/>
    <numFmt numFmtId="168" formatCode="#,##0.0;&quot;▲ &quot;#,##0.0"/>
    <numFmt numFmtId="169" formatCode="#,##0,"/>
    <numFmt numFmtId="170" formatCode="0;&quot;▲ &quot;0"/>
  </numFmts>
  <fonts count="51"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0"/>
      <name val="Arial"/>
      <family val="2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8"/>
      <color indexed="9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name val="Arial"/>
      <family val="2"/>
    </font>
    <font>
      <sz val="9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Arial"/>
      <family val="2"/>
    </font>
    <font>
      <b/>
      <sz val="18"/>
      <name val="ＭＳ Ｐゴシック"/>
      <family val="3"/>
      <charset val="128"/>
    </font>
    <font>
      <sz val="11"/>
      <name val="Arial"/>
      <family val="2"/>
    </font>
    <font>
      <b/>
      <sz val="9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b/>
      <sz val="9"/>
      <name val="Arial"/>
      <family val="2"/>
    </font>
    <font>
      <sz val="12"/>
      <name val="ＭＳ Ｐゴシック"/>
      <family val="3"/>
      <charset val="128"/>
    </font>
    <font>
      <sz val="18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8"/>
      <color indexed="10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.25"/>
      <color rgb="FF000000"/>
      <name val="Calibri"/>
      <family val="2"/>
      <scheme val="minor"/>
    </font>
    <font>
      <sz val="11.5"/>
      <color rgb="FF000000"/>
      <name val="Calibri"/>
      <family val="2"/>
      <scheme val="minor"/>
    </font>
    <font>
      <sz val="11"/>
      <color theme="0"/>
      <name val="ＭＳ Ｐゴシック"/>
      <family val="3"/>
      <charset val="128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6.75"/>
      <color rgb="FF000000"/>
      <name val="Calibri"/>
      <family val="2"/>
      <scheme val="minor"/>
    </font>
    <font>
      <b/>
      <sz val="11"/>
      <color theme="3"/>
      <name val="ＭＳ Ｐゴシック"/>
      <family val="3"/>
      <charset val="128"/>
    </font>
    <font>
      <sz val="11"/>
      <color rgb="FF9C0006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</font>
    <font>
      <b/>
      <sz val="13"/>
      <color theme="3"/>
      <name val="ＭＳ Ｐゴシック"/>
      <family val="3"/>
      <charset val="128"/>
    </font>
    <font>
      <b/>
      <sz val="15"/>
      <color theme="3"/>
      <name val="ＭＳ Ｐゴシック"/>
      <family val="3"/>
      <charset val="128"/>
    </font>
    <font>
      <sz val="11"/>
      <color rgb="FF3F3F76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006100"/>
      <name val="ＭＳ Ｐゴシック"/>
      <family val="3"/>
      <charset val="128"/>
    </font>
    <font>
      <sz val="11"/>
      <color rgb="FFFA7D00"/>
      <name val="ＭＳ Ｐゴシック"/>
      <family val="3"/>
      <charset val="128"/>
    </font>
    <font>
      <b/>
      <sz val="18"/>
      <color theme="3"/>
      <name val="Calibri Light"/>
      <family val="3"/>
      <charset val="128"/>
      <scheme val="major"/>
    </font>
  </fonts>
  <fills count="22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22"/>
      </patternFill>
    </fill>
  </fills>
  <borders count="8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</cellStyleXfs>
  <cellXfs count="35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 applyAlignment="1">
      <alignment horizontal="centerContinuous" vertical="center"/>
    </xf>
    <xf numFmtId="0" fontId="3" fillId="3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0" borderId="0" xfId="0" applyFont="1" applyFill="1">
      <alignment vertical="center"/>
    </xf>
    <xf numFmtId="164" fontId="2" fillId="5" borderId="2" xfId="0" applyNumberFormat="1" applyFont="1" applyFill="1" applyBorder="1">
      <alignment vertical="center"/>
    </xf>
    <xf numFmtId="164" fontId="2" fillId="5" borderId="3" xfId="0" applyNumberFormat="1" applyFont="1" applyFill="1" applyBorder="1">
      <alignment vertical="center"/>
    </xf>
    <xf numFmtId="164" fontId="2" fillId="5" borderId="4" xfId="0" applyNumberFormat="1" applyFont="1" applyFill="1" applyBorder="1">
      <alignment vertical="center"/>
    </xf>
    <xf numFmtId="164" fontId="2" fillId="5" borderId="5" xfId="0" applyNumberFormat="1" applyFont="1" applyFill="1" applyBorder="1">
      <alignment vertical="center"/>
    </xf>
    <xf numFmtId="0" fontId="5" fillId="6" borderId="0" xfId="0" applyFont="1" applyFill="1">
      <alignment vertical="center"/>
    </xf>
    <xf numFmtId="0" fontId="2" fillId="7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167" fontId="6" fillId="6" borderId="9" xfId="0" applyNumberFormat="1" applyFont="1" applyFill="1" applyBorder="1" applyAlignment="1">
      <alignment horizontal="right" vertical="center" shrinkToFit="1"/>
    </xf>
    <xf numFmtId="0" fontId="7" fillId="6" borderId="0" xfId="0" applyFont="1" applyFill="1" applyAlignment="1">
      <alignment horizontal="centerContinuous" vertical="center"/>
    </xf>
    <xf numFmtId="164" fontId="2" fillId="5" borderId="10" xfId="0" applyNumberFormat="1" applyFont="1" applyFill="1" applyBorder="1">
      <alignment vertical="center"/>
    </xf>
    <xf numFmtId="164" fontId="2" fillId="5" borderId="11" xfId="0" applyNumberFormat="1" applyFont="1" applyFill="1" applyBorder="1">
      <alignment vertical="center"/>
    </xf>
    <xf numFmtId="164" fontId="2" fillId="5" borderId="7" xfId="0" applyNumberFormat="1" applyFont="1" applyFill="1" applyBorder="1">
      <alignment vertical="center"/>
    </xf>
    <xf numFmtId="164" fontId="2" fillId="5" borderId="12" xfId="0" applyNumberFormat="1" applyFont="1" applyFill="1" applyBorder="1">
      <alignment vertical="center"/>
    </xf>
    <xf numFmtId="0" fontId="7" fillId="6" borderId="9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right" vertical="center"/>
    </xf>
    <xf numFmtId="164" fontId="2" fillId="2" borderId="0" xfId="0" applyNumberFormat="1" applyFont="1" applyFill="1" applyBorder="1">
      <alignment vertical="center"/>
    </xf>
    <xf numFmtId="0" fontId="9" fillId="6" borderId="0" xfId="0" applyFont="1" applyFill="1" applyAlignment="1">
      <alignment horizontal="centerContinuous" vertical="center"/>
    </xf>
    <xf numFmtId="0" fontId="10" fillId="9" borderId="13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Continuous" vertical="center"/>
    </xf>
    <xf numFmtId="0" fontId="8" fillId="3" borderId="0" xfId="0" applyFont="1" applyFill="1">
      <alignment vertical="center"/>
    </xf>
    <xf numFmtId="0" fontId="0" fillId="3" borderId="0" xfId="0" applyFill="1">
      <alignment vertical="center"/>
    </xf>
    <xf numFmtId="0" fontId="12" fillId="0" borderId="0" xfId="0" applyFont="1" applyFill="1" applyBorder="1" applyAlignment="1">
      <alignment horizontal="center" vertical="center" shrinkToFit="1"/>
    </xf>
    <xf numFmtId="0" fontId="7" fillId="6" borderId="14" xfId="0" applyFont="1" applyFill="1" applyBorder="1">
      <alignment vertical="center"/>
    </xf>
    <xf numFmtId="168" fontId="13" fillId="6" borderId="9" xfId="0" applyNumberFormat="1" applyFont="1" applyFill="1" applyBorder="1" applyAlignment="1">
      <alignment horizontal="right" vertical="center" shrinkToFit="1"/>
    </xf>
    <xf numFmtId="0" fontId="14" fillId="6" borderId="0" xfId="0" applyFont="1" applyFill="1">
      <alignment vertical="center"/>
    </xf>
    <xf numFmtId="168" fontId="13" fillId="6" borderId="15" xfId="0" applyNumberFormat="1" applyFont="1" applyFill="1" applyBorder="1" applyAlignment="1">
      <alignment horizontal="right" vertical="center" shrinkToFit="1"/>
    </xf>
    <xf numFmtId="164" fontId="2" fillId="5" borderId="16" xfId="0" applyNumberFormat="1" applyFont="1" applyFill="1" applyBorder="1">
      <alignment vertical="center"/>
    </xf>
    <xf numFmtId="166" fontId="15" fillId="6" borderId="9" xfId="0" applyNumberFormat="1" applyFont="1" applyFill="1" applyBorder="1" applyAlignment="1">
      <alignment horizontal="right" vertical="center"/>
    </xf>
    <xf numFmtId="0" fontId="2" fillId="10" borderId="17" xfId="0" applyFont="1" applyFill="1" applyBorder="1" applyAlignment="1">
      <alignment horizontal="center" vertical="center"/>
    </xf>
    <xf numFmtId="0" fontId="7" fillId="6" borderId="0" xfId="0" applyFont="1" applyFill="1">
      <alignment vertical="center"/>
    </xf>
    <xf numFmtId="168" fontId="13" fillId="6" borderId="18" xfId="0" applyNumberFormat="1" applyFont="1" applyFill="1" applyBorder="1" applyAlignment="1">
      <alignment horizontal="right" vertical="center" shrinkToFit="1"/>
    </xf>
    <xf numFmtId="0" fontId="2" fillId="4" borderId="16" xfId="0" applyFont="1" applyFill="1" applyBorder="1" applyAlignment="1">
      <alignment horizontal="center" vertical="center"/>
    </xf>
    <xf numFmtId="0" fontId="15" fillId="6" borderId="0" xfId="0" applyFont="1" applyFill="1" applyBorder="1">
      <alignment vertical="center"/>
    </xf>
    <xf numFmtId="0" fontId="15" fillId="6" borderId="19" xfId="0" applyFont="1" applyFill="1" applyBorder="1">
      <alignment vertical="center"/>
    </xf>
    <xf numFmtId="0" fontId="15" fillId="2" borderId="0" xfId="0" applyFont="1" applyFill="1">
      <alignment vertical="center"/>
    </xf>
    <xf numFmtId="167" fontId="16" fillId="6" borderId="9" xfId="0" applyNumberFormat="1" applyFont="1" applyFill="1" applyBorder="1" applyAlignment="1">
      <alignment horizontal="right" vertical="center" shrinkToFit="1"/>
    </xf>
    <xf numFmtId="167" fontId="13" fillId="6" borderId="9" xfId="0" applyNumberFormat="1" applyFont="1" applyFill="1" applyBorder="1" applyAlignment="1">
      <alignment horizontal="right" vertical="center" shrinkToFit="1"/>
    </xf>
    <xf numFmtId="167" fontId="13" fillId="5" borderId="20" xfId="0" applyNumberFormat="1" applyFont="1" applyFill="1" applyBorder="1" applyAlignment="1">
      <alignment horizontal="right" vertical="center" shrinkToFit="1"/>
    </xf>
    <xf numFmtId="167" fontId="13" fillId="6" borderId="15" xfId="0" applyNumberFormat="1" applyFont="1" applyFill="1" applyBorder="1" applyAlignment="1">
      <alignment horizontal="right" vertical="center" shrinkToFit="1"/>
    </xf>
    <xf numFmtId="0" fontId="2" fillId="4" borderId="9" xfId="0" applyFont="1" applyFill="1" applyBorder="1">
      <alignment vertical="center"/>
    </xf>
    <xf numFmtId="0" fontId="17" fillId="6" borderId="0" xfId="0" applyFont="1" applyFill="1" applyBorder="1" applyAlignment="1">
      <alignment horizontal="centerContinuous" vertical="center"/>
    </xf>
    <xf numFmtId="164" fontId="2" fillId="5" borderId="21" xfId="0" applyNumberFormat="1" applyFont="1" applyFill="1" applyBorder="1">
      <alignment vertical="center"/>
    </xf>
    <xf numFmtId="164" fontId="2" fillId="5" borderId="17" xfId="0" applyNumberFormat="1" applyFont="1" applyFill="1" applyBorder="1">
      <alignment vertical="center"/>
    </xf>
    <xf numFmtId="0" fontId="10" fillId="6" borderId="0" xfId="0" applyFont="1" applyFill="1" applyBorder="1" applyAlignment="1">
      <alignment horizontal="centerContinuous" vertical="center"/>
    </xf>
    <xf numFmtId="164" fontId="2" fillId="5" borderId="22" xfId="0" applyNumberFormat="1" applyFont="1" applyFill="1" applyBorder="1">
      <alignment vertical="center"/>
    </xf>
    <xf numFmtId="0" fontId="1" fillId="0" borderId="0" xfId="3">
      <alignment vertical="center"/>
    </xf>
    <xf numFmtId="164" fontId="2" fillId="5" borderId="23" xfId="0" applyNumberFormat="1" applyFont="1" applyFill="1" applyBorder="1">
      <alignment vertical="center"/>
    </xf>
    <xf numFmtId="0" fontId="2" fillId="4" borderId="24" xfId="0" applyFont="1" applyFill="1" applyBorder="1">
      <alignment vertical="center"/>
    </xf>
    <xf numFmtId="0" fontId="15" fillId="2" borderId="14" xfId="0" applyFont="1" applyFill="1" applyBorder="1">
      <alignment vertical="center"/>
    </xf>
    <xf numFmtId="0" fontId="15" fillId="6" borderId="0" xfId="0" applyFont="1" applyFill="1">
      <alignment vertical="center"/>
    </xf>
    <xf numFmtId="0" fontId="2" fillId="4" borderId="25" xfId="0" applyFont="1" applyFill="1" applyBorder="1">
      <alignment vertical="center"/>
    </xf>
    <xf numFmtId="0" fontId="2" fillId="4" borderId="26" xfId="0" applyFont="1" applyFill="1" applyBorder="1">
      <alignment vertical="center"/>
    </xf>
    <xf numFmtId="169" fontId="13" fillId="6" borderId="27" xfId="0" applyNumberFormat="1" applyFont="1" applyFill="1" applyBorder="1" applyAlignment="1">
      <alignment horizontal="right" vertical="center" shrinkToFit="1"/>
    </xf>
    <xf numFmtId="167" fontId="18" fillId="6" borderId="9" xfId="0" applyNumberFormat="1" applyFont="1" applyFill="1" applyBorder="1" applyAlignment="1">
      <alignment horizontal="right" vertical="center" shrinkToFit="1"/>
    </xf>
    <xf numFmtId="167" fontId="7" fillId="6" borderId="0" xfId="0" applyNumberFormat="1" applyFont="1" applyFill="1" applyBorder="1">
      <alignment vertical="center"/>
    </xf>
    <xf numFmtId="166" fontId="13" fillId="6" borderId="15" xfId="0" applyNumberFormat="1" applyFont="1" applyFill="1" applyBorder="1" applyAlignment="1">
      <alignment horizontal="right" vertical="center" shrinkToFit="1"/>
    </xf>
    <xf numFmtId="168" fontId="13" fillId="5" borderId="20" xfId="0" applyNumberFormat="1" applyFont="1" applyFill="1" applyBorder="1" applyAlignment="1">
      <alignment horizontal="right" vertical="center"/>
    </xf>
    <xf numFmtId="0" fontId="19" fillId="6" borderId="0" xfId="0" applyFont="1" applyFill="1" applyBorder="1" applyAlignment="1">
      <alignment horizontal="centerContinuous" vertical="center"/>
    </xf>
    <xf numFmtId="167" fontId="13" fillId="6" borderId="18" xfId="0" applyNumberFormat="1" applyFont="1" applyFill="1" applyBorder="1" applyAlignment="1">
      <alignment horizontal="right" vertical="center" shrinkToFit="1"/>
    </xf>
    <xf numFmtId="168" fontId="13" fillId="6" borderId="27" xfId="0" applyNumberFormat="1" applyFont="1" applyFill="1" applyBorder="1" applyAlignment="1">
      <alignment horizontal="right" vertical="center" shrinkToFit="1"/>
    </xf>
    <xf numFmtId="0" fontId="15" fillId="6" borderId="28" xfId="0" applyFont="1" applyFill="1" applyBorder="1" applyAlignment="1">
      <alignment horizontal="centerContinuous" vertical="center"/>
    </xf>
    <xf numFmtId="0" fontId="20" fillId="11" borderId="29" xfId="0" applyFont="1" applyFill="1" applyBorder="1" applyAlignment="1">
      <alignment horizontal="center" vertical="center"/>
    </xf>
    <xf numFmtId="0" fontId="20" fillId="12" borderId="29" xfId="0" applyFont="1" applyFill="1" applyBorder="1" applyAlignment="1">
      <alignment horizontal="center" vertical="center"/>
    </xf>
    <xf numFmtId="0" fontId="20" fillId="11" borderId="30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Continuous" vertical="center"/>
    </xf>
    <xf numFmtId="0" fontId="20" fillId="12" borderId="30" xfId="0" applyFont="1" applyFill="1" applyBorder="1" applyAlignment="1">
      <alignment horizontal="center" vertical="center"/>
    </xf>
    <xf numFmtId="0" fontId="20" fillId="13" borderId="30" xfId="0" applyFont="1" applyFill="1" applyBorder="1" applyAlignment="1">
      <alignment horizontal="center" vertical="center"/>
    </xf>
    <xf numFmtId="166" fontId="15" fillId="6" borderId="0" xfId="0" applyNumberFormat="1" applyFont="1" applyFill="1" applyBorder="1" applyAlignment="1">
      <alignment horizontal="right" vertical="center"/>
    </xf>
    <xf numFmtId="166" fontId="16" fillId="6" borderId="9" xfId="0" applyNumberFormat="1" applyFont="1" applyFill="1" applyBorder="1" applyAlignment="1">
      <alignment horizontal="right" vertical="center"/>
    </xf>
    <xf numFmtId="0" fontId="20" fillId="13" borderId="29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2" borderId="31" xfId="0" applyFont="1" applyFill="1" applyBorder="1">
      <alignment vertical="center"/>
    </xf>
    <xf numFmtId="0" fontId="15" fillId="2" borderId="0" xfId="1" applyFont="1" applyFill="1">
      <alignment vertical="center"/>
    </xf>
    <xf numFmtId="0" fontId="7" fillId="6" borderId="9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168" fontId="13" fillId="6" borderId="0" xfId="0" applyNumberFormat="1" applyFont="1" applyFill="1" applyBorder="1" applyAlignment="1">
      <alignment horizontal="right" vertical="center"/>
    </xf>
    <xf numFmtId="0" fontId="9" fillId="6" borderId="0" xfId="0" applyFont="1" applyFill="1">
      <alignment vertical="center"/>
    </xf>
    <xf numFmtId="0" fontId="0" fillId="0" borderId="0" xfId="0" applyNumberFormat="1">
      <alignment vertical="center"/>
    </xf>
    <xf numFmtId="0" fontId="15" fillId="6" borderId="14" xfId="0" applyFont="1" applyFill="1" applyBorder="1">
      <alignment vertical="center"/>
    </xf>
    <xf numFmtId="168" fontId="13" fillId="6" borderId="19" xfId="0" applyNumberFormat="1" applyFont="1" applyFill="1" applyBorder="1" applyAlignment="1">
      <alignment horizontal="right" vertical="center" shrinkToFit="1"/>
    </xf>
    <xf numFmtId="166" fontId="15" fillId="6" borderId="0" xfId="0" applyNumberFormat="1" applyFont="1" applyFill="1" applyBorder="1">
      <alignment vertical="center"/>
    </xf>
    <xf numFmtId="0" fontId="15" fillId="0" borderId="14" xfId="0" applyFont="1" applyBorder="1">
      <alignment vertical="center"/>
    </xf>
    <xf numFmtId="0" fontId="15" fillId="0" borderId="0" xfId="1" applyFont="1">
      <alignment vertical="center"/>
    </xf>
    <xf numFmtId="0" fontId="10" fillId="6" borderId="0" xfId="0" applyFont="1" applyFill="1" applyAlignment="1">
      <alignment horizontal="centerContinuous" vertical="center"/>
    </xf>
    <xf numFmtId="168" fontId="13" fillId="6" borderId="30" xfId="0" applyNumberFormat="1" applyFont="1" applyFill="1" applyBorder="1" applyAlignment="1">
      <alignment horizontal="right" vertical="center" shrinkToFit="1"/>
    </xf>
    <xf numFmtId="0" fontId="15" fillId="0" borderId="32" xfId="0" applyFont="1" applyBorder="1">
      <alignment vertical="center"/>
    </xf>
    <xf numFmtId="0" fontId="15" fillId="0" borderId="15" xfId="0" applyFont="1" applyBorder="1">
      <alignment vertical="center"/>
    </xf>
    <xf numFmtId="0" fontId="7" fillId="6" borderId="0" xfId="0" applyFont="1" applyFill="1" applyAlignment="1">
      <alignment vertical="center"/>
    </xf>
    <xf numFmtId="0" fontId="17" fillId="6" borderId="0" xfId="0" applyFont="1" applyFill="1" applyAlignment="1">
      <alignment horizontal="centerContinuous" vertical="center"/>
    </xf>
    <xf numFmtId="0" fontId="10" fillId="9" borderId="33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right" vertical="center"/>
    </xf>
    <xf numFmtId="167" fontId="13" fillId="6" borderId="27" xfId="0" applyNumberFormat="1" applyFont="1" applyFill="1" applyBorder="1" applyAlignment="1">
      <alignment horizontal="right" vertical="center" shrinkToFit="1"/>
    </xf>
    <xf numFmtId="0" fontId="10" fillId="4" borderId="13" xfId="0" applyFont="1" applyFill="1" applyBorder="1" applyAlignment="1">
      <alignment horizontal="center" vertical="center"/>
    </xf>
    <xf numFmtId="0" fontId="15" fillId="0" borderId="27" xfId="0" applyFont="1" applyBorder="1">
      <alignment vertical="center"/>
    </xf>
    <xf numFmtId="0" fontId="10" fillId="9" borderId="34" xfId="0" applyFont="1" applyFill="1" applyBorder="1" applyAlignment="1">
      <alignment horizontal="center" vertical="center"/>
    </xf>
    <xf numFmtId="0" fontId="15" fillId="2" borderId="0" xfId="0" applyFont="1" applyFill="1" applyBorder="1">
      <alignment vertical="center"/>
    </xf>
    <xf numFmtId="0" fontId="19" fillId="6" borderId="14" xfId="0" applyFont="1" applyFill="1" applyBorder="1" applyAlignment="1">
      <alignment horizontal="center" vertical="center" wrapText="1"/>
    </xf>
    <xf numFmtId="0" fontId="10" fillId="6" borderId="0" xfId="0" applyFont="1" applyFill="1" applyAlignment="1">
      <alignment horizontal="right"/>
    </xf>
    <xf numFmtId="0" fontId="15" fillId="6" borderId="0" xfId="0" applyFont="1" applyFill="1" applyAlignment="1">
      <alignment vertical="center"/>
    </xf>
    <xf numFmtId="167" fontId="6" fillId="6" borderId="9" xfId="0" applyNumberFormat="1" applyFont="1" applyFill="1" applyBorder="1" applyAlignment="1">
      <alignment horizontal="right" vertical="center"/>
    </xf>
    <xf numFmtId="0" fontId="19" fillId="6" borderId="0" xfId="0" applyFont="1" applyFill="1" applyBorder="1" applyAlignment="1">
      <alignment horizontal="center" vertical="center" wrapText="1"/>
    </xf>
    <xf numFmtId="0" fontId="19" fillId="8" borderId="15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vertical="center"/>
    </xf>
    <xf numFmtId="0" fontId="19" fillId="6" borderId="35" xfId="0" applyFont="1" applyFill="1" applyBorder="1" applyAlignment="1">
      <alignment horizontal="center" vertical="center" wrapText="1"/>
    </xf>
    <xf numFmtId="166" fontId="21" fillId="8" borderId="18" xfId="0" applyNumberFormat="1" applyFont="1" applyFill="1" applyBorder="1" applyAlignment="1">
      <alignment horizontal="right" vertical="center"/>
    </xf>
    <xf numFmtId="166" fontId="21" fillId="14" borderId="36" xfId="0" applyNumberFormat="1" applyFont="1" applyFill="1" applyBorder="1" applyAlignment="1">
      <alignment horizontal="right" vertical="center"/>
    </xf>
    <xf numFmtId="0" fontId="10" fillId="9" borderId="37" xfId="0" applyFont="1" applyFill="1" applyBorder="1" applyAlignment="1">
      <alignment horizontal="center" vertical="center"/>
    </xf>
    <xf numFmtId="166" fontId="15" fillId="6" borderId="19" xfId="0" applyNumberFormat="1" applyFont="1" applyFill="1" applyBorder="1">
      <alignment vertical="center"/>
    </xf>
    <xf numFmtId="166" fontId="21" fillId="14" borderId="38" xfId="0" applyNumberFormat="1" applyFont="1" applyFill="1" applyBorder="1" applyAlignment="1">
      <alignment horizontal="right" vertical="center"/>
    </xf>
    <xf numFmtId="166" fontId="21" fillId="8" borderId="9" xfId="0" applyNumberFormat="1" applyFont="1" applyFill="1" applyBorder="1" applyAlignment="1">
      <alignment horizontal="right" vertical="center"/>
    </xf>
    <xf numFmtId="166" fontId="21" fillId="15" borderId="39" xfId="0" applyNumberFormat="1" applyFont="1" applyFill="1" applyBorder="1" applyAlignment="1">
      <alignment horizontal="right" vertical="center"/>
    </xf>
    <xf numFmtId="166" fontId="0" fillId="6" borderId="19" xfId="0" applyNumberFormat="1" applyFont="1" applyFill="1" applyBorder="1">
      <alignment vertical="center"/>
    </xf>
    <xf numFmtId="0" fontId="19" fillId="14" borderId="40" xfId="0" applyFont="1" applyFill="1" applyBorder="1" applyAlignment="1">
      <alignment horizontal="center" vertical="center"/>
    </xf>
    <xf numFmtId="166" fontId="21" fillId="14" borderId="41" xfId="0" applyNumberFormat="1" applyFont="1" applyFill="1" applyBorder="1" applyAlignment="1">
      <alignment horizontal="right" vertical="center"/>
    </xf>
    <xf numFmtId="0" fontId="22" fillId="4" borderId="19" xfId="0" applyFont="1" applyFill="1" applyBorder="1" applyAlignment="1">
      <alignment horizontal="centerContinuous" vertical="center" shrinkToFit="1"/>
    </xf>
    <xf numFmtId="0" fontId="23" fillId="6" borderId="0" xfId="0" applyFont="1" applyFill="1">
      <alignment vertical="center"/>
    </xf>
    <xf numFmtId="0" fontId="19" fillId="6" borderId="42" xfId="0" applyFont="1" applyFill="1" applyBorder="1" applyAlignment="1">
      <alignment horizontal="center" vertical="center" wrapText="1"/>
    </xf>
    <xf numFmtId="166" fontId="21" fillId="8" borderId="43" xfId="0" applyNumberFormat="1" applyFont="1" applyFill="1" applyBorder="1" applyAlignment="1">
      <alignment horizontal="right" vertical="center"/>
    </xf>
    <xf numFmtId="0" fontId="22" fillId="8" borderId="19" xfId="0" applyFont="1" applyFill="1" applyBorder="1" applyAlignment="1">
      <alignment horizontal="centerContinuous" vertical="center" shrinkToFit="1"/>
    </xf>
    <xf numFmtId="167" fontId="21" fillId="6" borderId="44" xfId="0" applyNumberFormat="1" applyFont="1" applyFill="1" applyBorder="1" applyAlignment="1">
      <alignment horizontal="right" vertical="center" shrinkToFit="1"/>
    </xf>
    <xf numFmtId="167" fontId="21" fillId="6" borderId="45" xfId="0" applyNumberFormat="1" applyFont="1" applyFill="1" applyBorder="1" applyAlignment="1">
      <alignment horizontal="right" vertical="center" shrinkToFit="1"/>
    </xf>
    <xf numFmtId="0" fontId="15" fillId="6" borderId="14" xfId="0" applyFont="1" applyFill="1" applyBorder="1" applyAlignment="1">
      <alignment vertical="center"/>
    </xf>
    <xf numFmtId="0" fontId="15" fillId="0" borderId="0" xfId="0" applyFont="1" applyBorder="1">
      <alignment vertical="center"/>
    </xf>
    <xf numFmtId="166" fontId="21" fillId="8" borderId="30" xfId="0" applyNumberFormat="1" applyFont="1" applyFill="1" applyBorder="1" applyAlignment="1">
      <alignment horizontal="right" vertical="center"/>
    </xf>
    <xf numFmtId="0" fontId="19" fillId="6" borderId="46" xfId="0" applyFont="1" applyFill="1" applyBorder="1" applyAlignment="1">
      <alignment horizontal="center" vertical="center" wrapText="1"/>
    </xf>
    <xf numFmtId="0" fontId="19" fillId="6" borderId="47" xfId="0" applyFont="1" applyFill="1" applyBorder="1">
      <alignment vertical="center"/>
    </xf>
    <xf numFmtId="167" fontId="21" fillId="6" borderId="48" xfId="0" applyNumberFormat="1" applyFont="1" applyFill="1" applyBorder="1" applyAlignment="1">
      <alignment horizontal="right" vertical="center" shrinkToFit="1"/>
    </xf>
    <xf numFmtId="0" fontId="10" fillId="9" borderId="49" xfId="0" applyFont="1" applyFill="1" applyBorder="1" applyAlignment="1">
      <alignment vertical="center"/>
    </xf>
    <xf numFmtId="0" fontId="19" fillId="6" borderId="50" xfId="0" applyFont="1" applyFill="1" applyBorder="1" applyAlignment="1">
      <alignment horizontal="center" vertical="center" wrapText="1"/>
    </xf>
    <xf numFmtId="167" fontId="21" fillId="6" borderId="51" xfId="0" applyNumberFormat="1" applyFont="1" applyFill="1" applyBorder="1" applyAlignment="1">
      <alignment horizontal="right" vertical="center" shrinkToFit="1"/>
    </xf>
    <xf numFmtId="167" fontId="15" fillId="6" borderId="52" xfId="0" applyNumberFormat="1" applyFont="1" applyFill="1" applyBorder="1" applyAlignment="1">
      <alignment horizontal="right" vertical="center" shrinkToFit="1"/>
    </xf>
    <xf numFmtId="164" fontId="2" fillId="5" borderId="53" xfId="0" applyNumberFormat="1" applyFont="1" applyFill="1" applyBorder="1">
      <alignment vertical="center"/>
    </xf>
    <xf numFmtId="167" fontId="15" fillId="6" borderId="0" xfId="0" applyNumberFormat="1" applyFont="1" applyFill="1" applyBorder="1" applyAlignment="1">
      <alignment horizontal="right" vertical="center" shrinkToFit="1"/>
    </xf>
    <xf numFmtId="0" fontId="19" fillId="6" borderId="0" xfId="0" applyFont="1" applyFill="1" applyBorder="1" applyAlignment="1">
      <alignment horizontal="right" vertical="center"/>
    </xf>
    <xf numFmtId="0" fontId="10" fillId="9" borderId="54" xfId="0" applyFont="1" applyFill="1" applyBorder="1" applyAlignment="1">
      <alignment vertical="center"/>
    </xf>
    <xf numFmtId="0" fontId="15" fillId="0" borderId="42" xfId="0" applyFont="1" applyBorder="1">
      <alignment vertical="center"/>
    </xf>
    <xf numFmtId="0" fontId="15" fillId="0" borderId="46" xfId="0" applyFont="1" applyBorder="1">
      <alignment vertical="center"/>
    </xf>
    <xf numFmtId="0" fontId="15" fillId="6" borderId="9" xfId="0" applyFont="1" applyFill="1" applyBorder="1" applyAlignment="1">
      <alignment vertical="center"/>
    </xf>
    <xf numFmtId="0" fontId="24" fillId="16" borderId="0" xfId="0" applyFont="1" applyFill="1" applyAlignment="1">
      <alignment horizontal="center" vertical="center" wrapText="1"/>
    </xf>
    <xf numFmtId="164" fontId="2" fillId="5" borderId="55" xfId="0" applyNumberFormat="1" applyFont="1" applyFill="1" applyBorder="1">
      <alignment vertical="center"/>
    </xf>
    <xf numFmtId="0" fontId="15" fillId="0" borderId="50" xfId="0" applyFont="1" applyBorder="1">
      <alignment vertical="center"/>
    </xf>
    <xf numFmtId="0" fontId="10" fillId="9" borderId="56" xfId="0" applyFont="1" applyFill="1" applyBorder="1" applyAlignment="1">
      <alignment vertical="center"/>
    </xf>
    <xf numFmtId="0" fontId="10" fillId="5" borderId="37" xfId="0" applyFont="1" applyFill="1" applyBorder="1" applyAlignment="1">
      <alignment horizontal="center" vertical="center"/>
    </xf>
    <xf numFmtId="0" fontId="15" fillId="5" borderId="37" xfId="0" applyFont="1" applyFill="1" applyBorder="1">
      <alignment vertical="center"/>
    </xf>
    <xf numFmtId="168" fontId="13" fillId="6" borderId="41" xfId="0" applyNumberFormat="1" applyFont="1" applyFill="1" applyBorder="1" applyAlignment="1">
      <alignment horizontal="right" vertical="center" shrinkToFit="1"/>
    </xf>
    <xf numFmtId="0" fontId="15" fillId="0" borderId="35" xfId="0" applyFont="1" applyBorder="1">
      <alignment vertical="center"/>
    </xf>
    <xf numFmtId="0" fontId="2" fillId="6" borderId="32" xfId="0" applyFont="1" applyFill="1" applyBorder="1" applyAlignment="1">
      <alignment vertical="center"/>
    </xf>
    <xf numFmtId="168" fontId="13" fillId="9" borderId="54" xfId="0" applyNumberFormat="1" applyFont="1" applyFill="1" applyBorder="1" applyAlignment="1">
      <alignment horizontal="right" vertical="center"/>
    </xf>
    <xf numFmtId="0" fontId="2" fillId="4" borderId="55" xfId="0" applyFont="1" applyFill="1" applyBorder="1" applyAlignment="1">
      <alignment horizontal="center" vertical="center"/>
    </xf>
    <xf numFmtId="168" fontId="13" fillId="6" borderId="46" xfId="0" applyNumberFormat="1" applyFont="1" applyFill="1" applyBorder="1" applyAlignment="1">
      <alignment horizontal="right" vertical="center" shrinkToFit="1"/>
    </xf>
    <xf numFmtId="0" fontId="2" fillId="6" borderId="0" xfId="0" applyFont="1" applyFill="1" applyBorder="1" applyAlignment="1">
      <alignment vertical="center"/>
    </xf>
    <xf numFmtId="166" fontId="15" fillId="6" borderId="57" xfId="0" applyNumberFormat="1" applyFont="1" applyFill="1" applyBorder="1" applyAlignment="1">
      <alignment horizontal="right" vertical="center"/>
    </xf>
    <xf numFmtId="0" fontId="9" fillId="6" borderId="0" xfId="0" applyFont="1" applyFill="1" applyBorder="1" applyAlignment="1">
      <alignment vertical="center"/>
    </xf>
    <xf numFmtId="0" fontId="15" fillId="6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168" fontId="13" fillId="6" borderId="48" xfId="0" applyNumberFormat="1" applyFont="1" applyFill="1" applyBorder="1" applyAlignment="1">
      <alignment horizontal="right" vertical="center" shrinkToFit="1"/>
    </xf>
    <xf numFmtId="168" fontId="13" fillId="6" borderId="40" xfId="0" applyNumberFormat="1" applyFont="1" applyFill="1" applyBorder="1" applyAlignment="1">
      <alignment horizontal="right" vertical="center" shrinkToFit="1"/>
    </xf>
    <xf numFmtId="167" fontId="14" fillId="6" borderId="52" xfId="0" applyNumberFormat="1" applyFont="1" applyFill="1" applyBorder="1" applyAlignment="1">
      <alignment horizontal="right" vertical="center" shrinkToFit="1"/>
    </xf>
    <xf numFmtId="164" fontId="2" fillId="5" borderId="58" xfId="0" applyNumberFormat="1" applyFont="1" applyFill="1" applyBorder="1">
      <alignment vertical="center"/>
    </xf>
    <xf numFmtId="168" fontId="13" fillId="9" borderId="59" xfId="0" applyNumberFormat="1" applyFont="1" applyFill="1" applyBorder="1" applyAlignment="1">
      <alignment horizontal="right" vertical="center"/>
    </xf>
    <xf numFmtId="168" fontId="13" fillId="6" borderId="60" xfId="0" applyNumberFormat="1" applyFont="1" applyFill="1" applyBorder="1" applyAlignment="1">
      <alignment horizontal="right" vertical="center" shrinkToFit="1"/>
    </xf>
    <xf numFmtId="0" fontId="15" fillId="6" borderId="61" xfId="0" applyFont="1" applyFill="1" applyBorder="1" applyAlignment="1">
      <alignment horizontal="centerContinuous" vertical="center"/>
    </xf>
    <xf numFmtId="166" fontId="16" fillId="6" borderId="0" xfId="0" applyNumberFormat="1" applyFont="1" applyFill="1" applyBorder="1" applyAlignment="1">
      <alignment horizontal="right" vertical="center"/>
    </xf>
    <xf numFmtId="167" fontId="15" fillId="6" borderId="19" xfId="0" applyNumberFormat="1" applyFont="1" applyFill="1" applyBorder="1" applyAlignment="1">
      <alignment horizontal="right" vertical="center" shrinkToFit="1"/>
    </xf>
    <xf numFmtId="0" fontId="15" fillId="6" borderId="6" xfId="0" applyFont="1" applyFill="1" applyBorder="1" applyAlignment="1">
      <alignment horizontal="centerContinuous" vertical="center"/>
    </xf>
    <xf numFmtId="0" fontId="7" fillId="6" borderId="0" xfId="0" applyFont="1" applyFill="1" applyBorder="1" applyAlignment="1">
      <alignment vertical="center"/>
    </xf>
    <xf numFmtId="0" fontId="15" fillId="6" borderId="9" xfId="0" applyFont="1" applyFill="1" applyBorder="1" applyAlignment="1">
      <alignment horizontal="center" vertical="center"/>
    </xf>
    <xf numFmtId="0" fontId="15" fillId="6" borderId="62" xfId="0" applyFont="1" applyFill="1" applyBorder="1" applyAlignment="1">
      <alignment horizontal="centerContinuous" vertical="center"/>
    </xf>
    <xf numFmtId="167" fontId="3" fillId="6" borderId="19" xfId="0" applyNumberFormat="1" applyFont="1" applyFill="1" applyBorder="1" applyAlignment="1">
      <alignment horizontal="right" vertical="center" shrinkToFit="1"/>
    </xf>
    <xf numFmtId="0" fontId="20" fillId="17" borderId="9" xfId="0" applyFont="1" applyFill="1" applyBorder="1" applyAlignment="1">
      <alignment horizontal="center" vertical="center"/>
    </xf>
    <xf numFmtId="166" fontId="15" fillId="6" borderId="57" xfId="0" applyNumberFormat="1" applyFont="1" applyFill="1" applyBorder="1">
      <alignment vertical="center"/>
    </xf>
    <xf numFmtId="0" fontId="15" fillId="0" borderId="63" xfId="0" applyFont="1" applyBorder="1">
      <alignment vertical="center"/>
    </xf>
    <xf numFmtId="0" fontId="15" fillId="6" borderId="8" xfId="0" applyFont="1" applyFill="1" applyBorder="1" applyAlignment="1">
      <alignment horizontal="centerContinuous" vertical="center"/>
    </xf>
    <xf numFmtId="167" fontId="16" fillId="6" borderId="0" xfId="0" applyNumberFormat="1" applyFont="1" applyFill="1" applyBorder="1" applyAlignment="1">
      <alignment horizontal="right" vertical="center" shrinkToFit="1"/>
    </xf>
    <xf numFmtId="0" fontId="2" fillId="4" borderId="58" xfId="0" applyFont="1" applyFill="1" applyBorder="1" applyAlignment="1">
      <alignment horizontal="center" vertical="center"/>
    </xf>
    <xf numFmtId="168" fontId="13" fillId="6" borderId="38" xfId="0" applyNumberFormat="1" applyFont="1" applyFill="1" applyBorder="1" applyAlignment="1">
      <alignment horizontal="right" vertical="center" shrinkToFit="1"/>
    </xf>
    <xf numFmtId="0" fontId="10" fillId="9" borderId="64" xfId="0" applyFont="1" applyFill="1" applyBorder="1" applyAlignment="1">
      <alignment vertical="center"/>
    </xf>
    <xf numFmtId="0" fontId="15" fillId="6" borderId="19" xfId="0" applyFont="1" applyFill="1" applyBorder="1" applyAlignment="1">
      <alignment vertical="center"/>
    </xf>
    <xf numFmtId="0" fontId="14" fillId="18" borderId="6" xfId="0" applyFont="1" applyFill="1" applyBorder="1">
      <alignment vertical="center"/>
    </xf>
    <xf numFmtId="167" fontId="13" fillId="6" borderId="40" xfId="0" applyNumberFormat="1" applyFont="1" applyFill="1" applyBorder="1" applyAlignment="1">
      <alignment horizontal="right" vertical="center" shrinkToFit="1"/>
    </xf>
    <xf numFmtId="0" fontId="15" fillId="0" borderId="0" xfId="0" applyFont="1" applyFill="1">
      <alignment vertical="center"/>
    </xf>
    <xf numFmtId="0" fontId="15" fillId="0" borderId="9" xfId="1" applyFont="1" applyBorder="1">
      <alignment vertical="center"/>
    </xf>
    <xf numFmtId="167" fontId="13" fillId="5" borderId="34" xfId="0" applyNumberFormat="1" applyFont="1" applyFill="1" applyBorder="1" applyAlignment="1">
      <alignment horizontal="right" vertical="center" shrinkToFit="1"/>
    </xf>
    <xf numFmtId="0" fontId="22" fillId="6" borderId="0" xfId="0" applyFont="1" applyFill="1" applyAlignment="1">
      <alignment horizontal="right" vertical="center"/>
    </xf>
    <xf numFmtId="167" fontId="13" fillId="6" borderId="41" xfId="0" applyNumberFormat="1" applyFont="1" applyFill="1" applyBorder="1" applyAlignment="1">
      <alignment horizontal="right" vertical="center" shrinkToFit="1"/>
    </xf>
    <xf numFmtId="167" fontId="10" fillId="6" borderId="19" xfId="0" applyNumberFormat="1" applyFont="1" applyFill="1" applyBorder="1" applyAlignment="1">
      <alignment horizontal="right" vertical="center"/>
    </xf>
    <xf numFmtId="0" fontId="15" fillId="0" borderId="9" xfId="0" applyFont="1" applyBorder="1">
      <alignment vertical="center"/>
    </xf>
    <xf numFmtId="168" fontId="13" fillId="9" borderId="49" xfId="0" applyNumberFormat="1" applyFont="1" applyFill="1" applyBorder="1" applyAlignment="1">
      <alignment horizontal="right" vertical="center"/>
    </xf>
    <xf numFmtId="167" fontId="13" fillId="5" borderId="37" xfId="0" applyNumberFormat="1" applyFont="1" applyFill="1" applyBorder="1" applyAlignment="1">
      <alignment horizontal="right" vertical="center" shrinkToFit="1"/>
    </xf>
    <xf numFmtId="164" fontId="2" fillId="5" borderId="65" xfId="0" applyNumberFormat="1" applyFont="1" applyFill="1" applyBorder="1">
      <alignment vertical="center"/>
    </xf>
    <xf numFmtId="169" fontId="13" fillId="9" borderId="59" xfId="0" applyNumberFormat="1" applyFont="1" applyFill="1" applyBorder="1" applyAlignment="1">
      <alignment horizontal="right" vertical="center"/>
    </xf>
    <xf numFmtId="0" fontId="15" fillId="5" borderId="60" xfId="0" applyFont="1" applyFill="1" applyBorder="1">
      <alignment vertical="center"/>
    </xf>
    <xf numFmtId="0" fontId="10" fillId="6" borderId="0" xfId="0" applyFont="1" applyFill="1" applyBorder="1" applyAlignment="1">
      <alignment horizontal="right"/>
    </xf>
    <xf numFmtId="167" fontId="18" fillId="6" borderId="54" xfId="0" applyNumberFormat="1" applyFont="1" applyFill="1" applyBorder="1" applyAlignment="1">
      <alignment horizontal="right" vertical="center"/>
    </xf>
    <xf numFmtId="168" fontId="13" fillId="5" borderId="37" xfId="0" applyNumberFormat="1" applyFont="1" applyFill="1" applyBorder="1" applyAlignment="1">
      <alignment horizontal="right" vertical="center"/>
    </xf>
    <xf numFmtId="0" fontId="15" fillId="6" borderId="50" xfId="0" applyFont="1" applyFill="1" applyBorder="1">
      <alignment vertical="center"/>
    </xf>
    <xf numFmtId="0" fontId="10" fillId="6" borderId="0" xfId="0" applyFont="1" applyFill="1" applyBorder="1" applyAlignment="1">
      <alignment horizontal="right" vertical="center"/>
    </xf>
    <xf numFmtId="0" fontId="7" fillId="6" borderId="54" xfId="0" applyFont="1" applyFill="1" applyBorder="1" applyAlignment="1">
      <alignment vertical="center"/>
    </xf>
    <xf numFmtId="0" fontId="15" fillId="0" borderId="66" xfId="0" applyFont="1" applyBorder="1">
      <alignment vertical="center"/>
    </xf>
    <xf numFmtId="167" fontId="10" fillId="6" borderId="32" xfId="0" applyNumberFormat="1" applyFont="1" applyFill="1" applyBorder="1" applyAlignment="1">
      <alignment horizontal="right" vertical="center"/>
    </xf>
    <xf numFmtId="167" fontId="7" fillId="6" borderId="57" xfId="0" applyNumberFormat="1" applyFont="1" applyFill="1" applyBorder="1">
      <alignment vertical="center"/>
    </xf>
    <xf numFmtId="0" fontId="4" fillId="6" borderId="0" xfId="0" applyFont="1" applyFill="1" applyBorder="1" applyAlignment="1">
      <alignment horizontal="centerContinuous" vertical="center"/>
    </xf>
    <xf numFmtId="168" fontId="13" fillId="5" borderId="67" xfId="0" applyNumberFormat="1" applyFont="1" applyFill="1" applyBorder="1" applyAlignment="1">
      <alignment horizontal="right" vertical="center"/>
    </xf>
    <xf numFmtId="0" fontId="19" fillId="6" borderId="68" xfId="0" applyFont="1" applyFill="1" applyBorder="1" applyAlignment="1">
      <alignment vertical="center"/>
    </xf>
    <xf numFmtId="0" fontId="15" fillId="5" borderId="40" xfId="0" applyFont="1" applyFill="1" applyBorder="1">
      <alignment vertical="center"/>
    </xf>
    <xf numFmtId="0" fontId="19" fillId="6" borderId="56" xfId="0" applyFont="1" applyFill="1" applyBorder="1" applyAlignment="1">
      <alignment vertical="center"/>
    </xf>
    <xf numFmtId="169" fontId="13" fillId="6" borderId="69" xfId="0" applyNumberFormat="1" applyFont="1" applyFill="1" applyBorder="1" applyAlignment="1">
      <alignment horizontal="right" vertical="center" shrinkToFit="1"/>
    </xf>
    <xf numFmtId="0" fontId="4" fillId="6" borderId="0" xfId="0" applyFont="1" applyFill="1" applyBorder="1" applyAlignment="1">
      <alignment vertical="center"/>
    </xf>
    <xf numFmtId="0" fontId="15" fillId="5" borderId="69" xfId="0" applyFont="1" applyFill="1" applyBorder="1">
      <alignment vertical="center"/>
    </xf>
    <xf numFmtId="167" fontId="13" fillId="9" borderId="54" xfId="0" applyNumberFormat="1" applyFont="1" applyFill="1" applyBorder="1" applyAlignment="1">
      <alignment horizontal="right" vertical="center"/>
    </xf>
    <xf numFmtId="0" fontId="10" fillId="9" borderId="70" xfId="0" applyFont="1" applyFill="1" applyBorder="1" applyAlignment="1">
      <alignment vertical="center"/>
    </xf>
    <xf numFmtId="0" fontId="15" fillId="0" borderId="0" xfId="1" applyFont="1" applyBorder="1">
      <alignment vertical="center"/>
    </xf>
    <xf numFmtId="166" fontId="13" fillId="6" borderId="71" xfId="0" applyNumberFormat="1" applyFont="1" applyFill="1" applyBorder="1" applyAlignment="1">
      <alignment horizontal="right" vertical="center" shrinkToFit="1"/>
    </xf>
    <xf numFmtId="0" fontId="15" fillId="0" borderId="72" xfId="0" applyFont="1" applyBorder="1">
      <alignment vertical="center"/>
    </xf>
    <xf numFmtId="0" fontId="15" fillId="5" borderId="9" xfId="0" applyFont="1" applyFill="1" applyBorder="1">
      <alignment vertical="center"/>
    </xf>
    <xf numFmtId="0" fontId="22" fillId="4" borderId="73" xfId="0" applyFont="1" applyFill="1" applyBorder="1" applyAlignment="1">
      <alignment horizontal="centerContinuous" vertical="center" shrinkToFit="1"/>
    </xf>
    <xf numFmtId="0" fontId="2" fillId="6" borderId="19" xfId="0" applyFont="1" applyFill="1" applyBorder="1" applyAlignment="1">
      <alignment vertical="center"/>
    </xf>
    <xf numFmtId="0" fontId="15" fillId="5" borderId="41" xfId="0" applyFont="1" applyFill="1" applyBorder="1">
      <alignment vertical="center"/>
    </xf>
    <xf numFmtId="0" fontId="15" fillId="0" borderId="63" xfId="0" applyFont="1" applyFill="1" applyBorder="1">
      <alignment vertical="center"/>
    </xf>
    <xf numFmtId="0" fontId="14" fillId="10" borderId="28" xfId="0" applyFont="1" applyFill="1" applyBorder="1" applyAlignment="1">
      <alignment horizontal="center" vertical="center"/>
    </xf>
    <xf numFmtId="164" fontId="2" fillId="2" borderId="52" xfId="0" applyNumberFormat="1" applyFont="1" applyFill="1" applyBorder="1">
      <alignment vertical="center"/>
    </xf>
    <xf numFmtId="169" fontId="13" fillId="6" borderId="74" xfId="0" applyNumberFormat="1" applyFont="1" applyFill="1" applyBorder="1" applyAlignment="1">
      <alignment horizontal="right" vertical="center" shrinkToFit="1"/>
    </xf>
    <xf numFmtId="0" fontId="14" fillId="10" borderId="62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right" vertical="center"/>
    </xf>
    <xf numFmtId="0" fontId="15" fillId="5" borderId="74" xfId="0" applyFont="1" applyFill="1" applyBorder="1">
      <alignment vertical="center"/>
    </xf>
    <xf numFmtId="0" fontId="2" fillId="0" borderId="0" xfId="0" applyFont="1">
      <alignment vertical="center"/>
    </xf>
    <xf numFmtId="167" fontId="18" fillId="6" borderId="41" xfId="0" applyNumberFormat="1" applyFont="1" applyFill="1" applyBorder="1" applyAlignment="1">
      <alignment horizontal="right" vertical="center" shrinkToFit="1"/>
    </xf>
    <xf numFmtId="0" fontId="12" fillId="9" borderId="56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5" fillId="0" borderId="75" xfId="0" applyFont="1" applyBorder="1">
      <alignment vertical="center"/>
    </xf>
    <xf numFmtId="0" fontId="7" fillId="6" borderId="32" xfId="0" applyFont="1" applyFill="1" applyBorder="1" applyAlignment="1">
      <alignment vertical="center"/>
    </xf>
    <xf numFmtId="168" fontId="13" fillId="6" borderId="70" xfId="0" applyNumberFormat="1" applyFont="1" applyFill="1" applyBorder="1" applyAlignment="1">
      <alignment horizontal="right" vertical="center" shrinkToFit="1"/>
    </xf>
    <xf numFmtId="167" fontId="13" fillId="6" borderId="48" xfId="0" applyNumberFormat="1" applyFont="1" applyFill="1" applyBorder="1" applyAlignment="1">
      <alignment horizontal="right" vertical="center" shrinkToFit="1"/>
    </xf>
    <xf numFmtId="168" fontId="10" fillId="6" borderId="50" xfId="0" applyNumberFormat="1" applyFont="1" applyFill="1" applyBorder="1" applyAlignment="1">
      <alignment horizontal="right" vertical="center"/>
    </xf>
    <xf numFmtId="0" fontId="15" fillId="0" borderId="76" xfId="0" applyFont="1" applyBorder="1">
      <alignment vertical="center"/>
    </xf>
    <xf numFmtId="0" fontId="10" fillId="6" borderId="77" xfId="0" applyFont="1" applyFill="1" applyBorder="1" applyAlignment="1">
      <alignment horizontal="center" vertical="center"/>
    </xf>
    <xf numFmtId="0" fontId="19" fillId="6" borderId="54" xfId="0" applyFont="1" applyFill="1" applyBorder="1" applyAlignment="1">
      <alignment vertical="center"/>
    </xf>
    <xf numFmtId="166" fontId="13" fillId="6" borderId="40" xfId="0" applyNumberFormat="1" applyFont="1" applyFill="1" applyBorder="1" applyAlignment="1">
      <alignment horizontal="right" vertical="center" shrinkToFit="1"/>
    </xf>
    <xf numFmtId="0" fontId="14" fillId="19" borderId="6" xfId="0" applyFont="1" applyFill="1" applyBorder="1">
      <alignment vertical="center"/>
    </xf>
    <xf numFmtId="0" fontId="15" fillId="2" borderId="0" xfId="0" applyFont="1" applyFill="1" applyBorder="1" applyAlignment="1">
      <alignment vertical="center"/>
    </xf>
    <xf numFmtId="0" fontId="2" fillId="2" borderId="32" xfId="0" applyFont="1" applyFill="1" applyBorder="1">
      <alignment vertical="center"/>
    </xf>
    <xf numFmtId="0" fontId="15" fillId="5" borderId="27" xfId="0" applyFont="1" applyFill="1" applyBorder="1">
      <alignment vertical="center"/>
    </xf>
    <xf numFmtId="167" fontId="13" fillId="9" borderId="59" xfId="0" applyNumberFormat="1" applyFont="1" applyFill="1" applyBorder="1" applyAlignment="1">
      <alignment horizontal="right" vertical="center"/>
    </xf>
    <xf numFmtId="167" fontId="13" fillId="9" borderId="49" xfId="0" applyNumberFormat="1" applyFont="1" applyFill="1" applyBorder="1" applyAlignment="1">
      <alignment horizontal="right" vertical="center"/>
    </xf>
    <xf numFmtId="0" fontId="12" fillId="9" borderId="49" xfId="0" applyFont="1" applyFill="1" applyBorder="1" applyAlignment="1">
      <alignment vertical="center"/>
    </xf>
    <xf numFmtId="0" fontId="15" fillId="5" borderId="15" xfId="0" applyFont="1" applyFill="1" applyBorder="1">
      <alignment vertical="center"/>
    </xf>
    <xf numFmtId="167" fontId="13" fillId="6" borderId="71" xfId="0" applyNumberFormat="1" applyFont="1" applyFill="1" applyBorder="1" applyAlignment="1">
      <alignment horizontal="right" vertical="center" shrinkToFit="1"/>
    </xf>
    <xf numFmtId="0" fontId="24" fillId="8" borderId="33" xfId="0" applyFont="1" applyFill="1" applyBorder="1" applyAlignment="1">
      <alignment horizontal="centerContinuous" vertical="center" shrinkToFit="1"/>
    </xf>
    <xf numFmtId="0" fontId="22" fillId="8" borderId="73" xfId="0" applyFont="1" applyFill="1" applyBorder="1" applyAlignment="1">
      <alignment horizontal="centerContinuous" vertical="center" shrinkToFit="1"/>
    </xf>
    <xf numFmtId="164" fontId="2" fillId="2" borderId="57" xfId="0" applyNumberFormat="1" applyFont="1" applyFill="1" applyBorder="1">
      <alignment vertical="center"/>
    </xf>
    <xf numFmtId="166" fontId="13" fillId="9" borderId="49" xfId="0" applyNumberFormat="1" applyFont="1" applyFill="1" applyBorder="1" applyAlignment="1">
      <alignment horizontal="right" vertical="center"/>
    </xf>
    <xf numFmtId="0" fontId="2" fillId="6" borderId="0" xfId="0" applyFont="1" applyFill="1" applyAlignment="1">
      <alignment vertical="center"/>
    </xf>
    <xf numFmtId="167" fontId="13" fillId="5" borderId="33" xfId="0" applyNumberFormat="1" applyFont="1" applyFill="1" applyBorder="1" applyAlignment="1">
      <alignment horizontal="right" vertical="center" shrinkToFit="1"/>
    </xf>
    <xf numFmtId="0" fontId="14" fillId="10" borderId="61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167" fontId="13" fillId="6" borderId="70" xfId="0" applyNumberFormat="1" applyFont="1" applyFill="1" applyBorder="1" applyAlignment="1">
      <alignment horizontal="right" vertical="center" shrinkToFit="1"/>
    </xf>
    <xf numFmtId="167" fontId="7" fillId="6" borderId="52" xfId="0" applyNumberFormat="1" applyFont="1" applyFill="1" applyBorder="1">
      <alignment vertical="center"/>
    </xf>
    <xf numFmtId="0" fontId="15" fillId="6" borderId="42" xfId="0" applyFont="1" applyFill="1" applyBorder="1">
      <alignment vertical="center"/>
    </xf>
    <xf numFmtId="0" fontId="14" fillId="18" borderId="9" xfId="0" applyFont="1" applyFill="1" applyBorder="1">
      <alignment vertical="center"/>
    </xf>
    <xf numFmtId="0" fontId="15" fillId="0" borderId="47" xfId="0" applyFont="1" applyBorder="1">
      <alignment vertical="center"/>
    </xf>
    <xf numFmtId="0" fontId="15" fillId="5" borderId="48" xfId="0" applyFont="1" applyFill="1" applyBorder="1">
      <alignment vertical="center"/>
    </xf>
    <xf numFmtId="168" fontId="13" fillId="5" borderId="34" xfId="0" applyNumberFormat="1" applyFont="1" applyFill="1" applyBorder="1" applyAlignment="1">
      <alignment horizontal="right" vertical="center"/>
    </xf>
    <xf numFmtId="0" fontId="10" fillId="6" borderId="50" xfId="0" applyFont="1" applyFill="1" applyBorder="1" applyAlignment="1">
      <alignment horizontal="center" vertical="center"/>
    </xf>
    <xf numFmtId="167" fontId="21" fillId="6" borderId="78" xfId="0" applyNumberFormat="1" applyFont="1" applyFill="1" applyBorder="1" applyAlignment="1">
      <alignment horizontal="right" vertical="center" shrinkToFit="1"/>
    </xf>
    <xf numFmtId="49" fontId="15" fillId="5" borderId="48" xfId="0" applyNumberFormat="1" applyFont="1" applyFill="1" applyBorder="1">
      <alignment vertical="center"/>
    </xf>
    <xf numFmtId="167" fontId="13" fillId="6" borderId="74" xfId="0" applyNumberFormat="1" applyFont="1" applyFill="1" applyBorder="1" applyAlignment="1">
      <alignment horizontal="right" vertical="center" shrinkToFit="1"/>
    </xf>
    <xf numFmtId="0" fontId="15" fillId="6" borderId="0" xfId="0" applyFont="1" applyFill="1" applyBorder="1" applyAlignment="1">
      <alignment horizontal="center" vertical="center"/>
    </xf>
    <xf numFmtId="49" fontId="15" fillId="5" borderId="74" xfId="0" applyNumberFormat="1" applyFont="1" applyFill="1" applyBorder="1">
      <alignment vertical="center"/>
    </xf>
    <xf numFmtId="0" fontId="14" fillId="19" borderId="62" xfId="0" applyFont="1" applyFill="1" applyBorder="1">
      <alignment vertical="center"/>
    </xf>
    <xf numFmtId="0" fontId="2" fillId="6" borderId="28" xfId="0" applyFont="1" applyFill="1" applyBorder="1" applyAlignment="1">
      <alignment vertical="center"/>
    </xf>
    <xf numFmtId="0" fontId="2" fillId="5" borderId="24" xfId="0" applyFont="1" applyFill="1" applyBorder="1">
      <alignment vertical="center"/>
    </xf>
    <xf numFmtId="167" fontId="21" fillId="6" borderId="61" xfId="0" applyNumberFormat="1" applyFont="1" applyFill="1" applyBorder="1" applyAlignment="1">
      <alignment horizontal="right" vertical="center" shrinkToFit="1"/>
    </xf>
    <xf numFmtId="167" fontId="13" fillId="6" borderId="69" xfId="0" applyNumberFormat="1" applyFont="1" applyFill="1" applyBorder="1" applyAlignment="1">
      <alignment horizontal="right" vertical="center" shrinkToFit="1"/>
    </xf>
    <xf numFmtId="0" fontId="15" fillId="0" borderId="69" xfId="0" applyFont="1" applyBorder="1">
      <alignment vertical="center"/>
    </xf>
    <xf numFmtId="0" fontId="2" fillId="6" borderId="9" xfId="0" applyFont="1" applyFill="1" applyBorder="1" applyAlignment="1">
      <alignment horizontal="center" vertical="center"/>
    </xf>
    <xf numFmtId="0" fontId="25" fillId="6" borderId="0" xfId="0" applyFont="1" applyFill="1" applyAlignment="1">
      <alignment vertical="center"/>
    </xf>
    <xf numFmtId="0" fontId="15" fillId="5" borderId="77" xfId="0" applyFont="1" applyFill="1" applyBorder="1">
      <alignment vertical="center"/>
    </xf>
    <xf numFmtId="0" fontId="2" fillId="5" borderId="25" xfId="0" applyFont="1" applyFill="1" applyBorder="1">
      <alignment vertical="center"/>
    </xf>
    <xf numFmtId="0" fontId="10" fillId="6" borderId="19" xfId="0" applyFont="1" applyFill="1" applyBorder="1" applyAlignment="1">
      <alignment vertical="center"/>
    </xf>
    <xf numFmtId="168" fontId="13" fillId="6" borderId="79" xfId="0" applyNumberFormat="1" applyFont="1" applyFill="1" applyBorder="1" applyAlignment="1">
      <alignment horizontal="right" vertical="center" shrinkToFit="1"/>
    </xf>
    <xf numFmtId="0" fontId="15" fillId="5" borderId="37" xfId="0" applyNumberFormat="1" applyFont="1" applyFill="1" applyBorder="1" applyAlignment="1">
      <alignment vertical="center"/>
    </xf>
    <xf numFmtId="14" fontId="15" fillId="0" borderId="32" xfId="0" applyNumberFormat="1" applyFont="1" applyBorder="1">
      <alignment vertical="center"/>
    </xf>
    <xf numFmtId="14" fontId="15" fillId="0" borderId="29" xfId="0" applyNumberFormat="1" applyFont="1" applyBorder="1">
      <alignment vertical="center"/>
    </xf>
    <xf numFmtId="167" fontId="18" fillId="6" borderId="48" xfId="0" applyNumberFormat="1" applyFont="1" applyFill="1" applyBorder="1" applyAlignment="1">
      <alignment horizontal="right" vertical="center" shrinkToFit="1"/>
    </xf>
    <xf numFmtId="49" fontId="15" fillId="5" borderId="41" xfId="0" applyNumberFormat="1" applyFont="1" applyFill="1" applyBorder="1">
      <alignment vertical="center"/>
    </xf>
    <xf numFmtId="0" fontId="14" fillId="6" borderId="0" xfId="0" applyFont="1" applyFill="1" applyAlignment="1">
      <alignment horizontal="right" vertical="center"/>
    </xf>
    <xf numFmtId="168" fontId="13" fillId="6" borderId="44" xfId="0" applyNumberFormat="1" applyFont="1" applyFill="1" applyBorder="1" applyAlignment="1">
      <alignment horizontal="right" vertical="center" shrinkToFit="1"/>
    </xf>
    <xf numFmtId="0" fontId="2" fillId="5" borderId="80" xfId="0" applyFont="1" applyFill="1" applyBorder="1">
      <alignment vertical="center"/>
    </xf>
    <xf numFmtId="168" fontId="13" fillId="9" borderId="68" xfId="0" applyNumberFormat="1" applyFont="1" applyFill="1" applyBorder="1" applyAlignment="1">
      <alignment horizontal="right" vertical="center"/>
    </xf>
    <xf numFmtId="0" fontId="26" fillId="6" borderId="0" xfId="0" applyFont="1" applyFill="1" applyAlignment="1">
      <alignment horizontal="right" vertical="center"/>
    </xf>
    <xf numFmtId="0" fontId="24" fillId="4" borderId="19" xfId="0" applyFont="1" applyFill="1" applyBorder="1" applyAlignment="1">
      <alignment horizontal="centerContinuous" vertical="center" shrinkToFit="1"/>
    </xf>
    <xf numFmtId="0" fontId="2" fillId="6" borderId="30" xfId="0" applyFont="1" applyFill="1" applyBorder="1" applyAlignment="1">
      <alignment vertical="center"/>
    </xf>
    <xf numFmtId="0" fontId="15" fillId="0" borderId="74" xfId="0" applyFont="1" applyBorder="1">
      <alignment vertical="center"/>
    </xf>
    <xf numFmtId="0" fontId="24" fillId="4" borderId="33" xfId="0" applyFont="1" applyFill="1" applyBorder="1" applyAlignment="1">
      <alignment horizontal="centerContinuous" vertical="center" shrinkToFit="1"/>
    </xf>
    <xf numFmtId="167" fontId="13" fillId="6" borderId="60" xfId="0" applyNumberFormat="1" applyFont="1" applyFill="1" applyBorder="1" applyAlignment="1">
      <alignment horizontal="right" vertical="center" shrinkToFit="1"/>
    </xf>
    <xf numFmtId="168" fontId="13" fillId="6" borderId="74" xfId="0" applyNumberFormat="1" applyFont="1" applyFill="1" applyBorder="1" applyAlignment="1">
      <alignment horizontal="right" vertical="center" shrinkToFit="1"/>
    </xf>
    <xf numFmtId="166" fontId="21" fillId="8" borderId="32" xfId="0" applyNumberFormat="1" applyFont="1" applyFill="1" applyBorder="1" applyAlignment="1">
      <alignment horizontal="right" vertical="center"/>
    </xf>
    <xf numFmtId="167" fontId="13" fillId="4" borderId="54" xfId="0" applyNumberFormat="1" applyFont="1" applyFill="1" applyBorder="1" applyAlignment="1">
      <alignment horizontal="right" vertical="center"/>
    </xf>
    <xf numFmtId="0" fontId="15" fillId="2" borderId="72" xfId="0" applyFont="1" applyFill="1" applyBorder="1">
      <alignment vertical="center"/>
    </xf>
    <xf numFmtId="0" fontId="2" fillId="6" borderId="0" xfId="0" applyFont="1" applyFill="1" applyAlignment="1">
      <alignment horizontal="right" vertical="center"/>
    </xf>
    <xf numFmtId="0" fontId="10" fillId="4" borderId="70" xfId="0" applyFont="1" applyFill="1" applyBorder="1" applyAlignment="1">
      <alignment vertical="center"/>
    </xf>
    <xf numFmtId="165" fontId="15" fillId="0" borderId="9" xfId="0" applyNumberFormat="1" applyFont="1" applyBorder="1" applyAlignment="1">
      <alignment vertical="center"/>
    </xf>
    <xf numFmtId="168" fontId="13" fillId="6" borderId="81" xfId="0" applyNumberFormat="1" applyFont="1" applyFill="1" applyBorder="1" applyAlignment="1">
      <alignment horizontal="right" vertical="center" shrinkToFit="1"/>
    </xf>
    <xf numFmtId="0" fontId="14" fillId="18" borderId="9" xfId="1" applyFont="1" applyFill="1" applyBorder="1">
      <alignment vertical="center"/>
    </xf>
    <xf numFmtId="168" fontId="13" fillId="6" borderId="36" xfId="0" applyNumberFormat="1" applyFont="1" applyFill="1" applyBorder="1" applyAlignment="1">
      <alignment horizontal="right" vertical="center" shrinkToFit="1"/>
    </xf>
    <xf numFmtId="0" fontId="10" fillId="6" borderId="0" xfId="0" applyFont="1" applyFill="1" applyBorder="1" applyAlignment="1">
      <alignment horizontal="center" vertical="center"/>
    </xf>
    <xf numFmtId="167" fontId="13" fillId="5" borderId="67" xfId="0" applyNumberFormat="1" applyFont="1" applyFill="1" applyBorder="1" applyAlignment="1">
      <alignment horizontal="right" vertical="center" shrinkToFit="1"/>
    </xf>
    <xf numFmtId="168" fontId="13" fillId="6" borderId="82" xfId="0" applyNumberFormat="1" applyFont="1" applyFill="1" applyBorder="1" applyAlignment="1">
      <alignment horizontal="right" vertical="center" shrinkToFit="1"/>
    </xf>
    <xf numFmtId="0" fontId="10" fillId="4" borderId="34" xfId="0" applyFont="1" applyFill="1" applyBorder="1" applyAlignment="1">
      <alignment horizontal="center" vertical="center"/>
    </xf>
    <xf numFmtId="0" fontId="15" fillId="2" borderId="47" xfId="0" applyFont="1" applyFill="1" applyBorder="1">
      <alignment vertical="center"/>
    </xf>
    <xf numFmtId="167" fontId="13" fillId="6" borderId="6" xfId="0" applyNumberFormat="1" applyFont="1" applyFill="1" applyBorder="1" applyAlignment="1">
      <alignment horizontal="right" vertical="center" shrinkToFit="1"/>
    </xf>
    <xf numFmtId="167" fontId="10" fillId="6" borderId="14" xfId="0" applyNumberFormat="1" applyFont="1" applyFill="1" applyBorder="1" applyAlignment="1">
      <alignment horizontal="right" vertical="center"/>
    </xf>
    <xf numFmtId="167" fontId="13" fillId="6" borderId="46" xfId="0" applyNumberFormat="1" applyFont="1" applyFill="1" applyBorder="1" applyAlignment="1">
      <alignment horizontal="right" vertical="center" shrinkToFit="1"/>
    </xf>
    <xf numFmtId="0" fontId="10" fillId="4" borderId="37" xfId="0" applyFont="1" applyFill="1" applyBorder="1" applyAlignment="1">
      <alignment horizontal="center" vertical="center"/>
    </xf>
    <xf numFmtId="0" fontId="15" fillId="0" borderId="29" xfId="0" applyFont="1" applyBorder="1">
      <alignment vertical="center"/>
    </xf>
    <xf numFmtId="0" fontId="19" fillId="6" borderId="63" xfId="0" applyFont="1" applyFill="1" applyBorder="1">
      <alignment vertical="center"/>
    </xf>
    <xf numFmtId="167" fontId="21" fillId="6" borderId="8" xfId="0" applyNumberFormat="1" applyFont="1" applyFill="1" applyBorder="1" applyAlignment="1">
      <alignment horizontal="right" vertical="center" shrinkToFit="1"/>
    </xf>
    <xf numFmtId="167" fontId="13" fillId="6" borderId="79" xfId="0" applyNumberFormat="1" applyFont="1" applyFill="1" applyBorder="1" applyAlignment="1">
      <alignment horizontal="right" vertical="center" shrinkToFit="1"/>
    </xf>
    <xf numFmtId="0" fontId="10" fillId="4" borderId="49" xfId="0" applyFont="1" applyFill="1" applyBorder="1" applyAlignment="1">
      <alignment vertical="center"/>
    </xf>
    <xf numFmtId="0" fontId="14" fillId="10" borderId="6" xfId="0" applyFont="1" applyFill="1" applyBorder="1" applyAlignment="1">
      <alignment horizontal="center" vertical="center"/>
    </xf>
    <xf numFmtId="0" fontId="10" fillId="9" borderId="68" xfId="0" applyFont="1" applyFill="1" applyBorder="1" applyAlignment="1">
      <alignment vertical="center"/>
    </xf>
    <xf numFmtId="0" fontId="14" fillId="20" borderId="62" xfId="0" applyFont="1" applyFill="1" applyBorder="1" applyAlignment="1">
      <alignment horizontal="center" vertical="center"/>
    </xf>
    <xf numFmtId="167" fontId="21" fillId="6" borderId="83" xfId="0" applyNumberFormat="1" applyFont="1" applyFill="1" applyBorder="1" applyAlignment="1">
      <alignment horizontal="right" vertical="center" shrinkToFit="1"/>
    </xf>
    <xf numFmtId="0" fontId="14" fillId="18" borderId="0" xfId="0" applyFont="1" applyFill="1" applyBorder="1">
      <alignment vertical="center"/>
    </xf>
    <xf numFmtId="49" fontId="15" fillId="5" borderId="69" xfId="0" applyNumberFormat="1" applyFont="1" applyFill="1" applyBorder="1">
      <alignment vertical="center"/>
    </xf>
    <xf numFmtId="167" fontId="13" fillId="6" borderId="38" xfId="0" applyNumberFormat="1" applyFont="1" applyFill="1" applyBorder="1" applyAlignment="1">
      <alignment horizontal="right" vertical="center" shrinkToFit="1"/>
    </xf>
    <xf numFmtId="167" fontId="18" fillId="6" borderId="70" xfId="0" applyNumberFormat="1" applyFont="1" applyFill="1" applyBorder="1" applyAlignment="1">
      <alignment horizontal="right" vertical="center" shrinkToFit="1"/>
    </xf>
    <xf numFmtId="0" fontId="14" fillId="19" borderId="41" xfId="0" applyFont="1" applyFill="1" applyBorder="1">
      <alignment vertical="center"/>
    </xf>
    <xf numFmtId="0" fontId="12" fillId="6" borderId="0" xfId="0" applyFont="1" applyFill="1" applyAlignment="1">
      <alignment vertical="center"/>
    </xf>
    <xf numFmtId="165" fontId="15" fillId="21" borderId="37" xfId="0" applyNumberFormat="1" applyFont="1" applyFill="1" applyBorder="1" applyAlignment="1">
      <alignment vertical="center"/>
    </xf>
    <xf numFmtId="0" fontId="10" fillId="4" borderId="64" xfId="0" applyFont="1" applyFill="1" applyBorder="1" applyAlignment="1">
      <alignment vertical="center"/>
    </xf>
    <xf numFmtId="0" fontId="15" fillId="0" borderId="60" xfId="0" applyFont="1" applyBorder="1">
      <alignment vertical="center"/>
    </xf>
    <xf numFmtId="49" fontId="15" fillId="5" borderId="40" xfId="0" applyNumberFormat="1" applyFont="1" applyFill="1" applyBorder="1">
      <alignment vertical="center"/>
    </xf>
    <xf numFmtId="0" fontId="10" fillId="4" borderId="67" xfId="0" applyFont="1" applyFill="1" applyBorder="1" applyAlignment="1">
      <alignment horizontal="center" vertical="center"/>
    </xf>
    <xf numFmtId="167" fontId="13" fillId="6" borderId="84" xfId="0" applyNumberFormat="1" applyFont="1" applyFill="1" applyBorder="1" applyAlignment="1">
      <alignment horizontal="right" vertical="center" shrinkToFit="1"/>
    </xf>
    <xf numFmtId="168" fontId="13" fillId="6" borderId="69" xfId="0" applyNumberFormat="1" applyFont="1" applyFill="1" applyBorder="1" applyAlignment="1">
      <alignment horizontal="right" vertical="center" shrinkToFit="1"/>
    </xf>
    <xf numFmtId="0" fontId="14" fillId="10" borderId="8" xfId="0" applyFont="1" applyFill="1" applyBorder="1" applyAlignment="1">
      <alignment horizontal="center" vertical="center"/>
    </xf>
    <xf numFmtId="168" fontId="13" fillId="6" borderId="6" xfId="0" applyNumberFormat="1" applyFont="1" applyFill="1" applyBorder="1" applyAlignment="1">
      <alignment horizontal="right" vertical="center" shrinkToFit="1"/>
    </xf>
    <xf numFmtId="49" fontId="15" fillId="5" borderId="60" xfId="0" applyNumberFormat="1" applyFont="1" applyFill="1" applyBorder="1">
      <alignment vertical="center"/>
    </xf>
    <xf numFmtId="167" fontId="13" fillId="4" borderId="85" xfId="0" applyNumberFormat="1" applyFont="1" applyFill="1" applyBorder="1" applyAlignment="1">
      <alignment horizontal="right" vertical="center"/>
    </xf>
    <xf numFmtId="167" fontId="13" fillId="4" borderId="49" xfId="0" applyNumberFormat="1" applyFont="1" applyFill="1" applyBorder="1" applyAlignment="1">
      <alignment horizontal="right" vertical="center"/>
    </xf>
    <xf numFmtId="168" fontId="13" fillId="6" borderId="19" xfId="0" applyNumberFormat="1" applyFont="1" applyFill="1" applyBorder="1" applyAlignment="1">
      <alignment horizontal="right" vertical="center"/>
    </xf>
    <xf numFmtId="0" fontId="2" fillId="4" borderId="80" xfId="0" applyFont="1" applyFill="1" applyBorder="1">
      <alignment vertical="center"/>
    </xf>
    <xf numFmtId="168" fontId="13" fillId="6" borderId="71" xfId="0" applyNumberFormat="1" applyFont="1" applyFill="1" applyBorder="1" applyAlignment="1">
      <alignment horizontal="right" vertical="center" shrinkToFit="1"/>
    </xf>
    <xf numFmtId="0" fontId="10" fillId="4" borderId="54" xfId="0" applyFont="1" applyFill="1" applyBorder="1" applyAlignment="1">
      <alignment vertical="center"/>
    </xf>
    <xf numFmtId="165" fontId="15" fillId="0" borderId="30" xfId="0" applyNumberFormat="1" applyFont="1" applyBorder="1" applyAlignment="1">
      <alignment vertical="center"/>
    </xf>
    <xf numFmtId="0" fontId="15" fillId="0" borderId="40" xfId="0" applyFont="1" applyBorder="1">
      <alignment vertical="center"/>
    </xf>
    <xf numFmtId="0" fontId="14" fillId="20" borderId="61" xfId="0" applyFont="1" applyFill="1" applyBorder="1" applyAlignment="1">
      <alignment horizontal="center" vertical="center"/>
    </xf>
  </cellXfs>
  <cellStyles count="4">
    <cellStyle name="Normal" xfId="0" builtinId="0"/>
    <cellStyle name="標準 2" xfId="1"/>
    <cellStyle name="標準 3" xfId="2"/>
    <cellStyle name="標準 4" xfId="3"/>
  </cellStyles>
</styleSheet>
</file>

<file path=xl/_rels/workbook.xml.rels>&#65279;<?xml version="1.0" encoding="utf-8"?><Relationships xmlns="http://schemas.openxmlformats.org/package/2006/relationships"><Relationship Id="rId16" Type="http://schemas.openxmlformats.org/officeDocument/2006/relationships/theme" Target="theme/theme1.xml" /><Relationship Id="rId17" Type="http://schemas.openxmlformats.org/officeDocument/2006/relationships/styles" Target="styles.xml" /><Relationship Id="rId1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31172734724671"/>
          <c:y val="0.015309231225834337"/>
          <c:w val="0.91022026755593044"/>
          <c:h val="0.959848182145939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実績推移!$C$34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実績推移!$D$34:$O$34</c:f>
              <c:numCache/>
            </c:numRef>
          </c:val>
        </c:ser>
        <c:ser>
          <c:idx val="1"/>
          <c:order val="1"/>
          <c:tx>
            <c:strRef>
              <c:f>実績推移!$C$35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実績推移!$D$35:$O$35</c:f>
              <c:numCache/>
            </c:numRef>
          </c:val>
        </c:ser>
        <c:ser>
          <c:idx val="2"/>
          <c:order val="2"/>
          <c:tx>
            <c:strRef>
              <c:f>実績推移!$C$36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実績推移!$D$36:$O$36</c:f>
              <c:numCache/>
            </c:numRef>
          </c:val>
        </c:ser>
        <c:ser>
          <c:idx val="3"/>
          <c:order val="3"/>
          <c:tx>
            <c:strRef>
              <c:f>実績推移!$C$37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実績推移!$D$37:$O$37</c:f>
              <c:numCache/>
            </c:numRef>
          </c:val>
        </c:ser>
        <c:ser>
          <c:idx val="4"/>
          <c:order val="4"/>
          <c:tx>
            <c:strRef>
              <c:f>実績推移!$C$38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実績推移!$D$38:$O$38</c:f>
              <c:numCache/>
            </c:numRef>
          </c:val>
        </c:ser>
        <c:ser>
          <c:idx val="5"/>
          <c:order val="5"/>
          <c:tx>
            <c:strRef>
              <c:f>実績推移!$C$39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実績推移!$D$39:$O$39</c:f>
              <c:numCache/>
            </c:numRef>
          </c:val>
        </c:ser>
        <c:ser>
          <c:idx val="6"/>
          <c:order val="6"/>
          <c:tx>
            <c:strRef>
              <c:f>実績推移!$C$40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実績推移!$D$40:$O$40</c:f>
              <c:numCache/>
            </c:numRef>
          </c:val>
        </c:ser>
        <c:ser>
          <c:idx val="7"/>
          <c:order val="7"/>
          <c:tx>
            <c:strRef>
              <c:f>実績推移!$C$41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実績推移!$D$41:$O$41</c:f>
              <c:numCache/>
            </c:numRef>
          </c:val>
        </c:ser>
        <c:ser>
          <c:idx val="8"/>
          <c:order val="8"/>
          <c:tx>
            <c:strRef>
              <c:f>実績推移!$C$42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実績推移!$D$42:$O$42</c:f>
              <c:numCache/>
            </c:numRef>
          </c:val>
        </c:ser>
        <c:ser>
          <c:idx val="9"/>
          <c:order val="9"/>
          <c:tx>
            <c:strRef>
              <c:f>実績推移!$C$43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実績推移!$D$43:$O$43</c:f>
              <c:numCache/>
            </c:numRef>
          </c:val>
        </c:ser>
        <c:ser>
          <c:idx val="10"/>
          <c:order val="10"/>
          <c:tx>
            <c:strRef>
              <c:f>実績推移!$C$44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実績推移!$D$44:$O$44</c:f>
              <c:numCache/>
            </c:numRef>
          </c:val>
        </c:ser>
        <c:ser>
          <c:idx val="11"/>
          <c:order val="11"/>
          <c:tx>
            <c:strRef>
              <c:f>実績推移!$C$45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実績推移!$D$45:$O$45</c:f>
              <c:numCache/>
            </c:numRef>
          </c:val>
        </c:ser>
        <c:ser>
          <c:idx val="12"/>
          <c:order val="12"/>
          <c:tx>
            <c:strRef>
              <c:f>実績推移!$C$46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実績推移!$D$46:$O$46</c:f>
              <c:numCache/>
            </c:numRef>
          </c:val>
        </c:ser>
        <c:ser>
          <c:idx val="13"/>
          <c:order val="13"/>
          <c:tx>
            <c:strRef>
              <c:f>実績推移!$C$47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実績推移!$D$47:$O$47</c:f>
              <c:numCache/>
            </c:numRef>
          </c:val>
        </c:ser>
        <c:ser>
          <c:idx val="14"/>
          <c:order val="14"/>
          <c:tx>
            <c:strRef>
              <c:f>実績推移!$C$48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実績推移!$D$48:$O$48</c:f>
              <c:numCache/>
            </c:numRef>
          </c:val>
        </c:ser>
        <c:ser>
          <c:idx val="15"/>
          <c:order val="15"/>
          <c:tx>
            <c:strRef>
              <c:f>実績推移!$C$49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実績推移!$D$49:$O$49</c:f>
              <c:numCache/>
            </c:numRef>
          </c:val>
        </c:ser>
        <c:ser>
          <c:idx val="16"/>
          <c:order val="16"/>
          <c:tx>
            <c:strRef>
              <c:f>実績推移!$C$50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実績推移!$D$50:$O$50</c:f>
              <c:numCache/>
            </c:numRef>
          </c:val>
        </c:ser>
        <c:ser>
          <c:idx val="17"/>
          <c:order val="17"/>
          <c:tx>
            <c:strRef>
              <c:f>実績推移!$C$51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実績推移!$D$51:$O$51</c:f>
              <c:numCache/>
            </c:numRef>
          </c:val>
        </c:ser>
        <c:ser>
          <c:idx val="18"/>
          <c:order val="18"/>
          <c:tx>
            <c:strRef>
              <c:f>実績推移!$C$52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実績推移!$D$52:$O$52</c:f>
              <c:numCache/>
            </c:numRef>
          </c:val>
        </c:ser>
        <c:ser>
          <c:idx val="19"/>
          <c:order val="19"/>
          <c:tx>
            <c:strRef>
              <c:f>実績推移!$C$53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実績推移!$D$53:$O$53</c:f>
              <c:numCache/>
            </c:numRef>
          </c:val>
        </c:ser>
        <c:ser>
          <c:idx val="20"/>
          <c:order val="20"/>
          <c:tx>
            <c:strRef>
              <c:f>実績推移!$C$54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実績推移!$D$54:$O$54</c:f>
              <c:numCache/>
            </c:numRef>
          </c:val>
        </c:ser>
        <c:ser>
          <c:idx val="21"/>
          <c:order val="21"/>
          <c:tx>
            <c:strRef>
              <c:f>実績推移!$C$55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実績推移!$D$55:$O$55</c:f>
              <c:numCache/>
            </c:numRef>
          </c:val>
        </c:ser>
        <c:ser>
          <c:idx val="22"/>
          <c:order val="22"/>
          <c:tx>
            <c:strRef>
              <c:f>実績推移!$C$56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実績推移!$D$56:$O$56</c:f>
              <c:numCache/>
            </c:numRef>
          </c:val>
        </c:ser>
        <c:ser>
          <c:idx val="23"/>
          <c:order val="23"/>
          <c:tx>
            <c:strRef>
              <c:f>実績推移!$C$57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実績推移!$D$57:$O$57</c:f>
              <c:numCache/>
            </c:numRef>
          </c:val>
        </c:ser>
        <c:ser>
          <c:idx val="24"/>
          <c:order val="24"/>
          <c:tx>
            <c:strRef>
              <c:f>実績推移!$C$58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実績推移!$D$58:$O$58</c:f>
              <c:numCache/>
            </c:numRef>
          </c:val>
        </c:ser>
        <c:ser>
          <c:idx val="25"/>
          <c:order val="25"/>
          <c:tx>
            <c:strRef>
              <c:f>実績推移!$C$59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実績推移!$D$59:$O$59</c:f>
              <c:numCache/>
            </c:numRef>
          </c:val>
        </c:ser>
        <c:ser>
          <c:idx val="26"/>
          <c:order val="26"/>
          <c:tx>
            <c:strRef>
              <c:f>実績推移!$C$60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実績推移!$D$60:$O$60</c:f>
              <c:numCache/>
            </c:numRef>
          </c:val>
        </c:ser>
        <c:ser>
          <c:idx val="27"/>
          <c:order val="27"/>
          <c:tx>
            <c:strRef>
              <c:f>実績推移!$C$61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実績推移!$D$61:$O$61</c:f>
              <c:numCache/>
            </c:numRef>
          </c:val>
        </c:ser>
        <c:ser>
          <c:idx val="28"/>
          <c:order val="28"/>
          <c:tx>
            <c:strRef>
              <c:f>実績推移!$C$62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実績推移!$D$62:$O$62</c:f>
              <c:numCache/>
            </c:numRef>
          </c:val>
        </c:ser>
        <c:ser>
          <c:idx val="29"/>
          <c:order val="29"/>
          <c:tx>
            <c:strRef>
              <c:f>実績推移!$C$63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実績推移!$D$63:$O$63</c:f>
              <c:numCache/>
            </c:numRef>
          </c:val>
        </c:ser>
        <c:ser>
          <c:idx val="30"/>
          <c:order val="30"/>
          <c:tx>
            <c:strRef>
              <c:f>実績推移!$C$64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実績推移!$D$64:$O$64</c:f>
              <c:numCache/>
            </c:numRef>
          </c:val>
        </c:ser>
        <c:ser>
          <c:idx val="31"/>
          <c:order val="31"/>
          <c:tx>
            <c:strRef>
              <c:f>実績推移!$C$65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実績推移!$D$65:$O$65</c:f>
              <c:numCache/>
            </c:numRef>
          </c:val>
        </c:ser>
        <c:ser>
          <c:idx val="32"/>
          <c:order val="32"/>
          <c:tx>
            <c:strRef>
              <c:f>実績推移!$C$66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実績推移!$D$66:$O$66</c:f>
              <c:numCache/>
            </c:numRef>
          </c:val>
        </c:ser>
        <c:ser>
          <c:idx val="33"/>
          <c:order val="33"/>
          <c:tx>
            <c:strRef>
              <c:f>実績推移!$C$67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実績推移!$D$67:$O$67</c:f>
              <c:numCache/>
            </c:numRef>
          </c:val>
        </c:ser>
        <c:ser>
          <c:idx val="34"/>
          <c:order val="34"/>
          <c:tx>
            <c:strRef>
              <c:f>実績推移!$C$68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実績推移!$D$68:$O$68</c:f>
              <c:numCache/>
            </c:numRef>
          </c:val>
        </c:ser>
        <c:ser>
          <c:idx val="35"/>
          <c:order val="35"/>
          <c:tx>
            <c:strRef>
              <c:f>実績推移!$C$69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実績推移!$D$69:$O$69</c:f>
              <c:numCache/>
            </c:numRef>
          </c:val>
        </c:ser>
        <c:ser>
          <c:idx val="36"/>
          <c:order val="36"/>
          <c:tx>
            <c:strRef>
              <c:f>実績推移!$C$70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実績推移!$D$70:$O$70</c:f>
              <c:numCache/>
            </c:numRef>
          </c:val>
        </c:ser>
        <c:ser>
          <c:idx val="37"/>
          <c:order val="37"/>
          <c:tx>
            <c:strRef>
              <c:f>実績推移!$C$71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実績推移!$D$71:$O$71</c:f>
              <c:numCache/>
            </c:numRef>
          </c:val>
        </c:ser>
        <c:ser>
          <c:idx val="38"/>
          <c:order val="38"/>
          <c:tx>
            <c:strRef>
              <c:f>実績推移!$C$72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実績推移!$D$72:$O$72</c:f>
              <c:numCache/>
            </c:numRef>
          </c:val>
        </c:ser>
        <c:ser>
          <c:idx val="39"/>
          <c:order val="39"/>
          <c:tx>
            <c:strRef>
              <c:f>実績推移!$C$73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実績推移!$D$73:$O$73</c:f>
              <c:numCache/>
            </c:numRef>
          </c:val>
        </c:ser>
        <c:ser>
          <c:idx val="40"/>
          <c:order val="40"/>
          <c:tx>
            <c:strRef>
              <c:f>実績推移!$C$74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実績推移!$D$74:$O$74</c:f>
              <c:numCache/>
            </c:numRef>
          </c:val>
        </c:ser>
        <c:ser>
          <c:idx val="41"/>
          <c:order val="41"/>
          <c:tx>
            <c:strRef>
              <c:f>実績推移!$C$75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実績推移!$D$75:$O$75</c:f>
              <c:numCache/>
            </c:numRef>
          </c:val>
        </c:ser>
        <c:ser>
          <c:idx val="42"/>
          <c:order val="42"/>
          <c:tx>
            <c:strRef>
              <c:f>実績推移!$C$76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実績推移!$D$76:$O$76</c:f>
              <c:numCache/>
            </c:numRef>
          </c:val>
        </c:ser>
        <c:ser>
          <c:idx val="43"/>
          <c:order val="43"/>
          <c:tx>
            <c:strRef>
              <c:f>実績推移!$C$77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実績推移!$D$77:$O$77</c:f>
              <c:numCache/>
            </c:numRef>
          </c:val>
        </c:ser>
        <c:ser>
          <c:idx val="44"/>
          <c:order val="44"/>
          <c:tx>
            <c:strRef>
              <c:f>実績推移!$C$78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実績推移!$D$78:$O$78</c:f>
              <c:numCache/>
            </c:numRef>
          </c:val>
        </c:ser>
        <c:ser>
          <c:idx val="45"/>
          <c:order val="45"/>
          <c:tx>
            <c:strRef>
              <c:f>実績推移!$C$79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実績推移!$D$79:$O$79</c:f>
              <c:numCache/>
            </c:numRef>
          </c:val>
        </c:ser>
        <c:ser>
          <c:idx val="46"/>
          <c:order val="46"/>
          <c:tx>
            <c:strRef>
              <c:f>実績推移!$C$80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実績推移!$D$80:$O$80</c:f>
              <c:numCache/>
            </c:numRef>
          </c:val>
        </c:ser>
        <c:ser>
          <c:idx val="47"/>
          <c:order val="47"/>
          <c:tx>
            <c:strRef>
              <c:f>実績推移!$C$81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実績推移!$D$81:$O$81</c:f>
              <c:numCache/>
            </c:numRef>
          </c:val>
        </c:ser>
        <c:ser>
          <c:idx val="48"/>
          <c:order val="48"/>
          <c:tx>
            <c:strRef>
              <c:f>実績推移!$C$82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実績推移!$D$82:$O$82</c:f>
              <c:numCache/>
            </c:numRef>
          </c:val>
        </c:ser>
        <c:ser>
          <c:idx val="49"/>
          <c:order val="49"/>
          <c:tx>
            <c:strRef>
              <c:f>実績推移!$C$83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実績推移!$D$83:$O$83</c:f>
              <c:numCache/>
            </c:numRef>
          </c:val>
        </c:ser>
        <c:gapWidth val="30"/>
        <c:overlap val="100"/>
        <c:serLines>
          <c:spPr>
            <a:ln w="3175">
              <a:solidFill>
                <a:srgbClr val="000000"/>
              </a:solidFill>
            </a:ln>
          </c:spPr>
        </c:serLines>
        <c:axId val="0"/>
        <c:axId val="1"/>
      </c:barChart>
      <c:barChart>
        <c:barDir val="col"/>
        <c:grouping val="clustered"/>
        <c:varyColors val="0"/>
        <c:ser>
          <c:idx val="50"/>
          <c:order val="50"/>
          <c:tx>
            <c:strRef>
              <c:f>実績推移!$C$85</c:f>
              <c:strCache/>
            </c:strRef>
          </c:tx>
          <c:spPr>
            <a:noFill/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実績推移!$D$34:$O$34</c:f>
              <c:numCache/>
            </c:numRef>
          </c:cat>
          <c:val>
            <c:numRef>
              <c:f>実績推移!$D$85:$O$85</c:f>
              <c:numCache/>
            </c:numRef>
          </c:val>
        </c:ser>
        <c:axId val="3"/>
        <c:axId val="4"/>
      </c:bar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1"/>
            </a:pPr>
            <a:endParaRPr sz="1000" b="1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/>
            </a:pPr>
            <a:endParaRPr sz="1000"/>
          </a:p>
        </c:txPr>
        <c:crossAx val="0"/>
        <c:crosses val="autoZero"/>
        <c:crossBetween val="between"/>
      </c:valAx>
      <c:valAx>
        <c:axId val="4"/>
        <c:scaling>
          <c:orientation val="minMax"/>
        </c:scaling>
        <c:delete val="1"/>
        <c:axPos val="r"/>
        <c:majorTickMark val="out"/>
        <c:minorTickMark val="none"/>
        <c:tickLblPos val="nextTo"/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94431818181818183"/>
          <c:y val="0.015309231225834337"/>
          <c:w val="0.048863636363636366"/>
          <c:h val="0.9598481821459393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/>
          </a:pPr>
          <a:endParaRPr sz="675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1150">
          <a:solidFill>
            <a:srgbClr val="000000"/>
          </a:solidFill>
        </a:defRPr>
      </a:pPr>
      <a:endParaRPr sz="1150">
        <a:solidFill>
          <a:srgbClr val="000000"/>
        </a:solidFill>
      </a:endParaRPr>
    </a:p>
  </c:txPr>
  <c:printSettings>
    <c:headerFooter>
      <c:oddHeader>&amp;C&amp;A</c:oddHeader>
      <c:oddFooter>&amp;CPage &amp;P</c:oddFooter>
    </c:headerFooter>
    <c:pageMargins l="0.75" r="0.75" t="1" b="1" header="0.5" footer="0.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31172734724671"/>
          <c:y val="0.015309231225834337"/>
          <c:w val="0.91022026755593044"/>
          <c:h val="0.959848182145939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実績推移!$C$176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実績推移!$D$176:$O$176</c:f>
              <c:numCache/>
            </c:numRef>
          </c:val>
        </c:ser>
        <c:ser>
          <c:idx val="1"/>
          <c:order val="1"/>
          <c:tx>
            <c:strRef>
              <c:f>実績推移!$C$177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実績推移!$D$177:$O$177</c:f>
              <c:numCache/>
            </c:numRef>
          </c:val>
        </c:ser>
        <c:ser>
          <c:idx val="2"/>
          <c:order val="2"/>
          <c:tx>
            <c:strRef>
              <c:f>実績推移!$C$178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実績推移!$D$178:$O$178</c:f>
              <c:numCache/>
            </c:numRef>
          </c:val>
        </c:ser>
        <c:ser>
          <c:idx val="3"/>
          <c:order val="3"/>
          <c:tx>
            <c:strRef>
              <c:f>実績推移!$C$179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実績推移!$D$179:$O$179</c:f>
              <c:numCache/>
            </c:numRef>
          </c:val>
        </c:ser>
        <c:ser>
          <c:idx val="4"/>
          <c:order val="4"/>
          <c:tx>
            <c:strRef>
              <c:f>実績推移!$C$180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実績推移!$D$180:$O$180</c:f>
              <c:numCache/>
            </c:numRef>
          </c:val>
        </c:ser>
        <c:ser>
          <c:idx val="5"/>
          <c:order val="5"/>
          <c:tx>
            <c:strRef>
              <c:f>実績推移!$C$181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実績推移!$D$181:$O$181</c:f>
              <c:numCache/>
            </c:numRef>
          </c:val>
        </c:ser>
        <c:ser>
          <c:idx val="6"/>
          <c:order val="6"/>
          <c:tx>
            <c:strRef>
              <c:f>実績推移!$C$182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実績推移!$D$182:$O$182</c:f>
              <c:numCache/>
            </c:numRef>
          </c:val>
        </c:ser>
        <c:ser>
          <c:idx val="7"/>
          <c:order val="7"/>
          <c:tx>
            <c:strRef>
              <c:f>実績推移!$C$183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実績推移!$D$183:$O$183</c:f>
              <c:numCache/>
            </c:numRef>
          </c:val>
        </c:ser>
        <c:ser>
          <c:idx val="8"/>
          <c:order val="8"/>
          <c:tx>
            <c:strRef>
              <c:f>実績推移!$C$184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実績推移!$D$184:$O$184</c:f>
              <c:numCache/>
            </c:numRef>
          </c:val>
        </c:ser>
        <c:ser>
          <c:idx val="9"/>
          <c:order val="9"/>
          <c:tx>
            <c:strRef>
              <c:f>実績推移!$C$185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実績推移!$D$185:$O$185</c:f>
              <c:numCache/>
            </c:numRef>
          </c:val>
        </c:ser>
        <c:ser>
          <c:idx val="10"/>
          <c:order val="10"/>
          <c:tx>
            <c:strRef>
              <c:f>実績推移!$C$186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実績推移!$D$186:$O$186</c:f>
              <c:numCache/>
            </c:numRef>
          </c:val>
        </c:ser>
        <c:ser>
          <c:idx val="11"/>
          <c:order val="11"/>
          <c:tx>
            <c:strRef>
              <c:f>実績推移!$C$187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実績推移!$D$187:$O$187</c:f>
              <c:numCache/>
            </c:numRef>
          </c:val>
        </c:ser>
        <c:ser>
          <c:idx val="12"/>
          <c:order val="12"/>
          <c:tx>
            <c:strRef>
              <c:f>実績推移!$C$188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実績推移!$D$188:$O$188</c:f>
              <c:numCache/>
            </c:numRef>
          </c:val>
        </c:ser>
        <c:ser>
          <c:idx val="13"/>
          <c:order val="13"/>
          <c:tx>
            <c:strRef>
              <c:f>実績推移!$C$189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実績推移!$D$189:$O$189</c:f>
              <c:numCache/>
            </c:numRef>
          </c:val>
        </c:ser>
        <c:ser>
          <c:idx val="14"/>
          <c:order val="14"/>
          <c:tx>
            <c:strRef>
              <c:f>実績推移!$C$190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実績推移!$D$190:$O$190</c:f>
              <c:numCache/>
            </c:numRef>
          </c:val>
        </c:ser>
        <c:ser>
          <c:idx val="15"/>
          <c:order val="15"/>
          <c:tx>
            <c:strRef>
              <c:f>実績推移!$C$191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実績推移!$D$191:$O$191</c:f>
              <c:numCache/>
            </c:numRef>
          </c:val>
        </c:ser>
        <c:ser>
          <c:idx val="16"/>
          <c:order val="16"/>
          <c:tx>
            <c:strRef>
              <c:f>実績推移!$C$192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実績推移!$D$192:$O$192</c:f>
              <c:numCache/>
            </c:numRef>
          </c:val>
        </c:ser>
        <c:ser>
          <c:idx val="17"/>
          <c:order val="17"/>
          <c:tx>
            <c:strRef>
              <c:f>実績推移!$C$193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実績推移!$D$193:$O$193</c:f>
              <c:numCache/>
            </c:numRef>
          </c:val>
        </c:ser>
        <c:ser>
          <c:idx val="18"/>
          <c:order val="18"/>
          <c:tx>
            <c:strRef>
              <c:f>実績推移!$C$194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実績推移!$D$194:$O$194</c:f>
              <c:numCache/>
            </c:numRef>
          </c:val>
        </c:ser>
        <c:ser>
          <c:idx val="19"/>
          <c:order val="19"/>
          <c:tx>
            <c:strRef>
              <c:f>実績推移!$C$195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実績推移!$D$195:$O$195</c:f>
              <c:numCache/>
            </c:numRef>
          </c:val>
        </c:ser>
        <c:ser>
          <c:idx val="20"/>
          <c:order val="20"/>
          <c:tx>
            <c:strRef>
              <c:f>実績推移!$C$196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実績推移!$D$196:$O$196</c:f>
              <c:numCache/>
            </c:numRef>
          </c:val>
        </c:ser>
        <c:ser>
          <c:idx val="21"/>
          <c:order val="21"/>
          <c:tx>
            <c:strRef>
              <c:f>実績推移!$C$197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実績推移!$D$197:$O$197</c:f>
              <c:numCache/>
            </c:numRef>
          </c:val>
        </c:ser>
        <c:ser>
          <c:idx val="22"/>
          <c:order val="22"/>
          <c:tx>
            <c:strRef>
              <c:f>実績推移!$C$198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実績推移!$D$198:$O$198</c:f>
              <c:numCache/>
            </c:numRef>
          </c:val>
        </c:ser>
        <c:ser>
          <c:idx val="23"/>
          <c:order val="23"/>
          <c:tx>
            <c:strRef>
              <c:f>実績推移!$C$199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実績推移!$D$199:$O$199</c:f>
              <c:numCache/>
            </c:numRef>
          </c:val>
        </c:ser>
        <c:ser>
          <c:idx val="24"/>
          <c:order val="24"/>
          <c:tx>
            <c:strRef>
              <c:f>実績推移!$C$200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実績推移!$D$200:$O$200</c:f>
              <c:numCache/>
            </c:numRef>
          </c:val>
        </c:ser>
        <c:ser>
          <c:idx val="25"/>
          <c:order val="25"/>
          <c:tx>
            <c:strRef>
              <c:f>実績推移!$C$201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実績推移!$D$201:$O$201</c:f>
              <c:numCache/>
            </c:numRef>
          </c:val>
        </c:ser>
        <c:ser>
          <c:idx val="26"/>
          <c:order val="26"/>
          <c:tx>
            <c:strRef>
              <c:f>実績推移!$C$202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実績推移!$D$202:$O$202</c:f>
              <c:numCache/>
            </c:numRef>
          </c:val>
        </c:ser>
        <c:ser>
          <c:idx val="27"/>
          <c:order val="27"/>
          <c:tx>
            <c:strRef>
              <c:f>実績推移!$C$203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実績推移!$D$203:$O$203</c:f>
              <c:numCache/>
            </c:numRef>
          </c:val>
        </c:ser>
        <c:ser>
          <c:idx val="28"/>
          <c:order val="28"/>
          <c:tx>
            <c:strRef>
              <c:f>実績推移!$C$204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実績推移!$D$204:$O$204</c:f>
              <c:numCache/>
            </c:numRef>
          </c:val>
        </c:ser>
        <c:ser>
          <c:idx val="29"/>
          <c:order val="29"/>
          <c:tx>
            <c:strRef>
              <c:f>実績推移!$C$205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実績推移!$D$205:$O$205</c:f>
              <c:numCache/>
            </c:numRef>
          </c:val>
        </c:ser>
        <c:ser>
          <c:idx val="30"/>
          <c:order val="30"/>
          <c:tx>
            <c:strRef>
              <c:f>実績推移!$C$206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実績推移!$D$206:$O$206</c:f>
              <c:numCache/>
            </c:numRef>
          </c:val>
        </c:ser>
        <c:ser>
          <c:idx val="31"/>
          <c:order val="31"/>
          <c:tx>
            <c:strRef>
              <c:f>実績推移!$C$207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実績推移!$D$207:$O$207</c:f>
              <c:numCache/>
            </c:numRef>
          </c:val>
        </c:ser>
        <c:ser>
          <c:idx val="32"/>
          <c:order val="32"/>
          <c:tx>
            <c:strRef>
              <c:f>実績推移!$C$208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実績推移!$D$208:$O$208</c:f>
              <c:numCache/>
            </c:numRef>
          </c:val>
        </c:ser>
        <c:ser>
          <c:idx val="33"/>
          <c:order val="33"/>
          <c:tx>
            <c:strRef>
              <c:f>実績推移!$C$209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実績推移!$D$209:$O$209</c:f>
              <c:numCache/>
            </c:numRef>
          </c:val>
        </c:ser>
        <c:ser>
          <c:idx val="34"/>
          <c:order val="34"/>
          <c:tx>
            <c:strRef>
              <c:f>実績推移!$C$210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実績推移!$D$210:$O$210</c:f>
              <c:numCache/>
            </c:numRef>
          </c:val>
        </c:ser>
        <c:ser>
          <c:idx val="35"/>
          <c:order val="35"/>
          <c:tx>
            <c:strRef>
              <c:f>実績推移!$C$211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実績推移!$D$211:$O$211</c:f>
              <c:numCache/>
            </c:numRef>
          </c:val>
        </c:ser>
        <c:ser>
          <c:idx val="36"/>
          <c:order val="36"/>
          <c:tx>
            <c:strRef>
              <c:f>実績推移!$C$212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実績推移!$D$212:$O$212</c:f>
              <c:numCache/>
            </c:numRef>
          </c:val>
        </c:ser>
        <c:ser>
          <c:idx val="37"/>
          <c:order val="37"/>
          <c:tx>
            <c:strRef>
              <c:f>実績推移!$C$213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実績推移!$D$213:$O$213</c:f>
              <c:numCache/>
            </c:numRef>
          </c:val>
        </c:ser>
        <c:ser>
          <c:idx val="38"/>
          <c:order val="38"/>
          <c:tx>
            <c:strRef>
              <c:f>実績推移!$C$214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実績推移!$D$214:$O$214</c:f>
              <c:numCache/>
            </c:numRef>
          </c:val>
        </c:ser>
        <c:ser>
          <c:idx val="39"/>
          <c:order val="39"/>
          <c:tx>
            <c:strRef>
              <c:f>実績推移!$C$215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実績推移!$D$215:$O$215</c:f>
              <c:numCache/>
            </c:numRef>
          </c:val>
        </c:ser>
        <c:ser>
          <c:idx val="40"/>
          <c:order val="40"/>
          <c:tx>
            <c:strRef>
              <c:f>実績推移!$C$216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実績推移!$D$216:$O$216</c:f>
              <c:numCache/>
            </c:numRef>
          </c:val>
        </c:ser>
        <c:ser>
          <c:idx val="41"/>
          <c:order val="41"/>
          <c:tx>
            <c:strRef>
              <c:f>実績推移!$C$217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実績推移!$D$217:$O$217</c:f>
              <c:numCache/>
            </c:numRef>
          </c:val>
        </c:ser>
        <c:ser>
          <c:idx val="42"/>
          <c:order val="42"/>
          <c:tx>
            <c:strRef>
              <c:f>実績推移!$C$218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実績推移!$D$218:$O$218</c:f>
              <c:numCache/>
            </c:numRef>
          </c:val>
        </c:ser>
        <c:ser>
          <c:idx val="43"/>
          <c:order val="43"/>
          <c:tx>
            <c:strRef>
              <c:f>実績推移!$C$219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実績推移!$D$219:$O$219</c:f>
              <c:numCache/>
            </c:numRef>
          </c:val>
        </c:ser>
        <c:ser>
          <c:idx val="44"/>
          <c:order val="44"/>
          <c:tx>
            <c:strRef>
              <c:f>実績推移!$C$220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実績推移!$D$220:$O$220</c:f>
              <c:numCache/>
            </c:numRef>
          </c:val>
        </c:ser>
        <c:ser>
          <c:idx val="45"/>
          <c:order val="45"/>
          <c:tx>
            <c:strRef>
              <c:f>実績推移!$C$221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実績推移!$D$221:$O$221</c:f>
              <c:numCache/>
            </c:numRef>
          </c:val>
        </c:ser>
        <c:ser>
          <c:idx val="46"/>
          <c:order val="46"/>
          <c:tx>
            <c:strRef>
              <c:f>実績推移!$C$222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実績推移!$D$222:$O$222</c:f>
              <c:numCache/>
            </c:numRef>
          </c:val>
        </c:ser>
        <c:ser>
          <c:idx val="47"/>
          <c:order val="47"/>
          <c:tx>
            <c:strRef>
              <c:f>実績推移!$C$223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実績推移!$D$223:$O$223</c:f>
              <c:numCache/>
            </c:numRef>
          </c:val>
        </c:ser>
        <c:ser>
          <c:idx val="48"/>
          <c:order val="48"/>
          <c:tx>
            <c:strRef>
              <c:f>実績推移!$C$224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実績推移!$D$224:$O$224</c:f>
              <c:numCache/>
            </c:numRef>
          </c:val>
        </c:ser>
        <c:ser>
          <c:idx val="49"/>
          <c:order val="49"/>
          <c:tx>
            <c:strRef>
              <c:f>実績推移!$C$225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実績推移!$D$225:$O$225</c:f>
              <c:numCache/>
            </c:numRef>
          </c:val>
        </c:ser>
        <c:gapWidth val="30"/>
        <c:overlap val="100"/>
        <c:serLines>
          <c:spPr>
            <a:ln w="3175">
              <a:solidFill>
                <a:srgbClr val="000000"/>
              </a:solidFill>
            </a:ln>
          </c:spPr>
        </c:serLines>
        <c:axId val="0"/>
        <c:axId val="1"/>
      </c:barChart>
      <c:barChart>
        <c:barDir val="col"/>
        <c:grouping val="clustered"/>
        <c:varyColors val="0"/>
        <c:ser>
          <c:idx val="50"/>
          <c:order val="50"/>
          <c:tx>
            <c:strRef>
              <c:f>実績推移!$C$227</c:f>
              <c:strCache/>
            </c:strRef>
          </c:tx>
          <c:spPr>
            <a:noFill/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実績推移!$D$176:$O$176</c:f>
              <c:numCache/>
            </c:numRef>
          </c:cat>
          <c:val>
            <c:numRef>
              <c:f>実績推移!$D$227:$O$227</c:f>
              <c:numCache/>
            </c:numRef>
          </c:val>
        </c:ser>
        <c:axId val="3"/>
        <c:axId val="4"/>
      </c:bar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1"/>
            </a:pPr>
            <a:endParaRPr sz="1000" b="1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/>
            </a:pPr>
            <a:endParaRPr sz="1000"/>
          </a:p>
        </c:txPr>
        <c:crossAx val="0"/>
        <c:crosses val="autoZero"/>
        <c:crossBetween val="between"/>
      </c:valAx>
      <c:valAx>
        <c:axId val="4"/>
        <c:scaling>
          <c:orientation val="minMax"/>
        </c:scaling>
        <c:delete val="1"/>
        <c:axPos val="r"/>
        <c:majorTickMark val="out"/>
        <c:minorTickMark val="none"/>
        <c:tickLblPos val="nextTo"/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94431818181818183"/>
          <c:y val="0.015309231225834337"/>
          <c:w val="0.048863636363636366"/>
          <c:h val="0.9598481821459393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/>
          </a:pPr>
          <a:endParaRPr sz="675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1150">
          <a:solidFill>
            <a:srgbClr val="000000"/>
          </a:solidFill>
        </a:defRPr>
      </a:pPr>
      <a:endParaRPr sz="1150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381247333176659"/>
          <c:y val="0.015309231225834337"/>
          <c:w val="0.89482671564275573"/>
          <c:h val="0.959848182145939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構成比推移!$C$34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構成比推移!$D$34:$O$34</c:f>
              <c:numCache/>
            </c:numRef>
          </c:val>
        </c:ser>
        <c:ser>
          <c:idx val="1"/>
          <c:order val="1"/>
          <c:tx>
            <c:strRef>
              <c:f>構成比推移!$C$35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構成比推移!$D$35:$O$35</c:f>
              <c:numCache/>
            </c:numRef>
          </c:val>
        </c:ser>
        <c:ser>
          <c:idx val="2"/>
          <c:order val="2"/>
          <c:tx>
            <c:strRef>
              <c:f>構成比推移!$C$36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構成比推移!$D$36:$O$36</c:f>
              <c:numCache/>
            </c:numRef>
          </c:val>
        </c:ser>
        <c:ser>
          <c:idx val="3"/>
          <c:order val="3"/>
          <c:tx>
            <c:strRef>
              <c:f>構成比推移!$C$37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構成比推移!$D$37:$O$37</c:f>
              <c:numCache/>
            </c:numRef>
          </c:val>
        </c:ser>
        <c:ser>
          <c:idx val="4"/>
          <c:order val="4"/>
          <c:tx>
            <c:strRef>
              <c:f>構成比推移!$C$38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構成比推移!$D$38:$O$38</c:f>
              <c:numCache/>
            </c:numRef>
          </c:val>
        </c:ser>
        <c:ser>
          <c:idx val="5"/>
          <c:order val="5"/>
          <c:tx>
            <c:strRef>
              <c:f>構成比推移!$C$39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構成比推移!$D$39:$O$39</c:f>
              <c:numCache/>
            </c:numRef>
          </c:val>
        </c:ser>
        <c:ser>
          <c:idx val="6"/>
          <c:order val="6"/>
          <c:tx>
            <c:strRef>
              <c:f>構成比推移!$C$40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構成比推移!$D$40:$O$40</c:f>
              <c:numCache/>
            </c:numRef>
          </c:val>
        </c:ser>
        <c:ser>
          <c:idx val="7"/>
          <c:order val="7"/>
          <c:tx>
            <c:strRef>
              <c:f>構成比推移!$C$41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構成比推移!$D$41:$O$41</c:f>
              <c:numCache/>
            </c:numRef>
          </c:val>
        </c:ser>
        <c:ser>
          <c:idx val="8"/>
          <c:order val="8"/>
          <c:tx>
            <c:strRef>
              <c:f>構成比推移!$C$42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構成比推移!$D$42:$O$42</c:f>
              <c:numCache/>
            </c:numRef>
          </c:val>
        </c:ser>
        <c:ser>
          <c:idx val="9"/>
          <c:order val="9"/>
          <c:tx>
            <c:strRef>
              <c:f>構成比推移!$C$43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構成比推移!$D$43:$O$43</c:f>
              <c:numCache/>
            </c:numRef>
          </c:val>
        </c:ser>
        <c:ser>
          <c:idx val="10"/>
          <c:order val="10"/>
          <c:tx>
            <c:strRef>
              <c:f>構成比推移!$C$44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構成比推移!$D$44:$O$44</c:f>
              <c:numCache/>
            </c:numRef>
          </c:val>
        </c:ser>
        <c:ser>
          <c:idx val="11"/>
          <c:order val="11"/>
          <c:tx>
            <c:strRef>
              <c:f>構成比推移!$C$45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構成比推移!$D$45:$O$45</c:f>
              <c:numCache/>
            </c:numRef>
          </c:val>
        </c:ser>
        <c:ser>
          <c:idx val="12"/>
          <c:order val="12"/>
          <c:tx>
            <c:strRef>
              <c:f>構成比推移!$C$46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構成比推移!$D$46:$O$46</c:f>
              <c:numCache/>
            </c:numRef>
          </c:val>
        </c:ser>
        <c:ser>
          <c:idx val="13"/>
          <c:order val="13"/>
          <c:tx>
            <c:strRef>
              <c:f>構成比推移!$C$47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構成比推移!$D$47:$O$47</c:f>
              <c:numCache/>
            </c:numRef>
          </c:val>
        </c:ser>
        <c:ser>
          <c:idx val="14"/>
          <c:order val="14"/>
          <c:tx>
            <c:strRef>
              <c:f>構成比推移!$C$48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構成比推移!$D$48:$O$48</c:f>
              <c:numCache/>
            </c:numRef>
          </c:val>
        </c:ser>
        <c:ser>
          <c:idx val="15"/>
          <c:order val="15"/>
          <c:tx>
            <c:strRef>
              <c:f>構成比推移!$C$49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構成比推移!$D$49:$O$49</c:f>
              <c:numCache/>
            </c:numRef>
          </c:val>
        </c:ser>
        <c:ser>
          <c:idx val="16"/>
          <c:order val="16"/>
          <c:tx>
            <c:strRef>
              <c:f>構成比推移!$C$50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構成比推移!$D$50:$O$50</c:f>
              <c:numCache/>
            </c:numRef>
          </c:val>
        </c:ser>
        <c:ser>
          <c:idx val="17"/>
          <c:order val="17"/>
          <c:tx>
            <c:strRef>
              <c:f>構成比推移!$C$51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構成比推移!$D$51:$O$51</c:f>
              <c:numCache/>
            </c:numRef>
          </c:val>
        </c:ser>
        <c:ser>
          <c:idx val="18"/>
          <c:order val="18"/>
          <c:tx>
            <c:strRef>
              <c:f>構成比推移!$C$52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構成比推移!$D$52:$O$52</c:f>
              <c:numCache/>
            </c:numRef>
          </c:val>
        </c:ser>
        <c:ser>
          <c:idx val="19"/>
          <c:order val="19"/>
          <c:tx>
            <c:strRef>
              <c:f>構成比推移!$C$53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構成比推移!$D$53:$O$53</c:f>
              <c:numCache/>
            </c:numRef>
          </c:val>
        </c:ser>
        <c:ser>
          <c:idx val="20"/>
          <c:order val="20"/>
          <c:tx>
            <c:strRef>
              <c:f>構成比推移!$C$54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構成比推移!$D$54:$O$54</c:f>
              <c:numCache/>
            </c:numRef>
          </c:val>
        </c:ser>
        <c:ser>
          <c:idx val="21"/>
          <c:order val="21"/>
          <c:tx>
            <c:strRef>
              <c:f>構成比推移!$C$55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構成比推移!$D$55:$O$55</c:f>
              <c:numCache/>
            </c:numRef>
          </c:val>
        </c:ser>
        <c:ser>
          <c:idx val="22"/>
          <c:order val="22"/>
          <c:tx>
            <c:strRef>
              <c:f>構成比推移!$C$56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構成比推移!$D$56:$O$56</c:f>
              <c:numCache/>
            </c:numRef>
          </c:val>
        </c:ser>
        <c:ser>
          <c:idx val="23"/>
          <c:order val="23"/>
          <c:tx>
            <c:strRef>
              <c:f>構成比推移!$C$57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構成比推移!$D$57:$O$57</c:f>
              <c:numCache/>
            </c:numRef>
          </c:val>
        </c:ser>
        <c:ser>
          <c:idx val="24"/>
          <c:order val="24"/>
          <c:tx>
            <c:strRef>
              <c:f>構成比推移!$C$58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構成比推移!$D$58:$O$58</c:f>
              <c:numCache/>
            </c:numRef>
          </c:val>
        </c:ser>
        <c:ser>
          <c:idx val="25"/>
          <c:order val="25"/>
          <c:tx>
            <c:strRef>
              <c:f>構成比推移!$C$59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構成比推移!$D$59:$O$59</c:f>
              <c:numCache/>
            </c:numRef>
          </c:val>
        </c:ser>
        <c:ser>
          <c:idx val="26"/>
          <c:order val="26"/>
          <c:tx>
            <c:strRef>
              <c:f>構成比推移!$C$60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構成比推移!$D$60:$O$60</c:f>
              <c:numCache/>
            </c:numRef>
          </c:val>
        </c:ser>
        <c:ser>
          <c:idx val="27"/>
          <c:order val="27"/>
          <c:tx>
            <c:strRef>
              <c:f>構成比推移!$C$61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構成比推移!$D$61:$O$61</c:f>
              <c:numCache/>
            </c:numRef>
          </c:val>
        </c:ser>
        <c:ser>
          <c:idx val="28"/>
          <c:order val="28"/>
          <c:tx>
            <c:strRef>
              <c:f>構成比推移!$C$62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構成比推移!$D$62:$O$62</c:f>
              <c:numCache/>
            </c:numRef>
          </c:val>
        </c:ser>
        <c:ser>
          <c:idx val="29"/>
          <c:order val="29"/>
          <c:tx>
            <c:strRef>
              <c:f>構成比推移!$C$63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構成比推移!$D$63:$O$63</c:f>
              <c:numCache/>
            </c:numRef>
          </c:val>
        </c:ser>
        <c:ser>
          <c:idx val="30"/>
          <c:order val="30"/>
          <c:tx>
            <c:strRef>
              <c:f>構成比推移!$C$64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構成比推移!$D$64:$O$64</c:f>
              <c:numCache/>
            </c:numRef>
          </c:val>
        </c:ser>
        <c:ser>
          <c:idx val="31"/>
          <c:order val="31"/>
          <c:tx>
            <c:strRef>
              <c:f>構成比推移!$C$65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構成比推移!$D$65:$O$65</c:f>
              <c:numCache/>
            </c:numRef>
          </c:val>
        </c:ser>
        <c:ser>
          <c:idx val="32"/>
          <c:order val="32"/>
          <c:tx>
            <c:strRef>
              <c:f>構成比推移!$C$66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構成比推移!$D$66:$O$66</c:f>
              <c:numCache/>
            </c:numRef>
          </c:val>
        </c:ser>
        <c:ser>
          <c:idx val="33"/>
          <c:order val="33"/>
          <c:tx>
            <c:strRef>
              <c:f>構成比推移!$C$67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構成比推移!$D$67:$O$67</c:f>
              <c:numCache/>
            </c:numRef>
          </c:val>
        </c:ser>
        <c:ser>
          <c:idx val="34"/>
          <c:order val="34"/>
          <c:tx>
            <c:strRef>
              <c:f>構成比推移!$C$68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構成比推移!$D$68:$O$68</c:f>
              <c:numCache/>
            </c:numRef>
          </c:val>
        </c:ser>
        <c:ser>
          <c:idx val="35"/>
          <c:order val="35"/>
          <c:tx>
            <c:strRef>
              <c:f>構成比推移!$C$69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構成比推移!$D$69:$O$69</c:f>
              <c:numCache/>
            </c:numRef>
          </c:val>
        </c:ser>
        <c:ser>
          <c:idx val="36"/>
          <c:order val="36"/>
          <c:tx>
            <c:strRef>
              <c:f>構成比推移!$C$70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構成比推移!$D$70:$O$70</c:f>
              <c:numCache/>
            </c:numRef>
          </c:val>
        </c:ser>
        <c:ser>
          <c:idx val="37"/>
          <c:order val="37"/>
          <c:tx>
            <c:strRef>
              <c:f>構成比推移!$C$71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構成比推移!$D$71:$O$71</c:f>
              <c:numCache/>
            </c:numRef>
          </c:val>
        </c:ser>
        <c:ser>
          <c:idx val="38"/>
          <c:order val="38"/>
          <c:tx>
            <c:strRef>
              <c:f>構成比推移!$C$72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構成比推移!$D$72:$O$72</c:f>
              <c:numCache/>
            </c:numRef>
          </c:val>
        </c:ser>
        <c:ser>
          <c:idx val="39"/>
          <c:order val="39"/>
          <c:tx>
            <c:strRef>
              <c:f>構成比推移!$C$73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構成比推移!$D$73:$O$73</c:f>
              <c:numCache/>
            </c:numRef>
          </c:val>
        </c:ser>
        <c:ser>
          <c:idx val="40"/>
          <c:order val="40"/>
          <c:tx>
            <c:strRef>
              <c:f>構成比推移!$C$74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構成比推移!$D$74:$O$74</c:f>
              <c:numCache/>
            </c:numRef>
          </c:val>
        </c:ser>
        <c:ser>
          <c:idx val="41"/>
          <c:order val="41"/>
          <c:tx>
            <c:strRef>
              <c:f>構成比推移!$C$75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構成比推移!$D$75:$O$75</c:f>
              <c:numCache/>
            </c:numRef>
          </c:val>
        </c:ser>
        <c:ser>
          <c:idx val="42"/>
          <c:order val="42"/>
          <c:tx>
            <c:strRef>
              <c:f>構成比推移!$C$76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構成比推移!$D$76:$O$76</c:f>
              <c:numCache/>
            </c:numRef>
          </c:val>
        </c:ser>
        <c:ser>
          <c:idx val="43"/>
          <c:order val="43"/>
          <c:tx>
            <c:strRef>
              <c:f>構成比推移!$C$77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構成比推移!$D$77:$O$77</c:f>
              <c:numCache/>
            </c:numRef>
          </c:val>
        </c:ser>
        <c:ser>
          <c:idx val="44"/>
          <c:order val="44"/>
          <c:tx>
            <c:strRef>
              <c:f>構成比推移!$C$78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構成比推移!$D$78:$O$78</c:f>
              <c:numCache/>
            </c:numRef>
          </c:val>
        </c:ser>
        <c:ser>
          <c:idx val="45"/>
          <c:order val="45"/>
          <c:tx>
            <c:strRef>
              <c:f>構成比推移!$C$79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構成比推移!$D$79:$O$79</c:f>
              <c:numCache/>
            </c:numRef>
          </c:val>
        </c:ser>
        <c:ser>
          <c:idx val="46"/>
          <c:order val="46"/>
          <c:tx>
            <c:strRef>
              <c:f>構成比推移!$C$80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構成比推移!$D$80:$O$80</c:f>
              <c:numCache/>
            </c:numRef>
          </c:val>
        </c:ser>
        <c:ser>
          <c:idx val="47"/>
          <c:order val="47"/>
          <c:tx>
            <c:strRef>
              <c:f>構成比推移!$C$81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構成比推移!$D$81:$O$81</c:f>
              <c:numCache/>
            </c:numRef>
          </c:val>
        </c:ser>
        <c:ser>
          <c:idx val="48"/>
          <c:order val="48"/>
          <c:tx>
            <c:strRef>
              <c:f>構成比推移!$C$82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構成比推移!$D$82:$O$82</c:f>
              <c:numCache/>
            </c:numRef>
          </c:val>
        </c:ser>
        <c:ser>
          <c:idx val="49"/>
          <c:order val="49"/>
          <c:tx>
            <c:strRef>
              <c:f>構成比推移!$C$83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構成比推移!$D$83:$O$83</c:f>
              <c:numCache/>
            </c:numRef>
          </c:val>
        </c:ser>
        <c:gapWidth val="30"/>
        <c:overlap val="100"/>
        <c:serLines>
          <c:spPr>
            <a:ln w="3175">
              <a:solidFill>
                <a:srgbClr val="000000"/>
              </a:solidFill>
            </a:ln>
          </c:spPr>
        </c:serLines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1"/>
            </a:pPr>
            <a:endParaRPr sz="1000" b="1"/>
          </a:p>
        </c:txPr>
        <c:crossAx val="1"/>
        <c:crossesAt val="0"/>
        <c:auto val="1"/>
        <c:lblAlgn val="ctr"/>
        <c:lblOffset val="100"/>
        <c:tickLblSkip val="1"/>
      </c:cat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;&quot;▲ &quot;#,##0" sourceLinked="0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/>
            </a:pPr>
            <a:endParaRPr sz="1000"/>
          </a:p>
        </c:txPr>
        <c:crossAx val="0"/>
        <c:crosses val="autoZero"/>
        <c:crossBetween val="between"/>
        <c:majorUnit val="10"/>
        <c:minorUnit val="2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94431818181818183"/>
          <c:y val="0.015309231225834337"/>
          <c:w val="0.048863636363636366"/>
          <c:h val="0.9598481821459393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/>
          </a:pPr>
          <a:endParaRPr sz="675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1150">
          <a:solidFill>
            <a:srgbClr val="000000"/>
          </a:solidFill>
        </a:defRPr>
      </a:pPr>
      <a:endParaRPr sz="1150">
        <a:solidFill>
          <a:srgbClr val="000000"/>
        </a:solidFill>
      </a:endParaRPr>
    </a:p>
  </c:txPr>
  <c:printSettings>
    <c:pageMargins l="0.75" r="0.75" t="1" b="1" header="0.512" footer="0.512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150" b="0"/>
              <a:t> </a:t>
            </a:r>
          </a:p>
        </c:rich>
      </c:tx>
      <c:layout>
        <c:manualLayout>
          <c:xMode val="edge"/>
          <c:yMode val="edge"/>
          <c:x val="0.49879129734085415"/>
          <c:y val="0.030567685589519649"/>
        </c:manualLayout>
      </c:layout>
      <c:overlay val="0"/>
      <c:spPr>
        <a:noFill/>
        <a:ln w="25400">
          <a:noFill/>
        </a:ln>
      </c:spPr>
    </c:title>
    <c:plotArea>
      <c:layout>
        <c:manualLayout>
          <c:xMode val="edge"/>
          <c:yMode val="edge"/>
          <c:x val="0.0381247333176659"/>
          <c:y val="0.015309231225834337"/>
          <c:w val="0.89482671564275573"/>
          <c:h val="0.959848182145939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構成比推移!$C$174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構成比推移!$D$174:$O$174</c:f>
              <c:numCache/>
            </c:numRef>
          </c:val>
        </c:ser>
        <c:ser>
          <c:idx val="1"/>
          <c:order val="1"/>
          <c:tx>
            <c:strRef>
              <c:f>構成比推移!$C$175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構成比推移!$D$175:$O$175</c:f>
              <c:numCache/>
            </c:numRef>
          </c:val>
        </c:ser>
        <c:ser>
          <c:idx val="2"/>
          <c:order val="2"/>
          <c:tx>
            <c:strRef>
              <c:f>構成比推移!$C$176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構成比推移!$D$176:$O$176</c:f>
              <c:numCache/>
            </c:numRef>
          </c:val>
        </c:ser>
        <c:ser>
          <c:idx val="3"/>
          <c:order val="3"/>
          <c:tx>
            <c:strRef>
              <c:f>構成比推移!$C$177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構成比推移!$D$177:$O$177</c:f>
              <c:numCache/>
            </c:numRef>
          </c:val>
        </c:ser>
        <c:ser>
          <c:idx val="4"/>
          <c:order val="4"/>
          <c:tx>
            <c:strRef>
              <c:f>構成比推移!$C$178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構成比推移!$D$178:$O$178</c:f>
              <c:numCache/>
            </c:numRef>
          </c:val>
        </c:ser>
        <c:ser>
          <c:idx val="5"/>
          <c:order val="5"/>
          <c:tx>
            <c:strRef>
              <c:f>構成比推移!$C$179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構成比推移!$D$179:$O$179</c:f>
              <c:numCache/>
            </c:numRef>
          </c:val>
        </c:ser>
        <c:ser>
          <c:idx val="6"/>
          <c:order val="6"/>
          <c:tx>
            <c:strRef>
              <c:f>構成比推移!$C$180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構成比推移!$D$180:$O$180</c:f>
              <c:numCache/>
            </c:numRef>
          </c:val>
        </c:ser>
        <c:ser>
          <c:idx val="7"/>
          <c:order val="7"/>
          <c:tx>
            <c:strRef>
              <c:f>構成比推移!$C$181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構成比推移!$D$181:$O$181</c:f>
              <c:numCache/>
            </c:numRef>
          </c:val>
        </c:ser>
        <c:ser>
          <c:idx val="8"/>
          <c:order val="8"/>
          <c:tx>
            <c:strRef>
              <c:f>構成比推移!$C$182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構成比推移!$D$182:$O$182</c:f>
              <c:numCache/>
            </c:numRef>
          </c:val>
        </c:ser>
        <c:ser>
          <c:idx val="9"/>
          <c:order val="9"/>
          <c:tx>
            <c:strRef>
              <c:f>構成比推移!$C$183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構成比推移!$D$183:$O$183</c:f>
              <c:numCache/>
            </c:numRef>
          </c:val>
        </c:ser>
        <c:ser>
          <c:idx val="10"/>
          <c:order val="10"/>
          <c:tx>
            <c:strRef>
              <c:f>構成比推移!$C$184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構成比推移!$D$184:$O$184</c:f>
              <c:numCache/>
            </c:numRef>
          </c:val>
        </c:ser>
        <c:ser>
          <c:idx val="11"/>
          <c:order val="11"/>
          <c:tx>
            <c:strRef>
              <c:f>構成比推移!$C$185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構成比推移!$D$185:$O$185</c:f>
              <c:numCache/>
            </c:numRef>
          </c:val>
        </c:ser>
        <c:ser>
          <c:idx val="12"/>
          <c:order val="12"/>
          <c:tx>
            <c:strRef>
              <c:f>構成比推移!$C$186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構成比推移!$D$186:$O$186</c:f>
              <c:numCache/>
            </c:numRef>
          </c:val>
        </c:ser>
        <c:ser>
          <c:idx val="13"/>
          <c:order val="13"/>
          <c:tx>
            <c:strRef>
              <c:f>構成比推移!$C$187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構成比推移!$D$187:$O$187</c:f>
              <c:numCache/>
            </c:numRef>
          </c:val>
        </c:ser>
        <c:ser>
          <c:idx val="14"/>
          <c:order val="14"/>
          <c:tx>
            <c:strRef>
              <c:f>構成比推移!$C$188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構成比推移!$D$188:$O$188</c:f>
              <c:numCache/>
            </c:numRef>
          </c:val>
        </c:ser>
        <c:ser>
          <c:idx val="15"/>
          <c:order val="15"/>
          <c:tx>
            <c:strRef>
              <c:f>構成比推移!$C$189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構成比推移!$D$189:$O$189</c:f>
              <c:numCache/>
            </c:numRef>
          </c:val>
        </c:ser>
        <c:ser>
          <c:idx val="16"/>
          <c:order val="16"/>
          <c:tx>
            <c:strRef>
              <c:f>構成比推移!$C$190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構成比推移!$D$190:$O$190</c:f>
              <c:numCache/>
            </c:numRef>
          </c:val>
        </c:ser>
        <c:ser>
          <c:idx val="17"/>
          <c:order val="17"/>
          <c:tx>
            <c:strRef>
              <c:f>構成比推移!$C$191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構成比推移!$D$191:$O$191</c:f>
              <c:numCache/>
            </c:numRef>
          </c:val>
        </c:ser>
        <c:ser>
          <c:idx val="18"/>
          <c:order val="18"/>
          <c:tx>
            <c:strRef>
              <c:f>構成比推移!$C$192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構成比推移!$D$192:$O$192</c:f>
              <c:numCache/>
            </c:numRef>
          </c:val>
        </c:ser>
        <c:ser>
          <c:idx val="19"/>
          <c:order val="19"/>
          <c:tx>
            <c:strRef>
              <c:f>構成比推移!$C$193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構成比推移!$D$193:$O$193</c:f>
              <c:numCache/>
            </c:numRef>
          </c:val>
        </c:ser>
        <c:ser>
          <c:idx val="20"/>
          <c:order val="20"/>
          <c:tx>
            <c:strRef>
              <c:f>構成比推移!$C$194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構成比推移!$D$194:$O$194</c:f>
              <c:numCache/>
            </c:numRef>
          </c:val>
        </c:ser>
        <c:ser>
          <c:idx val="21"/>
          <c:order val="21"/>
          <c:tx>
            <c:strRef>
              <c:f>構成比推移!$C$195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構成比推移!$D$195:$O$195</c:f>
              <c:numCache/>
            </c:numRef>
          </c:val>
        </c:ser>
        <c:ser>
          <c:idx val="22"/>
          <c:order val="22"/>
          <c:tx>
            <c:strRef>
              <c:f>構成比推移!$C$196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構成比推移!$D$196:$O$196</c:f>
              <c:numCache/>
            </c:numRef>
          </c:val>
        </c:ser>
        <c:ser>
          <c:idx val="23"/>
          <c:order val="23"/>
          <c:tx>
            <c:strRef>
              <c:f>構成比推移!$C$197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構成比推移!$D$197:$O$197</c:f>
              <c:numCache/>
            </c:numRef>
          </c:val>
        </c:ser>
        <c:ser>
          <c:idx val="24"/>
          <c:order val="24"/>
          <c:tx>
            <c:strRef>
              <c:f>構成比推移!$C$198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構成比推移!$D$198:$O$198</c:f>
              <c:numCache/>
            </c:numRef>
          </c:val>
        </c:ser>
        <c:ser>
          <c:idx val="25"/>
          <c:order val="25"/>
          <c:tx>
            <c:strRef>
              <c:f>構成比推移!$C$199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構成比推移!$D$199:$O$199</c:f>
              <c:numCache/>
            </c:numRef>
          </c:val>
        </c:ser>
        <c:ser>
          <c:idx val="26"/>
          <c:order val="26"/>
          <c:tx>
            <c:strRef>
              <c:f>構成比推移!$C$200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構成比推移!$D$200:$O$200</c:f>
              <c:numCache/>
            </c:numRef>
          </c:val>
        </c:ser>
        <c:ser>
          <c:idx val="27"/>
          <c:order val="27"/>
          <c:tx>
            <c:strRef>
              <c:f>構成比推移!$C$201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構成比推移!$D$201:$O$201</c:f>
              <c:numCache/>
            </c:numRef>
          </c:val>
        </c:ser>
        <c:ser>
          <c:idx val="28"/>
          <c:order val="28"/>
          <c:tx>
            <c:strRef>
              <c:f>構成比推移!$C$202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構成比推移!$D$202:$O$202</c:f>
              <c:numCache/>
            </c:numRef>
          </c:val>
        </c:ser>
        <c:ser>
          <c:idx val="29"/>
          <c:order val="29"/>
          <c:tx>
            <c:strRef>
              <c:f>構成比推移!$C$203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構成比推移!$D$203:$O$203</c:f>
              <c:numCache/>
            </c:numRef>
          </c:val>
        </c:ser>
        <c:ser>
          <c:idx val="30"/>
          <c:order val="30"/>
          <c:tx>
            <c:strRef>
              <c:f>構成比推移!$C$204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構成比推移!$D$204:$O$204</c:f>
              <c:numCache/>
            </c:numRef>
          </c:val>
        </c:ser>
        <c:ser>
          <c:idx val="31"/>
          <c:order val="31"/>
          <c:tx>
            <c:strRef>
              <c:f>構成比推移!$C$205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構成比推移!$D$205:$O$205</c:f>
              <c:numCache/>
            </c:numRef>
          </c:val>
        </c:ser>
        <c:ser>
          <c:idx val="32"/>
          <c:order val="32"/>
          <c:tx>
            <c:strRef>
              <c:f>構成比推移!$C$206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構成比推移!$D$206:$O$206</c:f>
              <c:numCache/>
            </c:numRef>
          </c:val>
        </c:ser>
        <c:ser>
          <c:idx val="33"/>
          <c:order val="33"/>
          <c:tx>
            <c:strRef>
              <c:f>構成比推移!$C$207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構成比推移!$D$207:$O$207</c:f>
              <c:numCache/>
            </c:numRef>
          </c:val>
        </c:ser>
        <c:ser>
          <c:idx val="34"/>
          <c:order val="34"/>
          <c:tx>
            <c:strRef>
              <c:f>構成比推移!$C$208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構成比推移!$D$208:$O$208</c:f>
              <c:numCache/>
            </c:numRef>
          </c:val>
        </c:ser>
        <c:ser>
          <c:idx val="35"/>
          <c:order val="35"/>
          <c:tx>
            <c:strRef>
              <c:f>構成比推移!$C$209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構成比推移!$D$209:$O$209</c:f>
              <c:numCache/>
            </c:numRef>
          </c:val>
        </c:ser>
        <c:ser>
          <c:idx val="36"/>
          <c:order val="36"/>
          <c:tx>
            <c:strRef>
              <c:f>構成比推移!$C$210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構成比推移!$D$210:$O$210</c:f>
              <c:numCache/>
            </c:numRef>
          </c:val>
        </c:ser>
        <c:ser>
          <c:idx val="37"/>
          <c:order val="37"/>
          <c:tx>
            <c:strRef>
              <c:f>構成比推移!$C$211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構成比推移!$D$211:$O$211</c:f>
              <c:numCache/>
            </c:numRef>
          </c:val>
        </c:ser>
        <c:ser>
          <c:idx val="38"/>
          <c:order val="38"/>
          <c:tx>
            <c:strRef>
              <c:f>構成比推移!$C$212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構成比推移!$D$212:$O$212</c:f>
              <c:numCache/>
            </c:numRef>
          </c:val>
        </c:ser>
        <c:ser>
          <c:idx val="39"/>
          <c:order val="39"/>
          <c:tx>
            <c:strRef>
              <c:f>構成比推移!$C$213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構成比推移!$D$213:$O$213</c:f>
              <c:numCache/>
            </c:numRef>
          </c:val>
        </c:ser>
        <c:ser>
          <c:idx val="40"/>
          <c:order val="40"/>
          <c:tx>
            <c:strRef>
              <c:f>構成比推移!$C$214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構成比推移!$D$214:$O$214</c:f>
              <c:numCache/>
            </c:numRef>
          </c:val>
        </c:ser>
        <c:ser>
          <c:idx val="41"/>
          <c:order val="41"/>
          <c:tx>
            <c:strRef>
              <c:f>構成比推移!$C$215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構成比推移!$D$215:$O$215</c:f>
              <c:numCache/>
            </c:numRef>
          </c:val>
        </c:ser>
        <c:ser>
          <c:idx val="42"/>
          <c:order val="42"/>
          <c:tx>
            <c:strRef>
              <c:f>構成比推移!$C$216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構成比推移!$D$216:$O$216</c:f>
              <c:numCache/>
            </c:numRef>
          </c:val>
        </c:ser>
        <c:ser>
          <c:idx val="43"/>
          <c:order val="43"/>
          <c:tx>
            <c:strRef>
              <c:f>構成比推移!$C$217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構成比推移!$D$217:$O$217</c:f>
              <c:numCache/>
            </c:numRef>
          </c:val>
        </c:ser>
        <c:ser>
          <c:idx val="44"/>
          <c:order val="44"/>
          <c:tx>
            <c:strRef>
              <c:f>構成比推移!$C$218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構成比推移!$D$218:$O$218</c:f>
              <c:numCache/>
            </c:numRef>
          </c:val>
        </c:ser>
        <c:ser>
          <c:idx val="45"/>
          <c:order val="45"/>
          <c:tx>
            <c:strRef>
              <c:f>構成比推移!$C$219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構成比推移!$D$219:$O$219</c:f>
              <c:numCache/>
            </c:numRef>
          </c:val>
        </c:ser>
        <c:ser>
          <c:idx val="46"/>
          <c:order val="46"/>
          <c:tx>
            <c:strRef>
              <c:f>構成比推移!$C$220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構成比推移!$D$220:$O$220</c:f>
              <c:numCache/>
            </c:numRef>
          </c:val>
        </c:ser>
        <c:ser>
          <c:idx val="47"/>
          <c:order val="47"/>
          <c:tx>
            <c:strRef>
              <c:f>構成比推移!$C$221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構成比推移!$D$221:$O$221</c:f>
              <c:numCache/>
            </c:numRef>
          </c:val>
        </c:ser>
        <c:ser>
          <c:idx val="48"/>
          <c:order val="48"/>
          <c:tx>
            <c:strRef>
              <c:f>構成比推移!$C$222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構成比推移!$D$222:$O$222</c:f>
              <c:numCache/>
            </c:numRef>
          </c:val>
        </c:ser>
        <c:ser>
          <c:idx val="49"/>
          <c:order val="49"/>
          <c:tx>
            <c:strRef>
              <c:f>構成比推移!$C$223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構成比推移!$D$223:$O$223</c:f>
              <c:numCache/>
            </c:numRef>
          </c:val>
        </c:ser>
        <c:gapWidth val="30"/>
        <c:overlap val="100"/>
        <c:serLines>
          <c:spPr>
            <a:ln w="3175">
              <a:solidFill>
                <a:srgbClr val="000000"/>
              </a:solidFill>
            </a:ln>
          </c:spPr>
        </c:serLines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1"/>
            </a:pPr>
            <a:endParaRPr sz="1000" b="1"/>
          </a:p>
        </c:txPr>
        <c:crossAx val="1"/>
        <c:crossesAt val="0"/>
        <c:auto val="1"/>
        <c:lblAlgn val="ctr"/>
        <c:lblOffset val="100"/>
        <c:tickLblSkip val="1"/>
      </c:cat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;&quot;▲ &quot;#,##0" sourceLinked="0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/>
            </a:pPr>
            <a:endParaRPr sz="1000"/>
          </a:p>
        </c:txPr>
        <c:crossAx val="0"/>
        <c:crosses val="autoZero"/>
        <c:crossBetween val="between"/>
        <c:majorUnit val="10"/>
        <c:minorUnit val="2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94431818181818183"/>
          <c:y val="0.015309231225834337"/>
          <c:w val="0.048863636363636366"/>
          <c:h val="0.9598481821459393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/>
          </a:pPr>
          <a:endParaRPr sz="675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1150">
          <a:solidFill>
            <a:srgbClr val="000000"/>
          </a:solidFill>
        </a:defRPr>
      </a:pPr>
      <a:endParaRPr sz="1150">
        <a:solidFill>
          <a:srgbClr val="000000"/>
        </a:solidFill>
      </a:endParaRPr>
    </a:p>
  </c:txPr>
  <c:printSettings>
    <c:pageMargins l="0.75" r="0.75" t="1" b="1" header="0.512" footer="0.512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150" b="0"/>
              <a:t> </a:t>
            </a:r>
          </a:p>
        </c:rich>
      </c:tx>
      <c:layout>
        <c:manualLayout>
          <c:xMode val="edge"/>
          <c:yMode val="edge"/>
          <c:x val="0.49879129734085415"/>
          <c:y val="0.030567685589519649"/>
        </c:manualLayout>
      </c:layout>
      <c:overlay val="0"/>
      <c:spPr>
        <a:noFill/>
        <a:ln w="25400">
          <a:noFill/>
        </a:ln>
      </c:spPr>
    </c:title>
    <c:plotArea>
      <c:layout>
        <c:manualLayout>
          <c:xMode val="edge"/>
          <c:yMode val="edge"/>
          <c:x val="0.027649310198381006"/>
          <c:y val="0.015309231225834337"/>
          <c:w val="0.88939299149946738"/>
          <c:h val="0.95984818214593937"/>
        </c:manualLayout>
      </c:layout>
      <c:lineChart>
        <c:grouping val="standard"/>
        <c:varyColors val="0"/>
        <c:ser>
          <c:idx val="0"/>
          <c:order val="0"/>
          <c:tx>
            <c:strRef>
              <c:f>平均売価推移!$C$34</c:f>
              <c:strCache/>
            </c:strRef>
          </c:tx>
          <c:spPr>
            <a:ln w="25400">
              <a:solidFill>
                <a:srgbClr val="000080"/>
              </a:solidFill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平均売価推移!$D$34:$O$34</c:f>
              <c:numCache/>
            </c:numRef>
          </c:val>
          <c:smooth val="0"/>
        </c:ser>
        <c:ser>
          <c:idx val="1"/>
          <c:order val="1"/>
          <c:tx>
            <c:strRef>
              <c:f>平均売価推移!$C$35</c:f>
              <c:strCache/>
            </c:strRef>
          </c:tx>
          <c:spPr>
            <a:ln w="25400">
              <a:solidFill>
                <a:srgbClr val="FF00FF"/>
              </a:solidFill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平均売価推移!$D$35:$O$35</c:f>
              <c:numCache/>
            </c:numRef>
          </c:val>
          <c:smooth val="0"/>
        </c:ser>
        <c:ser>
          <c:idx val="2"/>
          <c:order val="2"/>
          <c:tx>
            <c:strRef>
              <c:f>平均売価推移!$C$36</c:f>
              <c:strCache/>
            </c:strRef>
          </c:tx>
          <c:spPr>
            <a:ln w="25400">
              <a:solidFill>
                <a:srgbClr val="FFFF00"/>
              </a:solidFill>
            </a:ln>
          </c:spPr>
          <c:marker>
            <c:symbol val="triangle"/>
            <c:size val="7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平均売価推移!$D$36:$O$36</c:f>
              <c:numCache/>
            </c:numRef>
          </c:val>
          <c:smooth val="0"/>
        </c:ser>
        <c:ser>
          <c:idx val="3"/>
          <c:order val="3"/>
          <c:tx>
            <c:strRef>
              <c:f>平均売価推移!$C$37</c:f>
              <c:strCache/>
            </c:strRef>
          </c:tx>
          <c:spPr>
            <a:ln w="25400">
              <a:solidFill>
                <a:srgbClr val="00FFFF"/>
              </a:solidFill>
            </a:ln>
          </c:spPr>
          <c:marker>
            <c:symbol val="x"/>
            <c:size val="7"/>
            <c:spPr>
              <a:noFill/>
              <a:ln>
                <a:solidFill>
                  <a:srgbClr val="00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平均売価推移!$D$37:$O$37</c:f>
              <c:numCache/>
            </c:numRef>
          </c:val>
          <c:smooth val="0"/>
        </c:ser>
        <c:ser>
          <c:idx val="4"/>
          <c:order val="4"/>
          <c:tx>
            <c:strRef>
              <c:f>平均売価推移!$C$38</c:f>
              <c:strCache/>
            </c:strRef>
          </c:tx>
          <c:spPr>
            <a:ln w="25400">
              <a:solidFill>
                <a:srgbClr val="800080"/>
              </a:solidFill>
            </a:ln>
          </c:spPr>
          <c:marker>
            <c:symbol val="star"/>
            <c:size val="7"/>
            <c:spPr>
              <a:noFill/>
              <a:ln>
                <a:solidFill>
                  <a:srgbClr val="8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平均売価推移!$D$38:$O$38</c:f>
              <c:numCache/>
            </c:numRef>
          </c:val>
          <c:smooth val="0"/>
        </c:ser>
        <c:ser>
          <c:idx val="5"/>
          <c:order val="5"/>
          <c:tx>
            <c:strRef>
              <c:f>平均売価推移!$C$39</c:f>
              <c:strCache/>
            </c:strRef>
          </c:tx>
          <c:spPr>
            <a:ln w="25400">
              <a:solidFill>
                <a:srgbClr val="800000"/>
              </a:solidFill>
            </a:ln>
          </c:spPr>
          <c:marker>
            <c:symbol val="circle"/>
            <c:size val="7"/>
            <c:spPr>
              <a:solidFill>
                <a:srgbClr val="800000"/>
              </a:solidFill>
              <a:ln>
                <a:solidFill>
                  <a:srgbClr val="80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平均売価推移!$D$39:$O$39</c:f>
              <c:numCache/>
            </c:numRef>
          </c:val>
          <c:smooth val="0"/>
        </c:ser>
        <c:ser>
          <c:idx val="6"/>
          <c:order val="6"/>
          <c:tx>
            <c:strRef>
              <c:f>平均売価推移!$C$40</c:f>
              <c:strCache/>
            </c:strRef>
          </c:tx>
          <c:spPr>
            <a:ln w="25400">
              <a:solidFill>
                <a:srgbClr val="008080"/>
              </a:solidFill>
            </a:ln>
          </c:spPr>
          <c:marker>
            <c:symbol val="plus"/>
            <c:size val="7"/>
            <c:spPr>
              <a:noFill/>
              <a:ln>
                <a:solidFill>
                  <a:srgbClr val="008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平均売価推移!$D$40:$O$40</c:f>
              <c:numCache/>
            </c:numRef>
          </c:val>
          <c:smooth val="0"/>
        </c:ser>
        <c:ser>
          <c:idx val="7"/>
          <c:order val="7"/>
          <c:tx>
            <c:strRef>
              <c:f>平均売価推移!$C$41</c:f>
              <c:strCache/>
            </c:strRef>
          </c:tx>
          <c:spPr>
            <a:ln w="25400">
              <a:solidFill>
                <a:srgbClr val="0000FF"/>
              </a:solidFill>
            </a:ln>
          </c:spPr>
          <c:marker>
            <c:symbol val="dot"/>
            <c:size val="7"/>
            <c:spPr>
              <a:noFill/>
              <a:ln>
                <a:solidFill>
                  <a:srgbClr val="00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平均売価推移!$D$41:$O$41</c:f>
              <c:numCache/>
            </c:numRef>
          </c:val>
          <c:smooth val="0"/>
        </c:ser>
        <c:ser>
          <c:idx val="8"/>
          <c:order val="8"/>
          <c:tx>
            <c:strRef>
              <c:f>平均売価推移!$C$42</c:f>
              <c:strCache/>
            </c:strRef>
          </c:tx>
          <c:spPr>
            <a:ln w="25400">
              <a:solidFill>
                <a:srgbClr val="00CCFF"/>
              </a:solidFill>
            </a:ln>
          </c:spPr>
          <c:marker>
            <c:symbol val="dash"/>
            <c:size val="7"/>
            <c:spPr>
              <a:noFill/>
              <a:ln>
                <a:solidFill>
                  <a:srgbClr val="00CC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平均売価推移!$D$42:$O$42</c:f>
              <c:numCache/>
            </c:numRef>
          </c:val>
          <c:smooth val="0"/>
        </c:ser>
        <c:ser>
          <c:idx val="9"/>
          <c:order val="9"/>
          <c:tx>
            <c:strRef>
              <c:f>平均売価推移!$C$43</c:f>
              <c:strCache/>
            </c:strRef>
          </c:tx>
          <c:spPr>
            <a:ln w="12700">
              <a:solidFill>
                <a:srgbClr val="CCFFFF"/>
              </a:solidFill>
            </a:ln>
          </c:spPr>
          <c:marker>
            <c:symbol val="diamond"/>
            <c:size val="5"/>
            <c:spPr>
              <a:gradFill rotWithShape="0">
                <a:gsLst>
                  <a:gs pos="0">
                    <a:srgbClr val="FF00FF"/>
                  </a:gs>
                  <a:gs pos="50000">
                    <a:srgbClr val="FFFFFF"/>
                  </a:gs>
                  <a:gs pos="100000">
                    <a:srgbClr val="FF00FF"/>
                  </a:gs>
                </a:gsLst>
                <a:lin ang="0" scaled="1"/>
              </a:gradFill>
              <a:ln>
                <a:solidFill>
                  <a:srgbClr val="CC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平均売価推移!$D$43:$O$43</c:f>
              <c:numCache/>
            </c:numRef>
          </c:val>
          <c:smooth val="0"/>
        </c:ser>
        <c:ser>
          <c:idx val="10"/>
          <c:order val="10"/>
          <c:tx>
            <c:strRef>
              <c:f>平均売価推移!$C$44</c:f>
              <c:strCache/>
            </c:strRef>
          </c:tx>
          <c:spPr>
            <a:ln w="25400">
              <a:solidFill>
                <a:srgbClr val="CCFFCC"/>
              </a:solidFill>
            </a:ln>
          </c:spPr>
          <c:marker>
            <c:symbol val="square"/>
            <c:size val="7"/>
            <c:spPr>
              <a:solidFill>
                <a:srgbClr val="CCFFCC"/>
              </a:solidFill>
              <a:ln>
                <a:solidFill>
                  <a:srgbClr val="CCFF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平均売価推移!$D$44:$O$44</c:f>
              <c:numCache/>
            </c:numRef>
          </c:val>
          <c:smooth val="0"/>
        </c:ser>
        <c:ser>
          <c:idx val="11"/>
          <c:order val="11"/>
          <c:tx>
            <c:strRef>
              <c:f>平均売価推移!$C$45</c:f>
              <c:strCache/>
            </c:strRef>
          </c:tx>
          <c:spPr>
            <a:ln w="25400">
              <a:solidFill>
                <a:srgbClr val="FFFF99"/>
              </a:solidFill>
            </a:ln>
          </c:spPr>
          <c:marker>
            <c:symbol val="triangle"/>
            <c:size val="7"/>
            <c:spPr>
              <a:solidFill>
                <a:srgbClr val="FFFF99"/>
              </a:solidFill>
              <a:ln>
                <a:solidFill>
                  <a:srgbClr val="FFFF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平均売価推移!$D$45:$O$45</c:f>
              <c:numCache/>
            </c:numRef>
          </c:val>
          <c:smooth val="0"/>
        </c:ser>
        <c:ser>
          <c:idx val="12"/>
          <c:order val="12"/>
          <c:tx>
            <c:strRef>
              <c:f>平均売価推移!$C$46</c:f>
              <c:strCache/>
            </c:strRef>
          </c:tx>
          <c:spPr>
            <a:ln w="25400">
              <a:solidFill>
                <a:srgbClr val="99CCFF"/>
              </a:solidFill>
            </a:ln>
          </c:spPr>
          <c:marker>
            <c:symbol val="x"/>
            <c:size val="7"/>
            <c:spPr>
              <a:noFill/>
              <a:ln>
                <a:solidFill>
                  <a:srgbClr val="99CC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平均売価推移!$D$46:$O$46</c:f>
              <c:numCache/>
            </c:numRef>
          </c:val>
          <c:smooth val="0"/>
        </c:ser>
        <c:ser>
          <c:idx val="13"/>
          <c:order val="13"/>
          <c:tx>
            <c:strRef>
              <c:f>平均売価推移!$C$47</c:f>
              <c:strCache/>
            </c:strRef>
          </c:tx>
          <c:spPr>
            <a:ln w="25400">
              <a:solidFill>
                <a:srgbClr val="FF99CC"/>
              </a:solidFill>
            </a:ln>
          </c:spPr>
          <c:marker>
            <c:symbol val="star"/>
            <c:size val="7"/>
            <c:spPr>
              <a:noFill/>
              <a:ln>
                <a:solidFill>
                  <a:srgbClr val="FF99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平均売価推移!$D$47:$O$47</c:f>
              <c:numCache/>
            </c:numRef>
          </c:val>
          <c:smooth val="0"/>
        </c:ser>
        <c:ser>
          <c:idx val="14"/>
          <c:order val="14"/>
          <c:tx>
            <c:strRef>
              <c:f>平均売価推移!$C$48</c:f>
              <c:strCache/>
            </c:strRef>
          </c:tx>
          <c:spPr>
            <a:ln w="25400">
              <a:solidFill>
                <a:srgbClr val="CC99FF"/>
              </a:solidFill>
            </a:ln>
          </c:spPr>
          <c:marker>
            <c:symbol val="circle"/>
            <c:size val="7"/>
            <c:spPr>
              <a:solidFill>
                <a:srgbClr val="CC99FF"/>
              </a:solidFill>
              <a:ln>
                <a:solidFill>
                  <a:srgbClr val="CC99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平均売価推移!$D$48:$O$48</c:f>
              <c:numCache/>
            </c:numRef>
          </c:val>
          <c:smooth val="0"/>
        </c:ser>
        <c:ser>
          <c:idx val="15"/>
          <c:order val="15"/>
          <c:tx>
            <c:strRef>
              <c:f>平均売価推移!$C$49</c:f>
              <c:strCache/>
            </c:strRef>
          </c:tx>
          <c:spPr>
            <a:ln w="25400">
              <a:solidFill>
                <a:srgbClr val="FFCC99"/>
              </a:solidFill>
            </a:ln>
          </c:spPr>
          <c:marker>
            <c:symbol val="plus"/>
            <c:size val="7"/>
            <c:spPr>
              <a:noFill/>
              <a:ln>
                <a:solidFill>
                  <a:srgbClr val="FFCC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平均売価推移!$D$49:$O$49</c:f>
              <c:numCache/>
            </c:numRef>
          </c:val>
          <c:smooth val="0"/>
        </c:ser>
        <c:ser>
          <c:idx val="16"/>
          <c:order val="16"/>
          <c:tx>
            <c:strRef>
              <c:f>平均売価推移!$C$50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ot"/>
            <c:size val="7"/>
            <c:spPr>
              <a:noFill/>
              <a:ln>
                <a:solidFill>
                  <a:srgbClr val="3366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平均売価推移!$D$50:$O$50</c:f>
              <c:numCache/>
            </c:numRef>
          </c:val>
          <c:smooth val="0"/>
        </c:ser>
        <c:ser>
          <c:idx val="17"/>
          <c:order val="17"/>
          <c:tx>
            <c:strRef>
              <c:f>平均売価推移!$C$51</c:f>
              <c:strCache/>
            </c:strRef>
          </c:tx>
          <c:spPr>
            <a:ln w="25400">
              <a:solidFill>
                <a:srgbClr val="33CCCC"/>
              </a:solidFill>
            </a:ln>
          </c:spPr>
          <c:marker>
            <c:symbol val="dash"/>
            <c:size val="7"/>
            <c:spPr>
              <a:noFill/>
              <a:ln>
                <a:solidFill>
                  <a:srgbClr val="33CC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平均売価推移!$D$51:$O$51</c:f>
              <c:numCache/>
            </c:numRef>
          </c:val>
          <c:smooth val="0"/>
        </c:ser>
        <c:ser>
          <c:idx val="18"/>
          <c:order val="18"/>
          <c:tx>
            <c:strRef>
              <c:f>平均売価推移!$C$52</c:f>
              <c:strCache/>
            </c:strRef>
          </c:tx>
          <c:spPr>
            <a:ln w="25400">
              <a:solidFill>
                <a:srgbClr val="99CC00"/>
              </a:solidFill>
            </a:ln>
          </c:spPr>
          <c:marker>
            <c:symbol val="diamond"/>
            <c:size val="7"/>
            <c:spPr>
              <a:solidFill>
                <a:srgbClr val="99CC00"/>
              </a:solidFill>
              <a:ln>
                <a:solidFill>
                  <a:srgbClr val="99CC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平均売価推移!$D$52:$O$52</c:f>
              <c:numCache/>
            </c:numRef>
          </c:val>
          <c:smooth val="0"/>
        </c:ser>
        <c:ser>
          <c:idx val="19"/>
          <c:order val="19"/>
          <c:tx>
            <c:strRef>
              <c:f>平均売価推移!$C$53</c:f>
              <c:strCache/>
            </c:strRef>
          </c:tx>
          <c:spPr>
            <a:ln w="25400">
              <a:solidFill>
                <a:srgbClr val="FFCC00"/>
              </a:solidFill>
            </a:ln>
          </c:spPr>
          <c:marker>
            <c:symbol val="square"/>
            <c:size val="7"/>
            <c:spPr>
              <a:solidFill>
                <a:srgbClr val="FFCC00"/>
              </a:solidFill>
              <a:ln>
                <a:solidFill>
                  <a:srgbClr val="FFCC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平均売価推移!$D$53:$O$53</c:f>
              <c:numCache/>
            </c:numRef>
          </c:val>
          <c:smooth val="0"/>
        </c:ser>
        <c:ser>
          <c:idx val="20"/>
          <c:order val="20"/>
          <c:tx>
            <c:strRef>
              <c:f>平均売価推移!$C$54</c:f>
              <c:strCache/>
            </c:strRef>
          </c:tx>
          <c:spPr>
            <a:ln w="25400">
              <a:solidFill>
                <a:srgbClr val="FF9900"/>
              </a:solidFill>
            </a:ln>
          </c:spPr>
          <c:marker>
            <c:symbol val="triangle"/>
            <c:size val="7"/>
            <c:spPr>
              <a:solidFill>
                <a:srgbClr val="FF9900"/>
              </a:solidFill>
              <a:ln>
                <a:solidFill>
                  <a:srgbClr val="FF99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平均売価推移!$D$54:$O$54</c:f>
              <c:numCache/>
            </c:numRef>
          </c:val>
          <c:smooth val="0"/>
        </c:ser>
        <c:ser>
          <c:idx val="21"/>
          <c:order val="21"/>
          <c:tx>
            <c:strRef>
              <c:f>平均売価推移!$C$55</c:f>
              <c:strCache/>
            </c:strRef>
          </c:tx>
          <c:spPr>
            <a:ln w="25400">
              <a:solidFill>
                <a:srgbClr val="FF6600"/>
              </a:solidFill>
            </a:ln>
          </c:spPr>
          <c:marker>
            <c:symbol val="x"/>
            <c:size val="7"/>
            <c:spPr>
              <a:noFill/>
              <a:ln>
                <a:solidFill>
                  <a:srgbClr val="FF66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平均売価推移!$D$55:$O$55</c:f>
              <c:numCache/>
            </c:numRef>
          </c:val>
          <c:smooth val="0"/>
        </c:ser>
        <c:ser>
          <c:idx val="22"/>
          <c:order val="22"/>
          <c:tx>
            <c:strRef>
              <c:f>平均売価推移!$C$56</c:f>
              <c:strCache/>
            </c:strRef>
          </c:tx>
          <c:spPr>
            <a:ln w="25400">
              <a:solidFill>
                <a:srgbClr val="666699"/>
              </a:solidFill>
            </a:ln>
          </c:spPr>
          <c:marker>
            <c:symbol val="star"/>
            <c:size val="7"/>
            <c:spPr>
              <a:noFill/>
              <a:ln>
                <a:solidFill>
                  <a:srgbClr val="6666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平均売価推移!$D$56:$O$56</c:f>
              <c:numCache/>
            </c:numRef>
          </c:val>
          <c:smooth val="0"/>
        </c:ser>
        <c:ser>
          <c:idx val="23"/>
          <c:order val="23"/>
          <c:tx>
            <c:strRef>
              <c:f>平均売価推移!$C$57</c:f>
              <c:strCache/>
            </c:strRef>
          </c:tx>
          <c:spPr>
            <a:ln w="25400">
              <a:solidFill>
                <a:srgbClr val="969696"/>
              </a:solidFill>
            </a:ln>
          </c:spPr>
          <c:marker>
            <c:symbol val="circle"/>
            <c:size val="7"/>
            <c:spPr>
              <a:solidFill>
                <a:srgbClr val="969696"/>
              </a:solidFill>
              <a:ln>
                <a:solidFill>
                  <a:srgbClr val="96969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平均売価推移!$D$57:$O$57</c:f>
              <c:numCache/>
            </c:numRef>
          </c:val>
          <c:smooth val="0"/>
        </c:ser>
        <c:ser>
          <c:idx val="24"/>
          <c:order val="24"/>
          <c:tx>
            <c:strRef>
              <c:f>平均売価推移!$C$58</c:f>
              <c:strCache/>
            </c:strRef>
          </c:tx>
          <c:spPr>
            <a:ln w="25400">
              <a:solidFill>
                <a:srgbClr val="003366"/>
              </a:solidFill>
            </a:ln>
          </c:spPr>
          <c:marker>
            <c:symbol val="plus"/>
            <c:size val="7"/>
            <c:spPr>
              <a:noFill/>
              <a:ln>
                <a:solidFill>
                  <a:srgbClr val="0033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平均売価推移!$D$58:$O$58</c:f>
              <c:numCache/>
            </c:numRef>
          </c:val>
          <c:smooth val="0"/>
        </c:ser>
        <c:ser>
          <c:idx val="25"/>
          <c:order val="25"/>
          <c:tx>
            <c:strRef>
              <c:f>平均売価推移!$C$59</c:f>
              <c:strCache/>
            </c:strRef>
          </c:tx>
          <c:spPr>
            <a:ln w="25400">
              <a:solidFill>
                <a:srgbClr val="339966"/>
              </a:solidFill>
            </a:ln>
          </c:spPr>
          <c:marker>
            <c:symbol val="dot"/>
            <c:size val="7"/>
            <c:spPr>
              <a:noFill/>
              <a:ln>
                <a:solidFill>
                  <a:srgbClr val="3399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平均売価推移!$D$59:$O$59</c:f>
              <c:numCache/>
            </c:numRef>
          </c:val>
          <c:smooth val="0"/>
        </c:ser>
        <c:ser>
          <c:idx val="26"/>
          <c:order val="26"/>
          <c:tx>
            <c:strRef>
              <c:f>平均売価推移!$C$60</c:f>
              <c:strCache/>
            </c:strRef>
          </c:tx>
          <c:spPr>
            <a:ln w="25400">
              <a:solidFill>
                <a:srgbClr val="003300"/>
              </a:solidFill>
            </a:ln>
          </c:spPr>
          <c:marker>
            <c:symbol val="dash"/>
            <c:size val="7"/>
            <c:spPr>
              <a:noFill/>
              <a:ln>
                <a:solidFill>
                  <a:srgbClr val="0033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平均売価推移!$D$60:$O$60</c:f>
              <c:numCache/>
            </c:numRef>
          </c:val>
          <c:smooth val="0"/>
        </c:ser>
        <c:ser>
          <c:idx val="27"/>
          <c:order val="27"/>
          <c:tx>
            <c:strRef>
              <c:f>平均売価推移!$C$61</c:f>
              <c:strCache/>
            </c:strRef>
          </c:tx>
          <c:spPr>
            <a:ln w="25400">
              <a:solidFill>
                <a:srgbClr val="333300"/>
              </a:solidFill>
            </a:ln>
          </c:spPr>
          <c:marker>
            <c:symbol val="diamond"/>
            <c:size val="7"/>
            <c:spPr>
              <a:solidFill>
                <a:srgbClr val="333300"/>
              </a:solidFill>
              <a:ln>
                <a:solidFill>
                  <a:srgbClr val="3333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平均売価推移!$D$61:$O$61</c:f>
              <c:numCache/>
            </c:numRef>
          </c:val>
          <c:smooth val="0"/>
        </c:ser>
        <c:ser>
          <c:idx val="28"/>
          <c:order val="28"/>
          <c:tx>
            <c:strRef>
              <c:f>平均売価推移!$C$62</c:f>
              <c:strCache/>
            </c:strRef>
          </c:tx>
          <c:spPr>
            <a:ln w="25400">
              <a:solidFill>
                <a:srgbClr val="993300"/>
              </a:solidFill>
            </a:ln>
          </c:spPr>
          <c:marker>
            <c:symbol val="square"/>
            <c:size val="7"/>
            <c:spPr>
              <a:solidFill>
                <a:srgbClr val="993300"/>
              </a:solidFill>
              <a:ln>
                <a:solidFill>
                  <a:srgbClr val="9933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平均売価推移!$D$62:$O$62</c:f>
              <c:numCache/>
            </c:numRef>
          </c:val>
          <c:smooth val="0"/>
        </c:ser>
        <c:ser>
          <c:idx val="29"/>
          <c:order val="29"/>
          <c:tx>
            <c:strRef>
              <c:f>平均売価推移!$C$63</c:f>
              <c:strCache/>
            </c:strRef>
          </c:tx>
          <c:spPr>
            <a:ln w="25400">
              <a:solidFill>
                <a:srgbClr val="993366"/>
              </a:solidFill>
            </a:ln>
          </c:spPr>
          <c:marker>
            <c:symbol val="triangle"/>
            <c:size val="7"/>
            <c:spPr>
              <a:solidFill>
                <a:srgbClr val="993366"/>
              </a:solidFill>
              <a:ln>
                <a:solidFill>
                  <a:srgbClr val="9933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平均売価推移!$D$63:$O$63</c:f>
              <c:numCache/>
            </c:numRef>
          </c:val>
          <c:smooth val="0"/>
        </c:ser>
        <c:ser>
          <c:idx val="30"/>
          <c:order val="30"/>
          <c:tx>
            <c:strRef>
              <c:f>平均売価推移!$C$64</c:f>
              <c:strCache/>
            </c:strRef>
          </c:tx>
          <c:spPr>
            <a:ln w="12700">
              <a:solidFill>
                <a:srgbClr val="333399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3333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平均売価推移!$D$64:$O$64</c:f>
              <c:numCache/>
            </c:numRef>
          </c:val>
          <c:smooth val="0"/>
        </c:ser>
        <c:ser>
          <c:idx val="31"/>
          <c:order val="31"/>
          <c:tx>
            <c:strRef>
              <c:f>平均売価推移!$C$65</c:f>
              <c:strCache/>
            </c:strRef>
          </c:tx>
          <c:spPr>
            <a:ln w="12700">
              <a:solidFill>
                <a:srgbClr val="000000"/>
              </a:solidFill>
            </a:ln>
          </c:spPr>
          <c:marker>
            <c:symbol val="star"/>
            <c:size val="5"/>
            <c:spPr>
              <a:noFill/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平均売価推移!$D$65:$O$65</c:f>
              <c:numCache/>
            </c:numRef>
          </c:val>
          <c:smooth val="0"/>
        </c:ser>
        <c:ser>
          <c:idx val="32"/>
          <c:order val="32"/>
          <c:tx>
            <c:strRef>
              <c:f>平均売価推移!$C$66</c:f>
              <c:strCache/>
            </c:strRef>
          </c:tx>
          <c:spPr>
            <a:ln w="12700">
              <a:solidFill>
                <a:srgbClr val="FFFFFF"/>
              </a:solidFill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FF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平均売価推移!$D$66:$O$66</c:f>
              <c:numCache/>
            </c:numRef>
          </c:val>
          <c:smooth val="0"/>
        </c:ser>
        <c:ser>
          <c:idx val="33"/>
          <c:order val="33"/>
          <c:tx>
            <c:strRef>
              <c:f>平均売価推移!$C$67</c:f>
              <c:strCache/>
            </c:strRef>
          </c:tx>
          <c:spPr>
            <a:ln w="12700">
              <a:solidFill>
                <a:srgbClr val="FF0000"/>
              </a:solidFill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平均売価推移!$D$67:$O$67</c:f>
              <c:numCache/>
            </c:numRef>
          </c:val>
          <c:smooth val="0"/>
        </c:ser>
        <c:ser>
          <c:idx val="34"/>
          <c:order val="34"/>
          <c:tx>
            <c:strRef>
              <c:f>平均売価推移!$C$68</c:f>
              <c:strCache/>
            </c:strRef>
          </c:tx>
          <c:spPr>
            <a:ln w="12700">
              <a:solidFill>
                <a:srgbClr val="00FF00"/>
              </a:solidFill>
            </a:ln>
          </c:spPr>
          <c:marker>
            <c:symbol val="dot"/>
            <c:size val="5"/>
            <c:spPr>
              <a:noFill/>
              <a:ln>
                <a:solidFill>
                  <a:srgbClr val="00FF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平均売価推移!$D$68:$O$68</c:f>
              <c:numCache/>
            </c:numRef>
          </c:val>
          <c:smooth val="0"/>
        </c:ser>
        <c:ser>
          <c:idx val="35"/>
          <c:order val="35"/>
          <c:tx>
            <c:strRef>
              <c:f>平均売価推移!$C$69</c:f>
              <c:strCache/>
            </c:strRef>
          </c:tx>
          <c:spPr>
            <a:ln w="12700">
              <a:solidFill>
                <a:srgbClr val="0000FF"/>
              </a:solidFill>
            </a:ln>
          </c:spPr>
          <c:marker>
            <c:symbol val="dash"/>
            <c:size val="5"/>
            <c:spPr>
              <a:noFill/>
              <a:ln>
                <a:solidFill>
                  <a:srgbClr val="00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平均売価推移!$D$69:$O$69</c:f>
              <c:numCache/>
            </c:numRef>
          </c:val>
          <c:smooth val="0"/>
        </c:ser>
        <c:ser>
          <c:idx val="36"/>
          <c:order val="36"/>
          <c:tx>
            <c:strRef>
              <c:f>平均売価推移!$C$70</c:f>
              <c:strCache/>
            </c:strRef>
          </c:tx>
          <c:spPr>
            <a:ln w="12700">
              <a:solidFill>
                <a:srgbClr val="FFFF00"/>
              </a:solidFill>
            </a:ln>
          </c:spPr>
          <c:marker>
            <c:symbol val="diamond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平均売価推移!$D$70:$O$70</c:f>
              <c:numCache/>
            </c:numRef>
          </c:val>
          <c:smooth val="0"/>
        </c:ser>
        <c:ser>
          <c:idx val="37"/>
          <c:order val="37"/>
          <c:tx>
            <c:strRef>
              <c:f>平均売価推移!$C$71</c:f>
              <c:strCache/>
            </c:strRef>
          </c:tx>
          <c:spPr>
            <a:ln w="12700">
              <a:solidFill>
                <a:srgbClr val="FF00FF"/>
              </a:solidFill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平均売価推移!$D$71:$O$71</c:f>
              <c:numCache/>
            </c:numRef>
          </c:val>
          <c:smooth val="0"/>
        </c:ser>
        <c:ser>
          <c:idx val="38"/>
          <c:order val="38"/>
          <c:tx>
            <c:strRef>
              <c:f>平均売価推移!$C$72</c:f>
              <c:strCache/>
            </c:strRef>
          </c:tx>
          <c:spPr>
            <a:ln w="12700">
              <a:solidFill>
                <a:srgbClr val="00FFFF"/>
              </a:solidFill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平均売価推移!$D$72:$O$72</c:f>
              <c:numCache/>
            </c:numRef>
          </c:val>
          <c:smooth val="0"/>
        </c:ser>
        <c:ser>
          <c:idx val="39"/>
          <c:order val="39"/>
          <c:tx>
            <c:strRef>
              <c:f>平均売価推移!$C$73</c:f>
              <c:strCache/>
            </c:strRef>
          </c:tx>
          <c:spPr>
            <a:ln w="12700">
              <a:solidFill>
                <a:srgbClr val="800000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80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平均売価推移!$D$73:$O$73</c:f>
              <c:numCache/>
            </c:numRef>
          </c:val>
          <c:smooth val="0"/>
        </c:ser>
        <c:ser>
          <c:idx val="40"/>
          <c:order val="40"/>
          <c:tx>
            <c:strRef>
              <c:f>平均売価推移!$C$74</c:f>
              <c:strCache/>
            </c:strRef>
          </c:tx>
          <c:spPr>
            <a:ln w="12700">
              <a:solidFill>
                <a:srgbClr val="008000"/>
              </a:solidFill>
            </a:ln>
          </c:spPr>
          <c:marker>
            <c:symbol val="star"/>
            <c:size val="5"/>
            <c:spPr>
              <a:noFill/>
              <a:ln>
                <a:solidFill>
                  <a:srgbClr val="008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平均売価推移!$D$74:$O$74</c:f>
              <c:numCache/>
            </c:numRef>
          </c:val>
          <c:smooth val="0"/>
        </c:ser>
        <c:ser>
          <c:idx val="41"/>
          <c:order val="41"/>
          <c:tx>
            <c:strRef>
              <c:f>平均売価推移!$C$75</c:f>
              <c:strCache/>
            </c:strRef>
          </c:tx>
          <c:spPr>
            <a:ln w="12700">
              <a:solidFill>
                <a:srgbClr val="000080"/>
              </a:solidFill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平均売価推移!$D$75:$O$75</c:f>
              <c:numCache/>
            </c:numRef>
          </c:val>
          <c:smooth val="0"/>
        </c:ser>
        <c:ser>
          <c:idx val="42"/>
          <c:order val="42"/>
          <c:tx>
            <c:strRef>
              <c:f>平均売価推移!$C$76</c:f>
              <c:strCache/>
            </c:strRef>
          </c:tx>
          <c:spPr>
            <a:ln w="12700">
              <a:solidFill>
                <a:srgbClr val="808000"/>
              </a:solidFill>
            </a:ln>
          </c:spPr>
          <c:marker>
            <c:symbol val="plus"/>
            <c:size val="5"/>
            <c:spPr>
              <a:noFill/>
              <a:ln>
                <a:solidFill>
                  <a:srgbClr val="808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平均売価推移!$D$76:$O$76</c:f>
              <c:numCache/>
            </c:numRef>
          </c:val>
          <c:smooth val="0"/>
        </c:ser>
        <c:ser>
          <c:idx val="43"/>
          <c:order val="43"/>
          <c:tx>
            <c:strRef>
              <c:f>平均売価推移!$C$77</c:f>
              <c:strCache/>
            </c:strRef>
          </c:tx>
          <c:spPr>
            <a:ln w="12700">
              <a:solidFill>
                <a:srgbClr val="800080"/>
              </a:solidFill>
            </a:ln>
          </c:spPr>
          <c:marker>
            <c:symbol val="dot"/>
            <c:size val="5"/>
            <c:spPr>
              <a:noFill/>
              <a:ln>
                <a:solidFill>
                  <a:srgbClr val="8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平均売価推移!$D$77:$O$77</c:f>
              <c:numCache/>
            </c:numRef>
          </c:val>
          <c:smooth val="0"/>
        </c:ser>
        <c:ser>
          <c:idx val="44"/>
          <c:order val="44"/>
          <c:tx>
            <c:strRef>
              <c:f>平均売価推移!$C$78</c:f>
              <c:strCache/>
            </c:strRef>
          </c:tx>
          <c:spPr>
            <a:ln w="12700">
              <a:solidFill>
                <a:srgbClr val="008080"/>
              </a:solidFill>
            </a:ln>
          </c:spPr>
          <c:marker>
            <c:symbol val="dash"/>
            <c:size val="5"/>
            <c:spPr>
              <a:noFill/>
              <a:ln>
                <a:solidFill>
                  <a:srgbClr val="008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平均売価推移!$D$78:$O$78</c:f>
              <c:numCache/>
            </c:numRef>
          </c:val>
          <c:smooth val="0"/>
        </c:ser>
        <c:ser>
          <c:idx val="45"/>
          <c:order val="45"/>
          <c:tx>
            <c:strRef>
              <c:f>平均売価推移!$C$79</c:f>
              <c:strCache/>
            </c:strRef>
          </c:tx>
          <c:spPr>
            <a:ln w="12700">
              <a:solidFill>
                <a:srgbClr val="C0C0C0"/>
              </a:solidFill>
            </a:ln>
          </c:spPr>
          <c:marker>
            <c:symbol val="diamond"/>
            <c:size val="5"/>
            <c:spPr>
              <a:solidFill>
                <a:srgbClr val="C0C0C0"/>
              </a:solidFill>
              <a:ln>
                <a:solidFill>
                  <a:srgbClr val="C0C0C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平均売価推移!$D$79:$O$79</c:f>
              <c:numCache/>
            </c:numRef>
          </c:val>
          <c:smooth val="0"/>
        </c:ser>
        <c:ser>
          <c:idx val="46"/>
          <c:order val="46"/>
          <c:tx>
            <c:strRef>
              <c:f>平均売価推移!$C$80</c:f>
              <c:strCache/>
            </c:strRef>
          </c:tx>
          <c:spPr>
            <a:ln w="12700">
              <a:solidFill>
                <a:srgbClr val="808080"/>
              </a:solidFill>
            </a:ln>
          </c:spPr>
          <c:marker>
            <c:symbol val="square"/>
            <c:size val="5"/>
            <c:spPr>
              <a:solidFill>
                <a:srgbClr val="808080"/>
              </a:solidFill>
              <a:ln>
                <a:solidFill>
                  <a:srgbClr val="808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平均売価推移!$D$80:$O$80</c:f>
              <c:numCache/>
            </c:numRef>
          </c:val>
          <c:smooth val="0"/>
        </c:ser>
        <c:ser>
          <c:idx val="47"/>
          <c:order val="47"/>
          <c:tx>
            <c:strRef>
              <c:f>平均売価推移!$C$81</c:f>
              <c:strCache/>
            </c:strRef>
          </c:tx>
          <c:spPr>
            <a:ln w="12700">
              <a:solidFill>
                <a:srgbClr val="9999FF"/>
              </a:solidFill>
            </a:ln>
          </c:spPr>
          <c:marker>
            <c:symbol val="triangle"/>
            <c:size val="5"/>
            <c:spPr>
              <a:solidFill>
                <a:srgbClr val="9999FF"/>
              </a:solidFill>
              <a:ln>
                <a:solidFill>
                  <a:srgbClr val="9999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平均売価推移!$D$81:$O$81</c:f>
              <c:numCache/>
            </c:numRef>
          </c:val>
          <c:smooth val="0"/>
        </c:ser>
        <c:ser>
          <c:idx val="48"/>
          <c:order val="48"/>
          <c:tx>
            <c:strRef>
              <c:f>平均売価推移!$C$82</c:f>
              <c:strCache/>
            </c:strRef>
          </c:tx>
          <c:spPr>
            <a:ln w="12700">
              <a:solidFill>
                <a:srgbClr val="993366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9933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平均売価推移!$D$82:$O$82</c:f>
              <c:numCache/>
            </c:numRef>
          </c:val>
          <c:smooth val="0"/>
        </c:ser>
        <c:ser>
          <c:idx val="49"/>
          <c:order val="49"/>
          <c:tx>
            <c:strRef>
              <c:f>平均売価推移!$C$83</c:f>
              <c:strCache/>
            </c:strRef>
          </c:tx>
          <c:spPr>
            <a:ln w="12700">
              <a:solidFill>
                <a:srgbClr val="FFFFCC"/>
              </a:solidFill>
            </a:ln>
          </c:spPr>
          <c:marker>
            <c:symbol val="star"/>
            <c:size val="5"/>
            <c:spPr>
              <a:noFill/>
              <a:ln>
                <a:solidFill>
                  <a:srgbClr val="FFFF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平均売価推移!$D$83:$O$83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1"/>
            </a:pPr>
            <a:endParaRPr sz="1000" b="1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;&quot;▲ &quot;#,##0" sourceLinked="0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/>
            </a:pPr>
            <a:endParaRPr sz="10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928409090909091"/>
          <c:y val="0.015309231225834337"/>
          <c:w val="0.064772727272727273"/>
          <c:h val="0.9598481821459393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/>
          </a:pPr>
          <a:endParaRPr sz="675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1150">
          <a:solidFill>
            <a:srgbClr val="000000"/>
          </a:solidFill>
        </a:defRPr>
      </a:pPr>
      <a:endParaRPr sz="1150">
        <a:solidFill>
          <a:srgbClr val="000000"/>
        </a:solidFill>
      </a:endParaRPr>
    </a:p>
  </c:txPr>
  <c:printSettings>
    <c:pageMargins l="0.75" r="0.75" t="1" b="1" header="0.512" footer="0.512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150" b="0"/>
              <a:t> </a:t>
            </a:r>
          </a:p>
        </c:rich>
      </c:tx>
      <c:layout>
        <c:manualLayout>
          <c:xMode val="edge"/>
          <c:yMode val="edge"/>
          <c:x val="0.49879129734085415"/>
          <c:y val="0.030567685589519649"/>
        </c:manualLayout>
      </c:layout>
      <c:overlay val="0"/>
      <c:spPr>
        <a:noFill/>
        <a:ln w="25400">
          <a:noFill/>
        </a:ln>
      </c:spPr>
    </c:title>
    <c:plotArea>
      <c:layout>
        <c:manualLayout>
          <c:xMode val="edge"/>
          <c:yMode val="edge"/>
          <c:x val="0.027649310198381006"/>
          <c:y val="0.015309231225834337"/>
          <c:w val="0.88939299149946738"/>
          <c:h val="0.95984818214593937"/>
        </c:manualLayout>
      </c:layout>
      <c:lineChart>
        <c:grouping val="standard"/>
        <c:varyColors val="0"/>
        <c:ser>
          <c:idx val="0"/>
          <c:order val="0"/>
          <c:tx>
            <c:strRef>
              <c:f>平均売価推移!$C$230</c:f>
              <c:strCache/>
            </c:strRef>
          </c:tx>
          <c:spPr>
            <a:ln w="25400">
              <a:solidFill>
                <a:srgbClr val="000080"/>
              </a:solidFill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平均売価推移!$D$230:$O$230</c:f>
              <c:numCache/>
            </c:numRef>
          </c:val>
          <c:smooth val="0"/>
        </c:ser>
        <c:ser>
          <c:idx val="1"/>
          <c:order val="1"/>
          <c:tx>
            <c:strRef>
              <c:f>平均売価推移!$C$231</c:f>
              <c:strCache/>
            </c:strRef>
          </c:tx>
          <c:spPr>
            <a:ln w="25400">
              <a:solidFill>
                <a:srgbClr val="FF00FF"/>
              </a:solidFill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平均売価推移!$D$231:$O$231</c:f>
              <c:numCache/>
            </c:numRef>
          </c:val>
          <c:smooth val="0"/>
        </c:ser>
        <c:ser>
          <c:idx val="2"/>
          <c:order val="2"/>
          <c:tx>
            <c:strRef>
              <c:f>平均売価推移!$C$232</c:f>
              <c:strCache/>
            </c:strRef>
          </c:tx>
          <c:spPr>
            <a:ln w="25400">
              <a:solidFill>
                <a:srgbClr val="FFFF00"/>
              </a:solidFill>
            </a:ln>
          </c:spPr>
          <c:marker>
            <c:symbol val="triangle"/>
            <c:size val="7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平均売価推移!$D$232:$O$232</c:f>
              <c:numCache/>
            </c:numRef>
          </c:val>
          <c:smooth val="0"/>
        </c:ser>
        <c:ser>
          <c:idx val="3"/>
          <c:order val="3"/>
          <c:tx>
            <c:strRef>
              <c:f>平均売価推移!$C$233</c:f>
              <c:strCache/>
            </c:strRef>
          </c:tx>
          <c:spPr>
            <a:ln w="25400">
              <a:solidFill>
                <a:srgbClr val="00FFFF"/>
              </a:solidFill>
            </a:ln>
          </c:spPr>
          <c:marker>
            <c:symbol val="x"/>
            <c:size val="7"/>
            <c:spPr>
              <a:noFill/>
              <a:ln>
                <a:solidFill>
                  <a:srgbClr val="00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平均売価推移!$D$233:$O$233</c:f>
              <c:numCache/>
            </c:numRef>
          </c:val>
          <c:smooth val="0"/>
        </c:ser>
        <c:ser>
          <c:idx val="4"/>
          <c:order val="4"/>
          <c:tx>
            <c:strRef>
              <c:f>平均売価推移!$C$234</c:f>
              <c:strCache/>
            </c:strRef>
          </c:tx>
          <c:spPr>
            <a:ln w="25400">
              <a:solidFill>
                <a:srgbClr val="800080"/>
              </a:solidFill>
            </a:ln>
          </c:spPr>
          <c:marker>
            <c:symbol val="star"/>
            <c:size val="7"/>
            <c:spPr>
              <a:noFill/>
              <a:ln>
                <a:solidFill>
                  <a:srgbClr val="8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平均売価推移!$D$234:$O$234</c:f>
              <c:numCache/>
            </c:numRef>
          </c:val>
          <c:smooth val="0"/>
        </c:ser>
        <c:ser>
          <c:idx val="5"/>
          <c:order val="5"/>
          <c:tx>
            <c:strRef>
              <c:f>平均売価推移!$C$235</c:f>
              <c:strCache/>
            </c:strRef>
          </c:tx>
          <c:spPr>
            <a:ln w="25400">
              <a:solidFill>
                <a:srgbClr val="800000"/>
              </a:solidFill>
            </a:ln>
          </c:spPr>
          <c:marker>
            <c:symbol val="circle"/>
            <c:size val="7"/>
            <c:spPr>
              <a:solidFill>
                <a:srgbClr val="800000"/>
              </a:solidFill>
              <a:ln>
                <a:solidFill>
                  <a:srgbClr val="80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平均売価推移!$D$235:$O$235</c:f>
              <c:numCache/>
            </c:numRef>
          </c:val>
          <c:smooth val="0"/>
        </c:ser>
        <c:ser>
          <c:idx val="6"/>
          <c:order val="6"/>
          <c:tx>
            <c:strRef>
              <c:f>平均売価推移!$C$236</c:f>
              <c:strCache/>
            </c:strRef>
          </c:tx>
          <c:spPr>
            <a:ln w="25400">
              <a:solidFill>
                <a:srgbClr val="008080"/>
              </a:solidFill>
            </a:ln>
          </c:spPr>
          <c:marker>
            <c:symbol val="plus"/>
            <c:size val="7"/>
            <c:spPr>
              <a:noFill/>
              <a:ln>
                <a:solidFill>
                  <a:srgbClr val="008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平均売価推移!$D$236:$O$236</c:f>
              <c:numCache/>
            </c:numRef>
          </c:val>
          <c:smooth val="0"/>
        </c:ser>
        <c:ser>
          <c:idx val="7"/>
          <c:order val="7"/>
          <c:tx>
            <c:strRef>
              <c:f>平均売価推移!$C$237</c:f>
              <c:strCache/>
            </c:strRef>
          </c:tx>
          <c:spPr>
            <a:ln w="25400">
              <a:solidFill>
                <a:srgbClr val="0000FF"/>
              </a:solidFill>
            </a:ln>
          </c:spPr>
          <c:marker>
            <c:symbol val="dot"/>
            <c:size val="7"/>
            <c:spPr>
              <a:noFill/>
              <a:ln>
                <a:solidFill>
                  <a:srgbClr val="00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平均売価推移!$D$237:$O$237</c:f>
              <c:numCache/>
            </c:numRef>
          </c:val>
          <c:smooth val="0"/>
        </c:ser>
        <c:ser>
          <c:idx val="8"/>
          <c:order val="8"/>
          <c:tx>
            <c:strRef>
              <c:f>平均売価推移!$C$238</c:f>
              <c:strCache/>
            </c:strRef>
          </c:tx>
          <c:spPr>
            <a:ln w="25400">
              <a:solidFill>
                <a:srgbClr val="00CCFF"/>
              </a:solidFill>
            </a:ln>
          </c:spPr>
          <c:marker>
            <c:symbol val="dash"/>
            <c:size val="7"/>
            <c:spPr>
              <a:noFill/>
              <a:ln>
                <a:solidFill>
                  <a:srgbClr val="00CC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平均売価推移!$D$238:$O$238</c:f>
              <c:numCache/>
            </c:numRef>
          </c:val>
          <c:smooth val="0"/>
        </c:ser>
        <c:ser>
          <c:idx val="9"/>
          <c:order val="9"/>
          <c:tx>
            <c:strRef>
              <c:f>平均売価推移!$C$239</c:f>
              <c:strCache/>
            </c:strRef>
          </c:tx>
          <c:spPr>
            <a:ln w="12700">
              <a:solidFill>
                <a:srgbClr val="CCFFFF"/>
              </a:solidFill>
            </a:ln>
          </c:spPr>
          <c:marker>
            <c:symbol val="diamond"/>
            <c:size val="5"/>
            <c:spPr>
              <a:gradFill rotWithShape="0">
                <a:gsLst>
                  <a:gs pos="0">
                    <a:srgbClr val="FF00FF"/>
                  </a:gs>
                  <a:gs pos="50000">
                    <a:srgbClr val="FFFFFF"/>
                  </a:gs>
                  <a:gs pos="100000">
                    <a:srgbClr val="FF00FF"/>
                  </a:gs>
                </a:gsLst>
                <a:lin ang="0" scaled="1"/>
              </a:gradFill>
              <a:ln>
                <a:solidFill>
                  <a:srgbClr val="CC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平均売価推移!$D$239:$O$239</c:f>
              <c:numCache/>
            </c:numRef>
          </c:val>
          <c:smooth val="0"/>
        </c:ser>
        <c:ser>
          <c:idx val="10"/>
          <c:order val="10"/>
          <c:tx>
            <c:strRef>
              <c:f>平均売価推移!$C$240</c:f>
              <c:strCache/>
            </c:strRef>
          </c:tx>
          <c:spPr>
            <a:ln w="25400">
              <a:solidFill>
                <a:srgbClr val="CCFFCC"/>
              </a:solidFill>
            </a:ln>
          </c:spPr>
          <c:marker>
            <c:symbol val="square"/>
            <c:size val="7"/>
            <c:spPr>
              <a:solidFill>
                <a:srgbClr val="CCFFCC"/>
              </a:solidFill>
              <a:ln>
                <a:solidFill>
                  <a:srgbClr val="CCFF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平均売価推移!$D$240:$O$240</c:f>
              <c:numCache/>
            </c:numRef>
          </c:val>
          <c:smooth val="0"/>
        </c:ser>
        <c:ser>
          <c:idx val="11"/>
          <c:order val="11"/>
          <c:tx>
            <c:strRef>
              <c:f>平均売価推移!$C$241</c:f>
              <c:strCache/>
            </c:strRef>
          </c:tx>
          <c:spPr>
            <a:ln w="25400">
              <a:solidFill>
                <a:srgbClr val="FFFF99"/>
              </a:solidFill>
            </a:ln>
          </c:spPr>
          <c:marker>
            <c:symbol val="triangle"/>
            <c:size val="7"/>
            <c:spPr>
              <a:solidFill>
                <a:srgbClr val="FFFF99"/>
              </a:solidFill>
              <a:ln>
                <a:solidFill>
                  <a:srgbClr val="FFFF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平均売価推移!$D$241:$O$241</c:f>
              <c:numCache/>
            </c:numRef>
          </c:val>
          <c:smooth val="0"/>
        </c:ser>
        <c:ser>
          <c:idx val="12"/>
          <c:order val="12"/>
          <c:tx>
            <c:strRef>
              <c:f>平均売価推移!$C$242</c:f>
              <c:strCache/>
            </c:strRef>
          </c:tx>
          <c:spPr>
            <a:ln w="25400">
              <a:solidFill>
                <a:srgbClr val="99CCFF"/>
              </a:solidFill>
            </a:ln>
          </c:spPr>
          <c:marker>
            <c:symbol val="x"/>
            <c:size val="7"/>
            <c:spPr>
              <a:noFill/>
              <a:ln>
                <a:solidFill>
                  <a:srgbClr val="99CC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平均売価推移!$D$242:$O$242</c:f>
              <c:numCache/>
            </c:numRef>
          </c:val>
          <c:smooth val="0"/>
        </c:ser>
        <c:ser>
          <c:idx val="13"/>
          <c:order val="13"/>
          <c:tx>
            <c:strRef>
              <c:f>平均売価推移!$C$243</c:f>
              <c:strCache/>
            </c:strRef>
          </c:tx>
          <c:spPr>
            <a:ln w="25400">
              <a:solidFill>
                <a:srgbClr val="FF99CC"/>
              </a:solidFill>
            </a:ln>
          </c:spPr>
          <c:marker>
            <c:symbol val="star"/>
            <c:size val="7"/>
            <c:spPr>
              <a:noFill/>
              <a:ln>
                <a:solidFill>
                  <a:srgbClr val="FF99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平均売価推移!$D$243:$O$243</c:f>
              <c:numCache/>
            </c:numRef>
          </c:val>
          <c:smooth val="0"/>
        </c:ser>
        <c:ser>
          <c:idx val="14"/>
          <c:order val="14"/>
          <c:tx>
            <c:strRef>
              <c:f>平均売価推移!$C$244</c:f>
              <c:strCache/>
            </c:strRef>
          </c:tx>
          <c:spPr>
            <a:ln w="25400">
              <a:solidFill>
                <a:srgbClr val="CC99FF"/>
              </a:solidFill>
            </a:ln>
          </c:spPr>
          <c:marker>
            <c:symbol val="circle"/>
            <c:size val="7"/>
            <c:spPr>
              <a:solidFill>
                <a:srgbClr val="CC99FF"/>
              </a:solidFill>
              <a:ln>
                <a:solidFill>
                  <a:srgbClr val="CC99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平均売価推移!$D$244:$O$244</c:f>
              <c:numCache/>
            </c:numRef>
          </c:val>
          <c:smooth val="0"/>
        </c:ser>
        <c:ser>
          <c:idx val="15"/>
          <c:order val="15"/>
          <c:tx>
            <c:strRef>
              <c:f>平均売価推移!$C$245</c:f>
              <c:strCache/>
            </c:strRef>
          </c:tx>
          <c:spPr>
            <a:ln w="25400">
              <a:solidFill>
                <a:srgbClr val="FFCC99"/>
              </a:solidFill>
            </a:ln>
          </c:spPr>
          <c:marker>
            <c:symbol val="plus"/>
            <c:size val="7"/>
            <c:spPr>
              <a:noFill/>
              <a:ln>
                <a:solidFill>
                  <a:srgbClr val="FFCC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平均売価推移!$D$245:$O$245</c:f>
              <c:numCache/>
            </c:numRef>
          </c:val>
          <c:smooth val="0"/>
        </c:ser>
        <c:ser>
          <c:idx val="16"/>
          <c:order val="16"/>
          <c:tx>
            <c:strRef>
              <c:f>平均売価推移!$C$246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ot"/>
            <c:size val="7"/>
            <c:spPr>
              <a:noFill/>
              <a:ln>
                <a:solidFill>
                  <a:srgbClr val="3366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平均売価推移!$D$246:$O$246</c:f>
              <c:numCache/>
            </c:numRef>
          </c:val>
          <c:smooth val="0"/>
        </c:ser>
        <c:ser>
          <c:idx val="17"/>
          <c:order val="17"/>
          <c:tx>
            <c:strRef>
              <c:f>平均売価推移!$C$247</c:f>
              <c:strCache/>
            </c:strRef>
          </c:tx>
          <c:spPr>
            <a:ln w="25400">
              <a:solidFill>
                <a:srgbClr val="33CCCC"/>
              </a:solidFill>
            </a:ln>
          </c:spPr>
          <c:marker>
            <c:symbol val="dash"/>
            <c:size val="7"/>
            <c:spPr>
              <a:noFill/>
              <a:ln>
                <a:solidFill>
                  <a:srgbClr val="33CC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平均売価推移!$D$247:$O$247</c:f>
              <c:numCache/>
            </c:numRef>
          </c:val>
          <c:smooth val="0"/>
        </c:ser>
        <c:ser>
          <c:idx val="18"/>
          <c:order val="18"/>
          <c:tx>
            <c:strRef>
              <c:f>平均売価推移!$C$248</c:f>
              <c:strCache/>
            </c:strRef>
          </c:tx>
          <c:spPr>
            <a:ln w="25400">
              <a:solidFill>
                <a:srgbClr val="99CC00"/>
              </a:solidFill>
            </a:ln>
          </c:spPr>
          <c:marker>
            <c:symbol val="diamond"/>
            <c:size val="7"/>
            <c:spPr>
              <a:solidFill>
                <a:srgbClr val="99CC00"/>
              </a:solidFill>
              <a:ln>
                <a:solidFill>
                  <a:srgbClr val="99CC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平均売価推移!$D$248:$O$248</c:f>
              <c:numCache/>
            </c:numRef>
          </c:val>
          <c:smooth val="0"/>
        </c:ser>
        <c:ser>
          <c:idx val="19"/>
          <c:order val="19"/>
          <c:tx>
            <c:strRef>
              <c:f>平均売価推移!$C$249</c:f>
              <c:strCache/>
            </c:strRef>
          </c:tx>
          <c:spPr>
            <a:ln w="25400">
              <a:solidFill>
                <a:srgbClr val="FFCC00"/>
              </a:solidFill>
            </a:ln>
          </c:spPr>
          <c:marker>
            <c:symbol val="square"/>
            <c:size val="7"/>
            <c:spPr>
              <a:solidFill>
                <a:srgbClr val="FFCC00"/>
              </a:solidFill>
              <a:ln>
                <a:solidFill>
                  <a:srgbClr val="FFCC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平均売価推移!$D$249:$O$249</c:f>
              <c:numCache/>
            </c:numRef>
          </c:val>
          <c:smooth val="0"/>
        </c:ser>
        <c:ser>
          <c:idx val="20"/>
          <c:order val="20"/>
          <c:tx>
            <c:strRef>
              <c:f>平均売価推移!$C$250</c:f>
              <c:strCache/>
            </c:strRef>
          </c:tx>
          <c:spPr>
            <a:ln w="25400">
              <a:solidFill>
                <a:srgbClr val="FF9900"/>
              </a:solidFill>
            </a:ln>
          </c:spPr>
          <c:marker>
            <c:symbol val="triangle"/>
            <c:size val="7"/>
            <c:spPr>
              <a:solidFill>
                <a:srgbClr val="FF9900"/>
              </a:solidFill>
              <a:ln>
                <a:solidFill>
                  <a:srgbClr val="FF99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平均売価推移!$D$250:$O$250</c:f>
              <c:numCache/>
            </c:numRef>
          </c:val>
          <c:smooth val="0"/>
        </c:ser>
        <c:ser>
          <c:idx val="21"/>
          <c:order val="21"/>
          <c:tx>
            <c:strRef>
              <c:f>平均売価推移!$C$251</c:f>
              <c:strCache/>
            </c:strRef>
          </c:tx>
          <c:spPr>
            <a:ln w="25400">
              <a:solidFill>
                <a:srgbClr val="FF6600"/>
              </a:solidFill>
            </a:ln>
          </c:spPr>
          <c:marker>
            <c:symbol val="x"/>
            <c:size val="7"/>
            <c:spPr>
              <a:noFill/>
              <a:ln>
                <a:solidFill>
                  <a:srgbClr val="FF66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平均売価推移!$D$251:$O$251</c:f>
              <c:numCache/>
            </c:numRef>
          </c:val>
          <c:smooth val="0"/>
        </c:ser>
        <c:ser>
          <c:idx val="22"/>
          <c:order val="22"/>
          <c:tx>
            <c:strRef>
              <c:f>平均売価推移!$C$252</c:f>
              <c:strCache/>
            </c:strRef>
          </c:tx>
          <c:spPr>
            <a:ln w="25400">
              <a:solidFill>
                <a:srgbClr val="666699"/>
              </a:solidFill>
            </a:ln>
          </c:spPr>
          <c:marker>
            <c:symbol val="star"/>
            <c:size val="7"/>
            <c:spPr>
              <a:noFill/>
              <a:ln>
                <a:solidFill>
                  <a:srgbClr val="6666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平均売価推移!$D$252:$O$252</c:f>
              <c:numCache/>
            </c:numRef>
          </c:val>
          <c:smooth val="0"/>
        </c:ser>
        <c:ser>
          <c:idx val="23"/>
          <c:order val="23"/>
          <c:tx>
            <c:strRef>
              <c:f>平均売価推移!$C$253</c:f>
              <c:strCache/>
            </c:strRef>
          </c:tx>
          <c:spPr>
            <a:ln w="25400">
              <a:solidFill>
                <a:srgbClr val="969696"/>
              </a:solidFill>
            </a:ln>
          </c:spPr>
          <c:marker>
            <c:symbol val="circle"/>
            <c:size val="7"/>
            <c:spPr>
              <a:solidFill>
                <a:srgbClr val="969696"/>
              </a:solidFill>
              <a:ln>
                <a:solidFill>
                  <a:srgbClr val="96969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平均売価推移!$D$253:$O$253</c:f>
              <c:numCache/>
            </c:numRef>
          </c:val>
          <c:smooth val="0"/>
        </c:ser>
        <c:ser>
          <c:idx val="24"/>
          <c:order val="24"/>
          <c:tx>
            <c:strRef>
              <c:f>平均売価推移!$C$254</c:f>
              <c:strCache/>
            </c:strRef>
          </c:tx>
          <c:spPr>
            <a:ln w="25400">
              <a:solidFill>
                <a:srgbClr val="003366"/>
              </a:solidFill>
            </a:ln>
          </c:spPr>
          <c:marker>
            <c:symbol val="plus"/>
            <c:size val="7"/>
            <c:spPr>
              <a:noFill/>
              <a:ln>
                <a:solidFill>
                  <a:srgbClr val="0033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平均売価推移!$D$254:$O$254</c:f>
              <c:numCache/>
            </c:numRef>
          </c:val>
          <c:smooth val="0"/>
        </c:ser>
        <c:ser>
          <c:idx val="25"/>
          <c:order val="25"/>
          <c:tx>
            <c:strRef>
              <c:f>平均売価推移!$C$255</c:f>
              <c:strCache/>
            </c:strRef>
          </c:tx>
          <c:spPr>
            <a:ln w="25400">
              <a:solidFill>
                <a:srgbClr val="339966"/>
              </a:solidFill>
            </a:ln>
          </c:spPr>
          <c:marker>
            <c:symbol val="dot"/>
            <c:size val="7"/>
            <c:spPr>
              <a:noFill/>
              <a:ln>
                <a:solidFill>
                  <a:srgbClr val="3399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平均売価推移!$D$255:$O$255</c:f>
              <c:numCache/>
            </c:numRef>
          </c:val>
          <c:smooth val="0"/>
        </c:ser>
        <c:ser>
          <c:idx val="26"/>
          <c:order val="26"/>
          <c:tx>
            <c:strRef>
              <c:f>平均売価推移!$C$256</c:f>
              <c:strCache/>
            </c:strRef>
          </c:tx>
          <c:spPr>
            <a:ln w="25400">
              <a:solidFill>
                <a:srgbClr val="003300"/>
              </a:solidFill>
            </a:ln>
          </c:spPr>
          <c:marker>
            <c:symbol val="dash"/>
            <c:size val="7"/>
            <c:spPr>
              <a:noFill/>
              <a:ln>
                <a:solidFill>
                  <a:srgbClr val="0033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平均売価推移!$D$256:$O$256</c:f>
              <c:numCache/>
            </c:numRef>
          </c:val>
          <c:smooth val="0"/>
        </c:ser>
        <c:ser>
          <c:idx val="27"/>
          <c:order val="27"/>
          <c:tx>
            <c:strRef>
              <c:f>平均売価推移!$C$257</c:f>
              <c:strCache/>
            </c:strRef>
          </c:tx>
          <c:spPr>
            <a:ln w="25400">
              <a:solidFill>
                <a:srgbClr val="333300"/>
              </a:solidFill>
            </a:ln>
          </c:spPr>
          <c:marker>
            <c:symbol val="diamond"/>
            <c:size val="7"/>
            <c:spPr>
              <a:solidFill>
                <a:srgbClr val="333300"/>
              </a:solidFill>
              <a:ln>
                <a:solidFill>
                  <a:srgbClr val="3333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平均売価推移!$D$257:$O$257</c:f>
              <c:numCache/>
            </c:numRef>
          </c:val>
          <c:smooth val="0"/>
        </c:ser>
        <c:ser>
          <c:idx val="28"/>
          <c:order val="28"/>
          <c:tx>
            <c:strRef>
              <c:f>平均売価推移!$C$258</c:f>
              <c:strCache/>
            </c:strRef>
          </c:tx>
          <c:spPr>
            <a:ln w="25400">
              <a:solidFill>
                <a:srgbClr val="993300"/>
              </a:solidFill>
            </a:ln>
          </c:spPr>
          <c:marker>
            <c:symbol val="square"/>
            <c:size val="7"/>
            <c:spPr>
              <a:solidFill>
                <a:srgbClr val="993300"/>
              </a:solidFill>
              <a:ln>
                <a:solidFill>
                  <a:srgbClr val="9933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平均売価推移!$D$258:$O$258</c:f>
              <c:numCache/>
            </c:numRef>
          </c:val>
          <c:smooth val="0"/>
        </c:ser>
        <c:ser>
          <c:idx val="29"/>
          <c:order val="29"/>
          <c:tx>
            <c:strRef>
              <c:f>平均売価推移!$C$259</c:f>
              <c:strCache/>
            </c:strRef>
          </c:tx>
          <c:spPr>
            <a:ln w="25400">
              <a:solidFill>
                <a:srgbClr val="993366"/>
              </a:solidFill>
            </a:ln>
          </c:spPr>
          <c:marker>
            <c:symbol val="triangle"/>
            <c:size val="7"/>
            <c:spPr>
              <a:solidFill>
                <a:srgbClr val="993366"/>
              </a:solidFill>
              <a:ln>
                <a:solidFill>
                  <a:srgbClr val="9933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平均売価推移!$D$259:$O$259</c:f>
              <c:numCache/>
            </c:numRef>
          </c:val>
          <c:smooth val="0"/>
        </c:ser>
        <c:ser>
          <c:idx val="30"/>
          <c:order val="30"/>
          <c:tx>
            <c:strRef>
              <c:f>平均売価推移!$C$260</c:f>
              <c:strCache/>
            </c:strRef>
          </c:tx>
          <c:spPr>
            <a:ln w="12700">
              <a:solidFill>
                <a:srgbClr val="333399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3333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平均売価推移!$D$260:$O$260</c:f>
              <c:numCache/>
            </c:numRef>
          </c:val>
          <c:smooth val="0"/>
        </c:ser>
        <c:ser>
          <c:idx val="31"/>
          <c:order val="31"/>
          <c:tx>
            <c:strRef>
              <c:f>平均売価推移!$C$261</c:f>
              <c:strCache/>
            </c:strRef>
          </c:tx>
          <c:spPr>
            <a:ln w="12700">
              <a:solidFill>
                <a:srgbClr val="000000"/>
              </a:solidFill>
            </a:ln>
          </c:spPr>
          <c:marker>
            <c:symbol val="star"/>
            <c:size val="5"/>
            <c:spPr>
              <a:noFill/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平均売価推移!$D$261:$O$261</c:f>
              <c:numCache/>
            </c:numRef>
          </c:val>
          <c:smooth val="0"/>
        </c:ser>
        <c:ser>
          <c:idx val="32"/>
          <c:order val="32"/>
          <c:tx>
            <c:strRef>
              <c:f>平均売価推移!$C$262</c:f>
              <c:strCache/>
            </c:strRef>
          </c:tx>
          <c:spPr>
            <a:ln w="12700">
              <a:solidFill>
                <a:srgbClr val="FFFFFF"/>
              </a:solidFill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FF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平均売価推移!$D$262:$O$262</c:f>
              <c:numCache/>
            </c:numRef>
          </c:val>
          <c:smooth val="0"/>
        </c:ser>
        <c:ser>
          <c:idx val="33"/>
          <c:order val="33"/>
          <c:tx>
            <c:strRef>
              <c:f>平均売価推移!$C$263</c:f>
              <c:strCache/>
            </c:strRef>
          </c:tx>
          <c:spPr>
            <a:ln w="12700">
              <a:solidFill>
                <a:srgbClr val="FF0000"/>
              </a:solidFill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平均売価推移!$D$263:$O$263</c:f>
              <c:numCache/>
            </c:numRef>
          </c:val>
          <c:smooth val="0"/>
        </c:ser>
        <c:ser>
          <c:idx val="34"/>
          <c:order val="34"/>
          <c:tx>
            <c:strRef>
              <c:f>平均売価推移!$C$264</c:f>
              <c:strCache/>
            </c:strRef>
          </c:tx>
          <c:spPr>
            <a:ln w="12700">
              <a:solidFill>
                <a:srgbClr val="00FF00"/>
              </a:solidFill>
            </a:ln>
          </c:spPr>
          <c:marker>
            <c:symbol val="dot"/>
            <c:size val="5"/>
            <c:spPr>
              <a:noFill/>
              <a:ln>
                <a:solidFill>
                  <a:srgbClr val="00FF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平均売価推移!$D$264:$O$264</c:f>
              <c:numCache/>
            </c:numRef>
          </c:val>
          <c:smooth val="0"/>
        </c:ser>
        <c:ser>
          <c:idx val="35"/>
          <c:order val="35"/>
          <c:tx>
            <c:strRef>
              <c:f>平均売価推移!$C$265</c:f>
              <c:strCache/>
            </c:strRef>
          </c:tx>
          <c:spPr>
            <a:ln w="12700">
              <a:solidFill>
                <a:srgbClr val="0000FF"/>
              </a:solidFill>
            </a:ln>
          </c:spPr>
          <c:marker>
            <c:symbol val="dash"/>
            <c:size val="5"/>
            <c:spPr>
              <a:noFill/>
              <a:ln>
                <a:solidFill>
                  <a:srgbClr val="00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平均売価推移!$D$265:$O$265</c:f>
              <c:numCache/>
            </c:numRef>
          </c:val>
          <c:smooth val="0"/>
        </c:ser>
        <c:ser>
          <c:idx val="36"/>
          <c:order val="36"/>
          <c:tx>
            <c:strRef>
              <c:f>平均売価推移!$C$266</c:f>
              <c:strCache/>
            </c:strRef>
          </c:tx>
          <c:spPr>
            <a:ln w="12700">
              <a:solidFill>
                <a:srgbClr val="FFFF00"/>
              </a:solidFill>
            </a:ln>
          </c:spPr>
          <c:marker>
            <c:symbol val="diamond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平均売価推移!$D$266:$O$266</c:f>
              <c:numCache/>
            </c:numRef>
          </c:val>
          <c:smooth val="0"/>
        </c:ser>
        <c:ser>
          <c:idx val="37"/>
          <c:order val="37"/>
          <c:tx>
            <c:strRef>
              <c:f>平均売価推移!$C$267</c:f>
              <c:strCache/>
            </c:strRef>
          </c:tx>
          <c:spPr>
            <a:ln w="12700">
              <a:solidFill>
                <a:srgbClr val="FF00FF"/>
              </a:solidFill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平均売価推移!$D$267:$O$267</c:f>
              <c:numCache/>
            </c:numRef>
          </c:val>
          <c:smooth val="0"/>
        </c:ser>
        <c:ser>
          <c:idx val="38"/>
          <c:order val="38"/>
          <c:tx>
            <c:strRef>
              <c:f>平均売価推移!$C$268</c:f>
              <c:strCache/>
            </c:strRef>
          </c:tx>
          <c:spPr>
            <a:ln w="12700">
              <a:solidFill>
                <a:srgbClr val="00FFFF"/>
              </a:solidFill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平均売価推移!$D$268:$O$268</c:f>
              <c:numCache/>
            </c:numRef>
          </c:val>
          <c:smooth val="0"/>
        </c:ser>
        <c:ser>
          <c:idx val="39"/>
          <c:order val="39"/>
          <c:tx>
            <c:strRef>
              <c:f>平均売価推移!$C$269</c:f>
              <c:strCache/>
            </c:strRef>
          </c:tx>
          <c:spPr>
            <a:ln w="12700">
              <a:solidFill>
                <a:srgbClr val="800000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80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平均売価推移!$D$269:$O$269</c:f>
              <c:numCache/>
            </c:numRef>
          </c:val>
          <c:smooth val="0"/>
        </c:ser>
        <c:ser>
          <c:idx val="40"/>
          <c:order val="40"/>
          <c:tx>
            <c:strRef>
              <c:f>平均売価推移!$C$270</c:f>
              <c:strCache/>
            </c:strRef>
          </c:tx>
          <c:spPr>
            <a:ln w="12700">
              <a:solidFill>
                <a:srgbClr val="008000"/>
              </a:solidFill>
            </a:ln>
          </c:spPr>
          <c:marker>
            <c:symbol val="star"/>
            <c:size val="5"/>
            <c:spPr>
              <a:noFill/>
              <a:ln>
                <a:solidFill>
                  <a:srgbClr val="008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平均売価推移!$D$270:$O$270</c:f>
              <c:numCache/>
            </c:numRef>
          </c:val>
          <c:smooth val="0"/>
        </c:ser>
        <c:ser>
          <c:idx val="41"/>
          <c:order val="41"/>
          <c:tx>
            <c:strRef>
              <c:f>平均売価推移!$C$271</c:f>
              <c:strCache/>
            </c:strRef>
          </c:tx>
          <c:spPr>
            <a:ln w="12700">
              <a:solidFill>
                <a:srgbClr val="000080"/>
              </a:solidFill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平均売価推移!$D$271:$O$271</c:f>
              <c:numCache/>
            </c:numRef>
          </c:val>
          <c:smooth val="0"/>
        </c:ser>
        <c:ser>
          <c:idx val="42"/>
          <c:order val="42"/>
          <c:tx>
            <c:strRef>
              <c:f>平均売価推移!$C$272</c:f>
              <c:strCache/>
            </c:strRef>
          </c:tx>
          <c:spPr>
            <a:ln w="12700">
              <a:solidFill>
                <a:srgbClr val="808000"/>
              </a:solidFill>
            </a:ln>
          </c:spPr>
          <c:marker>
            <c:symbol val="plus"/>
            <c:size val="5"/>
            <c:spPr>
              <a:noFill/>
              <a:ln>
                <a:solidFill>
                  <a:srgbClr val="808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平均売価推移!$D$272:$O$272</c:f>
              <c:numCache/>
            </c:numRef>
          </c:val>
          <c:smooth val="0"/>
        </c:ser>
        <c:ser>
          <c:idx val="43"/>
          <c:order val="43"/>
          <c:tx>
            <c:strRef>
              <c:f>平均売価推移!$C$273</c:f>
              <c:strCache/>
            </c:strRef>
          </c:tx>
          <c:spPr>
            <a:ln w="12700">
              <a:solidFill>
                <a:srgbClr val="800080"/>
              </a:solidFill>
            </a:ln>
          </c:spPr>
          <c:marker>
            <c:symbol val="dot"/>
            <c:size val="5"/>
            <c:spPr>
              <a:noFill/>
              <a:ln>
                <a:solidFill>
                  <a:srgbClr val="8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平均売価推移!$D$273:$O$273</c:f>
              <c:numCache/>
            </c:numRef>
          </c:val>
          <c:smooth val="0"/>
        </c:ser>
        <c:ser>
          <c:idx val="44"/>
          <c:order val="44"/>
          <c:tx>
            <c:strRef>
              <c:f>平均売価推移!$C$274</c:f>
              <c:strCache/>
            </c:strRef>
          </c:tx>
          <c:spPr>
            <a:ln w="12700">
              <a:solidFill>
                <a:srgbClr val="008080"/>
              </a:solidFill>
            </a:ln>
          </c:spPr>
          <c:marker>
            <c:symbol val="dash"/>
            <c:size val="5"/>
            <c:spPr>
              <a:noFill/>
              <a:ln>
                <a:solidFill>
                  <a:srgbClr val="008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平均売価推移!$D$274:$O$274</c:f>
              <c:numCache/>
            </c:numRef>
          </c:val>
          <c:smooth val="0"/>
        </c:ser>
        <c:ser>
          <c:idx val="45"/>
          <c:order val="45"/>
          <c:tx>
            <c:strRef>
              <c:f>平均売価推移!$C$275</c:f>
              <c:strCache/>
            </c:strRef>
          </c:tx>
          <c:spPr>
            <a:ln w="12700">
              <a:solidFill>
                <a:srgbClr val="C0C0C0"/>
              </a:solidFill>
            </a:ln>
          </c:spPr>
          <c:marker>
            <c:symbol val="diamond"/>
            <c:size val="5"/>
            <c:spPr>
              <a:solidFill>
                <a:srgbClr val="C0C0C0"/>
              </a:solidFill>
              <a:ln>
                <a:solidFill>
                  <a:srgbClr val="C0C0C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平均売価推移!$D$275:$O$275</c:f>
              <c:numCache/>
            </c:numRef>
          </c:val>
          <c:smooth val="0"/>
        </c:ser>
        <c:ser>
          <c:idx val="46"/>
          <c:order val="46"/>
          <c:tx>
            <c:strRef>
              <c:f>平均売価推移!$C$276</c:f>
              <c:strCache/>
            </c:strRef>
          </c:tx>
          <c:spPr>
            <a:ln w="12700">
              <a:solidFill>
                <a:srgbClr val="808080"/>
              </a:solidFill>
            </a:ln>
          </c:spPr>
          <c:marker>
            <c:symbol val="square"/>
            <c:size val="5"/>
            <c:spPr>
              <a:solidFill>
                <a:srgbClr val="808080"/>
              </a:solidFill>
              <a:ln>
                <a:solidFill>
                  <a:srgbClr val="808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平均売価推移!$D$276:$O$276</c:f>
              <c:numCache/>
            </c:numRef>
          </c:val>
          <c:smooth val="0"/>
        </c:ser>
        <c:ser>
          <c:idx val="47"/>
          <c:order val="47"/>
          <c:tx>
            <c:strRef>
              <c:f>平均売価推移!$C$277</c:f>
              <c:strCache/>
            </c:strRef>
          </c:tx>
          <c:spPr>
            <a:ln w="12700">
              <a:solidFill>
                <a:srgbClr val="9999FF"/>
              </a:solidFill>
            </a:ln>
          </c:spPr>
          <c:marker>
            <c:symbol val="triangle"/>
            <c:size val="5"/>
            <c:spPr>
              <a:solidFill>
                <a:srgbClr val="9999FF"/>
              </a:solidFill>
              <a:ln>
                <a:solidFill>
                  <a:srgbClr val="9999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平均売価推移!$D$277:$O$277</c:f>
              <c:numCache/>
            </c:numRef>
          </c:val>
          <c:smooth val="0"/>
        </c:ser>
        <c:ser>
          <c:idx val="48"/>
          <c:order val="48"/>
          <c:tx>
            <c:strRef>
              <c:f>平均売価推移!$C$278</c:f>
              <c:strCache/>
            </c:strRef>
          </c:tx>
          <c:spPr>
            <a:ln w="12700">
              <a:solidFill>
                <a:srgbClr val="993366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9933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平均売価推移!$D$278:$O$278</c:f>
              <c:numCache/>
            </c:numRef>
          </c:val>
          <c:smooth val="0"/>
        </c:ser>
        <c:ser>
          <c:idx val="49"/>
          <c:order val="49"/>
          <c:tx>
            <c:strRef>
              <c:f>平均売価推移!$C$279</c:f>
              <c:strCache/>
            </c:strRef>
          </c:tx>
          <c:spPr>
            <a:ln w="12700">
              <a:solidFill>
                <a:srgbClr val="FFFFCC"/>
              </a:solidFill>
            </a:ln>
          </c:spPr>
          <c:marker>
            <c:symbol val="star"/>
            <c:size val="5"/>
            <c:spPr>
              <a:noFill/>
              <a:ln>
                <a:solidFill>
                  <a:srgbClr val="FFFF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平均売価推移!$D$279:$O$279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1"/>
            </a:pPr>
            <a:endParaRPr sz="1000" b="1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;&quot;▲ &quot;#,##0" sourceLinked="0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/>
            </a:pPr>
            <a:endParaRPr sz="10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928409090909091"/>
          <c:y val="0.015309231225834337"/>
          <c:w val="0.064772727272727273"/>
          <c:h val="0.9598481821459393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/>
          </a:pPr>
          <a:endParaRPr sz="675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1150">
          <a:solidFill>
            <a:srgbClr val="000000"/>
          </a:solidFill>
        </a:defRPr>
      </a:pPr>
      <a:endParaRPr sz="1150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150" b="0"/>
              <a:t> </a:t>
            </a:r>
          </a:p>
        </c:rich>
      </c:tx>
      <c:layout>
        <c:manualLayout>
          <c:xMode val="edge"/>
          <c:yMode val="edge"/>
          <c:x val="0.49879129734085415"/>
          <c:y val="0.030567685589519649"/>
        </c:manualLayout>
      </c:layout>
      <c:overlay val="0"/>
      <c:spPr>
        <a:noFill/>
        <a:ln w="25400">
          <a:noFill/>
        </a:ln>
      </c:spPr>
    </c:title>
    <c:plotArea>
      <c:layout>
        <c:manualLayout>
          <c:xMode val="edge"/>
          <c:yMode val="edge"/>
          <c:x val="0.027646131651702537"/>
          <c:y val="0.015309231225834337"/>
          <c:w val="0.88939874822443177"/>
          <c:h val="0.95984818214593937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販売指数!$C$34</c:f>
              <c:strCache/>
            </c:strRef>
          </c:tx>
          <c:spPr>
            <a:ln w="25400">
              <a:solidFill>
                <a:srgbClr val="000080"/>
              </a:solidFill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販売指数!$D$34:$O$34</c:f>
              <c:numCache/>
            </c:numRef>
          </c:val>
          <c:smooth val="1"/>
        </c:ser>
        <c:ser>
          <c:idx val="1"/>
          <c:order val="1"/>
          <c:tx>
            <c:strRef>
              <c:f>販売指数!$C$35</c:f>
              <c:strCache/>
            </c:strRef>
          </c:tx>
          <c:spPr>
            <a:ln w="25400">
              <a:solidFill>
                <a:srgbClr val="FF00FF"/>
              </a:solidFill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販売指数!$D$35:$O$35</c:f>
              <c:numCache/>
            </c:numRef>
          </c:val>
          <c:smooth val="1"/>
        </c:ser>
        <c:ser>
          <c:idx val="2"/>
          <c:order val="2"/>
          <c:tx>
            <c:strRef>
              <c:f>販売指数!$C$36</c:f>
              <c:strCache/>
            </c:strRef>
          </c:tx>
          <c:spPr>
            <a:ln w="25400">
              <a:solidFill>
                <a:srgbClr val="FFFF00"/>
              </a:solidFill>
            </a:ln>
          </c:spPr>
          <c:marker>
            <c:symbol val="triangle"/>
            <c:size val="7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販売指数!$D$36:$O$36</c:f>
              <c:numCache/>
            </c:numRef>
          </c:val>
          <c:smooth val="1"/>
        </c:ser>
        <c:ser>
          <c:idx val="3"/>
          <c:order val="3"/>
          <c:tx>
            <c:strRef>
              <c:f>販売指数!$C$37</c:f>
              <c:strCache/>
            </c:strRef>
          </c:tx>
          <c:spPr>
            <a:ln w="25400">
              <a:solidFill>
                <a:srgbClr val="00FFFF"/>
              </a:solidFill>
            </a:ln>
          </c:spPr>
          <c:marker>
            <c:symbol val="x"/>
            <c:size val="7"/>
            <c:spPr>
              <a:noFill/>
              <a:ln>
                <a:solidFill>
                  <a:srgbClr val="00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販売指数!$D$37:$O$37</c:f>
              <c:numCache/>
            </c:numRef>
          </c:val>
          <c:smooth val="1"/>
        </c:ser>
        <c:ser>
          <c:idx val="4"/>
          <c:order val="4"/>
          <c:tx>
            <c:strRef>
              <c:f>販売指数!$C$38</c:f>
              <c:strCache/>
            </c:strRef>
          </c:tx>
          <c:spPr>
            <a:ln w="25400">
              <a:solidFill>
                <a:srgbClr val="800080"/>
              </a:solidFill>
            </a:ln>
          </c:spPr>
          <c:marker>
            <c:symbol val="star"/>
            <c:size val="7"/>
            <c:spPr>
              <a:noFill/>
              <a:ln>
                <a:solidFill>
                  <a:srgbClr val="8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販売指数!$D$38:$O$38</c:f>
              <c:numCache/>
            </c:numRef>
          </c:val>
          <c:smooth val="1"/>
        </c:ser>
        <c:ser>
          <c:idx val="5"/>
          <c:order val="5"/>
          <c:tx>
            <c:strRef>
              <c:f>販売指数!$C$39</c:f>
              <c:strCache/>
            </c:strRef>
          </c:tx>
          <c:spPr>
            <a:ln w="25400">
              <a:solidFill>
                <a:srgbClr val="800000"/>
              </a:solidFill>
            </a:ln>
          </c:spPr>
          <c:marker>
            <c:symbol val="circle"/>
            <c:size val="7"/>
            <c:spPr>
              <a:solidFill>
                <a:srgbClr val="800000"/>
              </a:solidFill>
              <a:ln>
                <a:solidFill>
                  <a:srgbClr val="80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販売指数!$D$39:$O$39</c:f>
              <c:numCache/>
            </c:numRef>
          </c:val>
          <c:smooth val="1"/>
        </c:ser>
        <c:ser>
          <c:idx val="6"/>
          <c:order val="6"/>
          <c:tx>
            <c:strRef>
              <c:f>販売指数!$C$40</c:f>
              <c:strCache/>
            </c:strRef>
          </c:tx>
          <c:spPr>
            <a:ln w="25400">
              <a:solidFill>
                <a:srgbClr val="008080"/>
              </a:solidFill>
            </a:ln>
          </c:spPr>
          <c:marker>
            <c:symbol val="plus"/>
            <c:size val="7"/>
            <c:spPr>
              <a:noFill/>
              <a:ln>
                <a:solidFill>
                  <a:srgbClr val="008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販売指数!$D$40:$O$40</c:f>
              <c:numCache/>
            </c:numRef>
          </c:val>
          <c:smooth val="1"/>
        </c:ser>
        <c:ser>
          <c:idx val="7"/>
          <c:order val="7"/>
          <c:tx>
            <c:strRef>
              <c:f>販売指数!$C$41</c:f>
              <c:strCache/>
            </c:strRef>
          </c:tx>
          <c:spPr>
            <a:ln w="25400">
              <a:solidFill>
                <a:srgbClr val="0000FF"/>
              </a:solidFill>
            </a:ln>
          </c:spPr>
          <c:marker>
            <c:symbol val="dot"/>
            <c:size val="7"/>
            <c:spPr>
              <a:noFill/>
              <a:ln>
                <a:solidFill>
                  <a:srgbClr val="00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販売指数!$D$41:$O$41</c:f>
              <c:numCache/>
            </c:numRef>
          </c:val>
          <c:smooth val="1"/>
        </c:ser>
        <c:ser>
          <c:idx val="8"/>
          <c:order val="8"/>
          <c:tx>
            <c:strRef>
              <c:f>販売指数!$C$42</c:f>
              <c:strCache/>
            </c:strRef>
          </c:tx>
          <c:spPr>
            <a:ln w="25400">
              <a:solidFill>
                <a:srgbClr val="00CCFF"/>
              </a:solidFill>
            </a:ln>
          </c:spPr>
          <c:marker>
            <c:symbol val="dash"/>
            <c:size val="7"/>
            <c:spPr>
              <a:noFill/>
              <a:ln>
                <a:solidFill>
                  <a:srgbClr val="00CC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販売指数!$D$42:$O$42</c:f>
              <c:numCache/>
            </c:numRef>
          </c:val>
          <c:smooth val="1"/>
        </c:ser>
        <c:ser>
          <c:idx val="9"/>
          <c:order val="9"/>
          <c:tx>
            <c:strRef>
              <c:f>販売指数!$C$43</c:f>
              <c:strCache/>
            </c:strRef>
          </c:tx>
          <c:spPr>
            <a:ln w="25400">
              <a:solidFill>
                <a:srgbClr val="CCFFFF"/>
              </a:solidFill>
            </a:ln>
          </c:spPr>
          <c:marker>
            <c:symbol val="diamond"/>
            <c:size val="7"/>
            <c:spPr>
              <a:solidFill>
                <a:srgbClr val="CCFFFF"/>
              </a:solidFill>
              <a:ln>
                <a:solidFill>
                  <a:srgbClr val="CC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販売指数!$D$43:$O$43</c:f>
              <c:numCache/>
            </c:numRef>
          </c:val>
          <c:smooth val="1"/>
        </c:ser>
        <c:ser>
          <c:idx val="10"/>
          <c:order val="10"/>
          <c:tx>
            <c:strRef>
              <c:f>販売指数!$C$44</c:f>
              <c:strCache/>
            </c:strRef>
          </c:tx>
          <c:spPr>
            <a:ln w="25400">
              <a:solidFill>
                <a:srgbClr val="CCFFCC"/>
              </a:solidFill>
            </a:ln>
          </c:spPr>
          <c:marker>
            <c:symbol val="square"/>
            <c:size val="7"/>
            <c:spPr>
              <a:solidFill>
                <a:srgbClr val="CCFFCC"/>
              </a:solidFill>
              <a:ln>
                <a:solidFill>
                  <a:srgbClr val="CCFF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販売指数!$D$44:$O$44</c:f>
              <c:numCache/>
            </c:numRef>
          </c:val>
          <c:smooth val="1"/>
        </c:ser>
        <c:ser>
          <c:idx val="11"/>
          <c:order val="11"/>
          <c:tx>
            <c:strRef>
              <c:f>販売指数!$C$45</c:f>
              <c:strCache/>
            </c:strRef>
          </c:tx>
          <c:spPr>
            <a:ln w="25400">
              <a:solidFill>
                <a:srgbClr val="FFFF99"/>
              </a:solidFill>
            </a:ln>
          </c:spPr>
          <c:marker>
            <c:symbol val="triangle"/>
            <c:size val="7"/>
            <c:spPr>
              <a:solidFill>
                <a:srgbClr val="FFFF99"/>
              </a:solidFill>
              <a:ln>
                <a:solidFill>
                  <a:srgbClr val="FFFF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販売指数!$D$45:$O$45</c:f>
              <c:numCache/>
            </c:numRef>
          </c:val>
          <c:smooth val="1"/>
        </c:ser>
        <c:ser>
          <c:idx val="12"/>
          <c:order val="12"/>
          <c:tx>
            <c:strRef>
              <c:f>販売指数!$C$46</c:f>
              <c:strCache/>
            </c:strRef>
          </c:tx>
          <c:spPr>
            <a:ln w="25400">
              <a:solidFill>
                <a:srgbClr val="99CCFF"/>
              </a:solidFill>
            </a:ln>
          </c:spPr>
          <c:marker>
            <c:symbol val="x"/>
            <c:size val="7"/>
            <c:spPr>
              <a:noFill/>
              <a:ln>
                <a:solidFill>
                  <a:srgbClr val="99CC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販売指数!$D$46:$O$46</c:f>
              <c:numCache/>
            </c:numRef>
          </c:val>
          <c:smooth val="1"/>
        </c:ser>
        <c:ser>
          <c:idx val="13"/>
          <c:order val="13"/>
          <c:tx>
            <c:strRef>
              <c:f>販売指数!$C$47</c:f>
              <c:strCache/>
            </c:strRef>
          </c:tx>
          <c:spPr>
            <a:ln w="25400">
              <a:solidFill>
                <a:srgbClr val="FF99CC"/>
              </a:solidFill>
            </a:ln>
          </c:spPr>
          <c:marker>
            <c:symbol val="star"/>
            <c:size val="7"/>
            <c:spPr>
              <a:noFill/>
              <a:ln>
                <a:solidFill>
                  <a:srgbClr val="FF99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販売指数!$D$47:$O$47</c:f>
              <c:numCache/>
            </c:numRef>
          </c:val>
          <c:smooth val="1"/>
        </c:ser>
        <c:ser>
          <c:idx val="14"/>
          <c:order val="14"/>
          <c:tx>
            <c:strRef>
              <c:f>販売指数!$C$48</c:f>
              <c:strCache/>
            </c:strRef>
          </c:tx>
          <c:spPr>
            <a:ln w="25400">
              <a:solidFill>
                <a:srgbClr val="CC99FF"/>
              </a:solidFill>
            </a:ln>
          </c:spPr>
          <c:marker>
            <c:symbol val="circle"/>
            <c:size val="7"/>
            <c:spPr>
              <a:solidFill>
                <a:srgbClr val="CC99FF"/>
              </a:solidFill>
              <a:ln>
                <a:solidFill>
                  <a:srgbClr val="CC99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販売指数!$D$48:$O$48</c:f>
              <c:numCache/>
            </c:numRef>
          </c:val>
          <c:smooth val="1"/>
        </c:ser>
        <c:ser>
          <c:idx val="15"/>
          <c:order val="15"/>
          <c:tx>
            <c:strRef>
              <c:f>販売指数!$C$49</c:f>
              <c:strCache/>
            </c:strRef>
          </c:tx>
          <c:spPr>
            <a:ln w="25400">
              <a:solidFill>
                <a:srgbClr val="FFCC99"/>
              </a:solidFill>
            </a:ln>
          </c:spPr>
          <c:marker>
            <c:symbol val="plus"/>
            <c:size val="7"/>
            <c:spPr>
              <a:noFill/>
              <a:ln>
                <a:solidFill>
                  <a:srgbClr val="FFCC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販売指数!$D$49:$O$49</c:f>
              <c:numCache/>
            </c:numRef>
          </c:val>
          <c:smooth val="1"/>
        </c:ser>
        <c:ser>
          <c:idx val="16"/>
          <c:order val="16"/>
          <c:tx>
            <c:strRef>
              <c:f>販売指数!$C$50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ot"/>
            <c:size val="7"/>
            <c:spPr>
              <a:noFill/>
              <a:ln>
                <a:solidFill>
                  <a:srgbClr val="3366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販売指数!$D$50:$O$50</c:f>
              <c:numCache/>
            </c:numRef>
          </c:val>
          <c:smooth val="1"/>
        </c:ser>
        <c:ser>
          <c:idx val="17"/>
          <c:order val="17"/>
          <c:tx>
            <c:strRef>
              <c:f>販売指数!$C$51</c:f>
              <c:strCache/>
            </c:strRef>
          </c:tx>
          <c:spPr>
            <a:ln w="25400">
              <a:solidFill>
                <a:srgbClr val="33CCCC"/>
              </a:solidFill>
            </a:ln>
          </c:spPr>
          <c:marker>
            <c:symbol val="dash"/>
            <c:size val="7"/>
            <c:spPr>
              <a:noFill/>
              <a:ln>
                <a:solidFill>
                  <a:srgbClr val="33CC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販売指数!$D$51:$O$51</c:f>
              <c:numCache/>
            </c:numRef>
          </c:val>
          <c:smooth val="1"/>
        </c:ser>
        <c:ser>
          <c:idx val="18"/>
          <c:order val="18"/>
          <c:tx>
            <c:strRef>
              <c:f>販売指数!$C$52</c:f>
              <c:strCache/>
            </c:strRef>
          </c:tx>
          <c:spPr>
            <a:ln w="25400">
              <a:solidFill>
                <a:srgbClr val="99CC00"/>
              </a:solidFill>
            </a:ln>
          </c:spPr>
          <c:marker>
            <c:symbol val="diamond"/>
            <c:size val="7"/>
            <c:spPr>
              <a:solidFill>
                <a:srgbClr val="99CC00"/>
              </a:solidFill>
              <a:ln>
                <a:solidFill>
                  <a:srgbClr val="99CC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販売指数!$D$52:$O$52</c:f>
              <c:numCache/>
            </c:numRef>
          </c:val>
          <c:smooth val="1"/>
        </c:ser>
        <c:ser>
          <c:idx val="19"/>
          <c:order val="19"/>
          <c:tx>
            <c:strRef>
              <c:f>販売指数!$C$53</c:f>
              <c:strCache/>
            </c:strRef>
          </c:tx>
          <c:spPr>
            <a:ln w="25400">
              <a:solidFill>
                <a:srgbClr val="FFCC00"/>
              </a:solidFill>
            </a:ln>
          </c:spPr>
          <c:marker>
            <c:symbol val="square"/>
            <c:size val="7"/>
            <c:spPr>
              <a:solidFill>
                <a:srgbClr val="FFCC00"/>
              </a:solidFill>
              <a:ln>
                <a:solidFill>
                  <a:srgbClr val="FFCC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販売指数!$D$53:$O$53</c:f>
              <c:numCache/>
            </c:numRef>
          </c:val>
          <c:smooth val="1"/>
        </c:ser>
        <c:ser>
          <c:idx val="20"/>
          <c:order val="20"/>
          <c:tx>
            <c:strRef>
              <c:f>販売指数!$C$54</c:f>
              <c:strCache/>
            </c:strRef>
          </c:tx>
          <c:spPr>
            <a:ln w="25400">
              <a:solidFill>
                <a:srgbClr val="FF9900"/>
              </a:solidFill>
            </a:ln>
          </c:spPr>
          <c:marker>
            <c:symbol val="triangle"/>
            <c:size val="7"/>
            <c:spPr>
              <a:solidFill>
                <a:srgbClr val="FF9900"/>
              </a:solidFill>
              <a:ln>
                <a:solidFill>
                  <a:srgbClr val="FF99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販売指数!$D$54:$O$54</c:f>
              <c:numCache/>
            </c:numRef>
          </c:val>
          <c:smooth val="1"/>
        </c:ser>
        <c:ser>
          <c:idx val="21"/>
          <c:order val="21"/>
          <c:tx>
            <c:strRef>
              <c:f>販売指数!$C$55</c:f>
              <c:strCache/>
            </c:strRef>
          </c:tx>
          <c:spPr>
            <a:ln w="25400">
              <a:solidFill>
                <a:srgbClr val="FF6600"/>
              </a:solidFill>
            </a:ln>
          </c:spPr>
          <c:marker>
            <c:symbol val="x"/>
            <c:size val="7"/>
            <c:spPr>
              <a:noFill/>
              <a:ln>
                <a:solidFill>
                  <a:srgbClr val="FF66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販売指数!$D$55:$O$55</c:f>
              <c:numCache/>
            </c:numRef>
          </c:val>
          <c:smooth val="1"/>
        </c:ser>
        <c:ser>
          <c:idx val="22"/>
          <c:order val="22"/>
          <c:tx>
            <c:strRef>
              <c:f>販売指数!$C$56</c:f>
              <c:strCache/>
            </c:strRef>
          </c:tx>
          <c:spPr>
            <a:ln w="25400">
              <a:solidFill>
                <a:srgbClr val="666699"/>
              </a:solidFill>
            </a:ln>
          </c:spPr>
          <c:marker>
            <c:symbol val="star"/>
            <c:size val="7"/>
            <c:spPr>
              <a:noFill/>
              <a:ln>
                <a:solidFill>
                  <a:srgbClr val="6666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販売指数!$D$56:$O$56</c:f>
              <c:numCache/>
            </c:numRef>
          </c:val>
          <c:smooth val="1"/>
        </c:ser>
        <c:ser>
          <c:idx val="23"/>
          <c:order val="23"/>
          <c:tx>
            <c:strRef>
              <c:f>販売指数!$C$57</c:f>
              <c:strCache/>
            </c:strRef>
          </c:tx>
          <c:spPr>
            <a:ln w="25400">
              <a:solidFill>
                <a:srgbClr val="969696"/>
              </a:solidFill>
            </a:ln>
          </c:spPr>
          <c:marker>
            <c:symbol val="circle"/>
            <c:size val="7"/>
            <c:spPr>
              <a:solidFill>
                <a:srgbClr val="969696"/>
              </a:solidFill>
              <a:ln>
                <a:solidFill>
                  <a:srgbClr val="96969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販売指数!$D$57:$O$57</c:f>
              <c:numCache/>
            </c:numRef>
          </c:val>
          <c:smooth val="1"/>
        </c:ser>
        <c:ser>
          <c:idx val="24"/>
          <c:order val="24"/>
          <c:tx>
            <c:strRef>
              <c:f>販売指数!$C$58</c:f>
              <c:strCache/>
            </c:strRef>
          </c:tx>
          <c:spPr>
            <a:ln w="25400">
              <a:solidFill>
                <a:srgbClr val="003366"/>
              </a:solidFill>
            </a:ln>
          </c:spPr>
          <c:marker>
            <c:symbol val="plus"/>
            <c:size val="7"/>
            <c:spPr>
              <a:noFill/>
              <a:ln>
                <a:solidFill>
                  <a:srgbClr val="0033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販売指数!$D$58:$O$58</c:f>
              <c:numCache/>
            </c:numRef>
          </c:val>
          <c:smooth val="1"/>
        </c:ser>
        <c:ser>
          <c:idx val="25"/>
          <c:order val="25"/>
          <c:tx>
            <c:strRef>
              <c:f>販売指数!$C$59</c:f>
              <c:strCache/>
            </c:strRef>
          </c:tx>
          <c:spPr>
            <a:ln w="25400">
              <a:solidFill>
                <a:srgbClr val="339966"/>
              </a:solidFill>
            </a:ln>
          </c:spPr>
          <c:marker>
            <c:symbol val="dot"/>
            <c:size val="7"/>
            <c:spPr>
              <a:noFill/>
              <a:ln>
                <a:solidFill>
                  <a:srgbClr val="3399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販売指数!$D$59:$O$59</c:f>
              <c:numCache/>
            </c:numRef>
          </c:val>
          <c:smooth val="1"/>
        </c:ser>
        <c:ser>
          <c:idx val="26"/>
          <c:order val="26"/>
          <c:tx>
            <c:strRef>
              <c:f>販売指数!$C$60</c:f>
              <c:strCache/>
            </c:strRef>
          </c:tx>
          <c:spPr>
            <a:ln w="25400">
              <a:solidFill>
                <a:srgbClr val="003300"/>
              </a:solidFill>
            </a:ln>
          </c:spPr>
          <c:marker>
            <c:symbol val="dash"/>
            <c:size val="7"/>
            <c:spPr>
              <a:noFill/>
              <a:ln>
                <a:solidFill>
                  <a:srgbClr val="0033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販売指数!$D$60:$O$60</c:f>
              <c:numCache/>
            </c:numRef>
          </c:val>
          <c:smooth val="1"/>
        </c:ser>
        <c:ser>
          <c:idx val="27"/>
          <c:order val="27"/>
          <c:tx>
            <c:strRef>
              <c:f>販売指数!$C$61</c:f>
              <c:strCache/>
            </c:strRef>
          </c:tx>
          <c:spPr>
            <a:ln w="25400">
              <a:solidFill>
                <a:srgbClr val="333300"/>
              </a:solidFill>
            </a:ln>
          </c:spPr>
          <c:marker>
            <c:symbol val="diamond"/>
            <c:size val="7"/>
            <c:spPr>
              <a:solidFill>
                <a:srgbClr val="333300"/>
              </a:solidFill>
              <a:ln>
                <a:solidFill>
                  <a:srgbClr val="3333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販売指数!$D$61:$O$61</c:f>
              <c:numCache/>
            </c:numRef>
          </c:val>
          <c:smooth val="1"/>
        </c:ser>
        <c:ser>
          <c:idx val="28"/>
          <c:order val="28"/>
          <c:tx>
            <c:strRef>
              <c:f>販売指数!$C$62</c:f>
              <c:strCache/>
            </c:strRef>
          </c:tx>
          <c:spPr>
            <a:ln w="25400">
              <a:solidFill>
                <a:srgbClr val="993300"/>
              </a:solidFill>
            </a:ln>
          </c:spPr>
          <c:marker>
            <c:symbol val="square"/>
            <c:size val="7"/>
            <c:spPr>
              <a:solidFill>
                <a:srgbClr val="993300"/>
              </a:solidFill>
              <a:ln>
                <a:solidFill>
                  <a:srgbClr val="9933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販売指数!$D$62:$O$62</c:f>
              <c:numCache/>
            </c:numRef>
          </c:val>
          <c:smooth val="1"/>
        </c:ser>
        <c:ser>
          <c:idx val="29"/>
          <c:order val="29"/>
          <c:tx>
            <c:strRef>
              <c:f>販売指数!$C$63</c:f>
              <c:strCache/>
            </c:strRef>
          </c:tx>
          <c:spPr>
            <a:ln w="25400">
              <a:solidFill>
                <a:srgbClr val="993366"/>
              </a:solidFill>
            </a:ln>
          </c:spPr>
          <c:marker>
            <c:symbol val="triangle"/>
            <c:size val="7"/>
            <c:spPr>
              <a:solidFill>
                <a:srgbClr val="993366"/>
              </a:solidFill>
              <a:ln>
                <a:solidFill>
                  <a:srgbClr val="9933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販売指数!$D$63:$O$63</c:f>
              <c:numCache/>
            </c:numRef>
          </c:val>
          <c:smooth val="1"/>
        </c:ser>
        <c:ser>
          <c:idx val="30"/>
          <c:order val="30"/>
          <c:tx>
            <c:strRef>
              <c:f>販売指数!$C$64</c:f>
              <c:strCache/>
            </c:strRef>
          </c:tx>
          <c:spPr>
            <a:ln w="12700">
              <a:solidFill>
                <a:srgbClr val="333399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3333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販売指数!$D$64:$O$64</c:f>
              <c:numCache/>
            </c:numRef>
          </c:val>
          <c:smooth val="1"/>
        </c:ser>
        <c:ser>
          <c:idx val="31"/>
          <c:order val="31"/>
          <c:tx>
            <c:strRef>
              <c:f>販売指数!$C$65</c:f>
              <c:strCache/>
            </c:strRef>
          </c:tx>
          <c:spPr>
            <a:ln w="12700">
              <a:solidFill>
                <a:srgbClr val="000000"/>
              </a:solidFill>
            </a:ln>
          </c:spPr>
          <c:marker>
            <c:symbol val="star"/>
            <c:size val="5"/>
            <c:spPr>
              <a:noFill/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販売指数!$D$65:$O$65</c:f>
              <c:numCache/>
            </c:numRef>
          </c:val>
          <c:smooth val="1"/>
        </c:ser>
        <c:ser>
          <c:idx val="32"/>
          <c:order val="32"/>
          <c:tx>
            <c:strRef>
              <c:f>販売指数!$C$66</c:f>
              <c:strCache/>
            </c:strRef>
          </c:tx>
          <c:spPr>
            <a:ln w="12700">
              <a:solidFill>
                <a:srgbClr val="FFFFFF"/>
              </a:solidFill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FF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販売指数!$D$66:$O$66</c:f>
              <c:numCache/>
            </c:numRef>
          </c:val>
          <c:smooth val="1"/>
        </c:ser>
        <c:ser>
          <c:idx val="33"/>
          <c:order val="33"/>
          <c:tx>
            <c:strRef>
              <c:f>販売指数!$C$67</c:f>
              <c:strCache/>
            </c:strRef>
          </c:tx>
          <c:spPr>
            <a:ln w="12700">
              <a:solidFill>
                <a:srgbClr val="FF0000"/>
              </a:solidFill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販売指数!$D$67:$O$67</c:f>
              <c:numCache/>
            </c:numRef>
          </c:val>
          <c:smooth val="1"/>
        </c:ser>
        <c:ser>
          <c:idx val="34"/>
          <c:order val="34"/>
          <c:tx>
            <c:strRef>
              <c:f>販売指数!$C$68</c:f>
              <c:strCache/>
            </c:strRef>
          </c:tx>
          <c:spPr>
            <a:ln w="12700">
              <a:solidFill>
                <a:srgbClr val="00FF00"/>
              </a:solidFill>
            </a:ln>
          </c:spPr>
          <c:marker>
            <c:symbol val="dot"/>
            <c:size val="5"/>
            <c:spPr>
              <a:noFill/>
              <a:ln>
                <a:solidFill>
                  <a:srgbClr val="00FF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販売指数!$D$68:$O$68</c:f>
              <c:numCache/>
            </c:numRef>
          </c:val>
          <c:smooth val="1"/>
        </c:ser>
        <c:ser>
          <c:idx val="35"/>
          <c:order val="35"/>
          <c:tx>
            <c:strRef>
              <c:f>販売指数!$C$69</c:f>
              <c:strCache/>
            </c:strRef>
          </c:tx>
          <c:spPr>
            <a:ln w="12700">
              <a:solidFill>
                <a:srgbClr val="0000FF"/>
              </a:solidFill>
            </a:ln>
          </c:spPr>
          <c:marker>
            <c:symbol val="dash"/>
            <c:size val="5"/>
            <c:spPr>
              <a:noFill/>
              <a:ln>
                <a:solidFill>
                  <a:srgbClr val="00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販売指数!$D$69:$O$69</c:f>
              <c:numCache/>
            </c:numRef>
          </c:val>
          <c:smooth val="1"/>
        </c:ser>
        <c:ser>
          <c:idx val="36"/>
          <c:order val="36"/>
          <c:tx>
            <c:strRef>
              <c:f>販売指数!$C$70</c:f>
              <c:strCache/>
            </c:strRef>
          </c:tx>
          <c:spPr>
            <a:ln w="12700">
              <a:solidFill>
                <a:srgbClr val="FFFF00"/>
              </a:solidFill>
            </a:ln>
          </c:spPr>
          <c:marker>
            <c:symbol val="diamond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販売指数!$D$70:$O$70</c:f>
              <c:numCache/>
            </c:numRef>
          </c:val>
          <c:smooth val="1"/>
        </c:ser>
        <c:ser>
          <c:idx val="37"/>
          <c:order val="37"/>
          <c:tx>
            <c:strRef>
              <c:f>販売指数!$C$71</c:f>
              <c:strCache/>
            </c:strRef>
          </c:tx>
          <c:spPr>
            <a:ln w="12700">
              <a:solidFill>
                <a:srgbClr val="FF00FF"/>
              </a:solidFill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販売指数!$D$71:$O$71</c:f>
              <c:numCache/>
            </c:numRef>
          </c:val>
          <c:smooth val="1"/>
        </c:ser>
        <c:ser>
          <c:idx val="38"/>
          <c:order val="38"/>
          <c:tx>
            <c:strRef>
              <c:f>販売指数!$C$72</c:f>
              <c:strCache/>
            </c:strRef>
          </c:tx>
          <c:spPr>
            <a:ln w="12700">
              <a:solidFill>
                <a:srgbClr val="00FFFF"/>
              </a:solidFill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販売指数!$D$72:$O$72</c:f>
              <c:numCache/>
            </c:numRef>
          </c:val>
          <c:smooth val="1"/>
        </c:ser>
        <c:ser>
          <c:idx val="39"/>
          <c:order val="39"/>
          <c:tx>
            <c:strRef>
              <c:f>販売指数!$C$73</c:f>
              <c:strCache/>
            </c:strRef>
          </c:tx>
          <c:spPr>
            <a:ln w="12700">
              <a:solidFill>
                <a:srgbClr val="800000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80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販売指数!$D$73:$O$73</c:f>
              <c:numCache/>
            </c:numRef>
          </c:val>
          <c:smooth val="1"/>
        </c:ser>
        <c:ser>
          <c:idx val="40"/>
          <c:order val="40"/>
          <c:tx>
            <c:strRef>
              <c:f>販売指数!$C$74</c:f>
              <c:strCache/>
            </c:strRef>
          </c:tx>
          <c:spPr>
            <a:ln w="12700">
              <a:solidFill>
                <a:srgbClr val="008000"/>
              </a:solidFill>
            </a:ln>
          </c:spPr>
          <c:marker>
            <c:symbol val="star"/>
            <c:size val="5"/>
            <c:spPr>
              <a:noFill/>
              <a:ln>
                <a:solidFill>
                  <a:srgbClr val="008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販売指数!$D$74:$O$74</c:f>
              <c:numCache/>
            </c:numRef>
          </c:val>
          <c:smooth val="1"/>
        </c:ser>
        <c:ser>
          <c:idx val="41"/>
          <c:order val="41"/>
          <c:tx>
            <c:strRef>
              <c:f>販売指数!$C$75</c:f>
              <c:strCache/>
            </c:strRef>
          </c:tx>
          <c:spPr>
            <a:ln w="12700">
              <a:solidFill>
                <a:srgbClr val="000080"/>
              </a:solidFill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販売指数!$D$75:$O$75</c:f>
              <c:numCache/>
            </c:numRef>
          </c:val>
          <c:smooth val="1"/>
        </c:ser>
        <c:ser>
          <c:idx val="42"/>
          <c:order val="42"/>
          <c:tx>
            <c:strRef>
              <c:f>販売指数!$C$76</c:f>
              <c:strCache/>
            </c:strRef>
          </c:tx>
          <c:spPr>
            <a:ln w="12700">
              <a:solidFill>
                <a:srgbClr val="808000"/>
              </a:solidFill>
            </a:ln>
          </c:spPr>
          <c:marker>
            <c:symbol val="plus"/>
            <c:size val="5"/>
            <c:spPr>
              <a:noFill/>
              <a:ln>
                <a:solidFill>
                  <a:srgbClr val="808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販売指数!$D$76:$O$76</c:f>
              <c:numCache/>
            </c:numRef>
          </c:val>
          <c:smooth val="1"/>
        </c:ser>
        <c:ser>
          <c:idx val="43"/>
          <c:order val="43"/>
          <c:tx>
            <c:strRef>
              <c:f>販売指数!$C$77</c:f>
              <c:strCache/>
            </c:strRef>
          </c:tx>
          <c:spPr>
            <a:ln w="12700">
              <a:solidFill>
                <a:srgbClr val="800080"/>
              </a:solidFill>
            </a:ln>
          </c:spPr>
          <c:marker>
            <c:symbol val="dot"/>
            <c:size val="5"/>
            <c:spPr>
              <a:noFill/>
              <a:ln>
                <a:solidFill>
                  <a:srgbClr val="8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販売指数!$D$77:$O$77</c:f>
              <c:numCache/>
            </c:numRef>
          </c:val>
          <c:smooth val="1"/>
        </c:ser>
        <c:ser>
          <c:idx val="44"/>
          <c:order val="44"/>
          <c:tx>
            <c:strRef>
              <c:f>販売指数!$C$78</c:f>
              <c:strCache/>
            </c:strRef>
          </c:tx>
          <c:spPr>
            <a:ln w="12700">
              <a:solidFill>
                <a:srgbClr val="008080"/>
              </a:solidFill>
            </a:ln>
          </c:spPr>
          <c:marker>
            <c:symbol val="dash"/>
            <c:size val="5"/>
            <c:spPr>
              <a:noFill/>
              <a:ln>
                <a:solidFill>
                  <a:srgbClr val="008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販売指数!$D$78:$O$78</c:f>
              <c:numCache/>
            </c:numRef>
          </c:val>
          <c:smooth val="1"/>
        </c:ser>
        <c:ser>
          <c:idx val="45"/>
          <c:order val="45"/>
          <c:tx>
            <c:strRef>
              <c:f>販売指数!$C$79</c:f>
              <c:strCache/>
            </c:strRef>
          </c:tx>
          <c:spPr>
            <a:ln w="12700">
              <a:solidFill>
                <a:srgbClr val="C0C0C0"/>
              </a:solidFill>
            </a:ln>
          </c:spPr>
          <c:marker>
            <c:symbol val="diamond"/>
            <c:size val="5"/>
            <c:spPr>
              <a:solidFill>
                <a:srgbClr val="C0C0C0"/>
              </a:solidFill>
              <a:ln>
                <a:solidFill>
                  <a:srgbClr val="C0C0C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販売指数!$D$79:$O$79</c:f>
              <c:numCache/>
            </c:numRef>
          </c:val>
          <c:smooth val="1"/>
        </c:ser>
        <c:ser>
          <c:idx val="46"/>
          <c:order val="46"/>
          <c:tx>
            <c:strRef>
              <c:f>販売指数!$C$80</c:f>
              <c:strCache/>
            </c:strRef>
          </c:tx>
          <c:spPr>
            <a:ln w="12700">
              <a:solidFill>
                <a:srgbClr val="808080"/>
              </a:solidFill>
            </a:ln>
          </c:spPr>
          <c:marker>
            <c:symbol val="square"/>
            <c:size val="5"/>
            <c:spPr>
              <a:solidFill>
                <a:srgbClr val="808080"/>
              </a:solidFill>
              <a:ln>
                <a:solidFill>
                  <a:srgbClr val="808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販売指数!$D$80:$O$80</c:f>
              <c:numCache/>
            </c:numRef>
          </c:val>
          <c:smooth val="1"/>
        </c:ser>
        <c:ser>
          <c:idx val="47"/>
          <c:order val="47"/>
          <c:tx>
            <c:strRef>
              <c:f>販売指数!$C$81</c:f>
              <c:strCache/>
            </c:strRef>
          </c:tx>
          <c:spPr>
            <a:ln w="12700">
              <a:solidFill>
                <a:srgbClr val="9999FF"/>
              </a:solidFill>
            </a:ln>
          </c:spPr>
          <c:marker>
            <c:symbol val="triangle"/>
            <c:size val="5"/>
            <c:spPr>
              <a:solidFill>
                <a:srgbClr val="9999FF"/>
              </a:solidFill>
              <a:ln>
                <a:solidFill>
                  <a:srgbClr val="9999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販売指数!$D$81:$O$81</c:f>
              <c:numCache/>
            </c:numRef>
          </c:val>
          <c:smooth val="1"/>
        </c:ser>
        <c:ser>
          <c:idx val="48"/>
          <c:order val="48"/>
          <c:tx>
            <c:strRef>
              <c:f>販売指数!$C$82</c:f>
              <c:strCache/>
            </c:strRef>
          </c:tx>
          <c:spPr>
            <a:ln w="12700">
              <a:solidFill>
                <a:srgbClr val="993366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9933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販売指数!$D$82:$O$82</c:f>
              <c:numCache/>
            </c:numRef>
          </c:val>
          <c:smooth val="1"/>
        </c:ser>
        <c:ser>
          <c:idx val="49"/>
          <c:order val="49"/>
          <c:tx>
            <c:strRef>
              <c:f>販売指数!$C$83</c:f>
              <c:strCache/>
            </c:strRef>
          </c:tx>
          <c:spPr>
            <a:ln w="12700">
              <a:solidFill>
                <a:srgbClr val="FFFFCC"/>
              </a:solidFill>
            </a:ln>
          </c:spPr>
          <c:marker>
            <c:symbol val="star"/>
            <c:size val="5"/>
            <c:spPr>
              <a:noFill/>
              <a:ln>
                <a:solidFill>
                  <a:srgbClr val="FFFF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販売指数!$D$83:$O$83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1"/>
            </a:pPr>
            <a:endParaRPr sz="1000" b="1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;&quot;▲ &quot;#,##0" sourceLinked="0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/>
            </a:pPr>
            <a:endParaRPr sz="10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928409090909091"/>
          <c:y val="0.015309231225834337"/>
          <c:w val="0.064772727272727273"/>
          <c:h val="0.9598481821459393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/>
          </a:pPr>
          <a:endParaRPr sz="675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1150">
          <a:solidFill>
            <a:srgbClr val="000000"/>
          </a:solidFill>
        </a:defRPr>
      </a:pPr>
      <a:endParaRPr sz="1150">
        <a:solidFill>
          <a:srgbClr val="000000"/>
        </a:solidFill>
      </a:endParaRPr>
    </a:p>
  </c:txPr>
  <c:printSettings>
    <c:pageMargins l="0.75" r="0.75" t="1" b="1" header="0.512" footer="0.512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150" b="0"/>
              <a:t> </a:t>
            </a:r>
          </a:p>
        </c:rich>
      </c:tx>
      <c:layout>
        <c:manualLayout>
          <c:xMode val="edge"/>
          <c:yMode val="edge"/>
          <c:x val="0.49879129734085415"/>
          <c:y val="0.030567685589519649"/>
        </c:manualLayout>
      </c:layout>
      <c:overlay val="0"/>
      <c:spPr>
        <a:noFill/>
        <a:ln w="25400">
          <a:noFill/>
        </a:ln>
      </c:spPr>
    </c:title>
    <c:plotArea>
      <c:layout>
        <c:manualLayout>
          <c:xMode val="edge"/>
          <c:yMode val="edge"/>
          <c:x val="0.027646131651702537"/>
          <c:y val="0.015309231225834337"/>
          <c:w val="0.88939874822443177"/>
          <c:h val="0.95984818214593937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販売指数!$C$170</c:f>
              <c:strCache/>
            </c:strRef>
          </c:tx>
          <c:spPr>
            <a:ln w="25400">
              <a:solidFill>
                <a:srgbClr val="000080"/>
              </a:solidFill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販売指数!$D$170:$O$170</c:f>
              <c:numCache/>
            </c:numRef>
          </c:val>
          <c:smooth val="1"/>
        </c:ser>
        <c:ser>
          <c:idx val="1"/>
          <c:order val="1"/>
          <c:tx>
            <c:strRef>
              <c:f>販売指数!$C$171</c:f>
              <c:strCache/>
            </c:strRef>
          </c:tx>
          <c:spPr>
            <a:ln w="25400">
              <a:solidFill>
                <a:srgbClr val="FF00FF"/>
              </a:solidFill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販売指数!$D$171:$O$171</c:f>
              <c:numCache/>
            </c:numRef>
          </c:val>
          <c:smooth val="1"/>
        </c:ser>
        <c:ser>
          <c:idx val="2"/>
          <c:order val="2"/>
          <c:tx>
            <c:strRef>
              <c:f>販売指数!$C$172</c:f>
              <c:strCache/>
            </c:strRef>
          </c:tx>
          <c:spPr>
            <a:ln w="25400">
              <a:solidFill>
                <a:srgbClr val="FFFF00"/>
              </a:solidFill>
            </a:ln>
          </c:spPr>
          <c:marker>
            <c:symbol val="triangle"/>
            <c:size val="7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販売指数!$D$172:$O$172</c:f>
              <c:numCache/>
            </c:numRef>
          </c:val>
          <c:smooth val="1"/>
        </c:ser>
        <c:ser>
          <c:idx val="3"/>
          <c:order val="3"/>
          <c:tx>
            <c:strRef>
              <c:f>販売指数!$C$173</c:f>
              <c:strCache/>
            </c:strRef>
          </c:tx>
          <c:spPr>
            <a:ln w="25400">
              <a:solidFill>
                <a:srgbClr val="00FFFF"/>
              </a:solidFill>
            </a:ln>
          </c:spPr>
          <c:marker>
            <c:symbol val="x"/>
            <c:size val="7"/>
            <c:spPr>
              <a:noFill/>
              <a:ln>
                <a:solidFill>
                  <a:srgbClr val="00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販売指数!$D$173:$O$173</c:f>
              <c:numCache/>
            </c:numRef>
          </c:val>
          <c:smooth val="1"/>
        </c:ser>
        <c:ser>
          <c:idx val="4"/>
          <c:order val="4"/>
          <c:tx>
            <c:strRef>
              <c:f>販売指数!$C$174</c:f>
              <c:strCache/>
            </c:strRef>
          </c:tx>
          <c:spPr>
            <a:ln w="25400">
              <a:solidFill>
                <a:srgbClr val="800080"/>
              </a:solidFill>
            </a:ln>
          </c:spPr>
          <c:marker>
            <c:symbol val="star"/>
            <c:size val="7"/>
            <c:spPr>
              <a:noFill/>
              <a:ln>
                <a:solidFill>
                  <a:srgbClr val="8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販売指数!$D$174:$O$174</c:f>
              <c:numCache/>
            </c:numRef>
          </c:val>
          <c:smooth val="1"/>
        </c:ser>
        <c:ser>
          <c:idx val="5"/>
          <c:order val="5"/>
          <c:tx>
            <c:strRef>
              <c:f>販売指数!$C$175</c:f>
              <c:strCache/>
            </c:strRef>
          </c:tx>
          <c:spPr>
            <a:ln w="25400">
              <a:solidFill>
                <a:srgbClr val="800000"/>
              </a:solidFill>
            </a:ln>
          </c:spPr>
          <c:marker>
            <c:symbol val="circle"/>
            <c:size val="7"/>
            <c:spPr>
              <a:solidFill>
                <a:srgbClr val="800000"/>
              </a:solidFill>
              <a:ln>
                <a:solidFill>
                  <a:srgbClr val="80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販売指数!$D$175:$O$175</c:f>
              <c:numCache/>
            </c:numRef>
          </c:val>
          <c:smooth val="1"/>
        </c:ser>
        <c:ser>
          <c:idx val="6"/>
          <c:order val="6"/>
          <c:tx>
            <c:strRef>
              <c:f>販売指数!$C$176</c:f>
              <c:strCache/>
            </c:strRef>
          </c:tx>
          <c:spPr>
            <a:ln w="25400">
              <a:solidFill>
                <a:srgbClr val="008080"/>
              </a:solidFill>
            </a:ln>
          </c:spPr>
          <c:marker>
            <c:symbol val="plus"/>
            <c:size val="7"/>
            <c:spPr>
              <a:noFill/>
              <a:ln>
                <a:solidFill>
                  <a:srgbClr val="008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販売指数!$D$176:$O$176</c:f>
              <c:numCache/>
            </c:numRef>
          </c:val>
          <c:smooth val="1"/>
        </c:ser>
        <c:ser>
          <c:idx val="7"/>
          <c:order val="7"/>
          <c:tx>
            <c:strRef>
              <c:f>販売指数!$C$177</c:f>
              <c:strCache/>
            </c:strRef>
          </c:tx>
          <c:spPr>
            <a:ln w="25400">
              <a:solidFill>
                <a:srgbClr val="0000FF"/>
              </a:solidFill>
            </a:ln>
          </c:spPr>
          <c:marker>
            <c:symbol val="dot"/>
            <c:size val="7"/>
            <c:spPr>
              <a:noFill/>
              <a:ln>
                <a:solidFill>
                  <a:srgbClr val="00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販売指数!$D$177:$O$177</c:f>
              <c:numCache/>
            </c:numRef>
          </c:val>
          <c:smooth val="1"/>
        </c:ser>
        <c:ser>
          <c:idx val="8"/>
          <c:order val="8"/>
          <c:tx>
            <c:strRef>
              <c:f>販売指数!$C$178</c:f>
              <c:strCache/>
            </c:strRef>
          </c:tx>
          <c:spPr>
            <a:ln w="25400">
              <a:solidFill>
                <a:srgbClr val="00CCFF"/>
              </a:solidFill>
            </a:ln>
          </c:spPr>
          <c:marker>
            <c:symbol val="dash"/>
            <c:size val="7"/>
            <c:spPr>
              <a:noFill/>
              <a:ln>
                <a:solidFill>
                  <a:srgbClr val="00CC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販売指数!$D$178:$O$178</c:f>
              <c:numCache/>
            </c:numRef>
          </c:val>
          <c:smooth val="1"/>
        </c:ser>
        <c:ser>
          <c:idx val="9"/>
          <c:order val="9"/>
          <c:tx>
            <c:strRef>
              <c:f>販売指数!$C$179</c:f>
              <c:strCache/>
            </c:strRef>
          </c:tx>
          <c:spPr>
            <a:ln w="25400">
              <a:solidFill>
                <a:srgbClr val="CCFFFF"/>
              </a:solidFill>
            </a:ln>
          </c:spPr>
          <c:marker>
            <c:symbol val="diamond"/>
            <c:size val="7"/>
            <c:spPr>
              <a:solidFill>
                <a:srgbClr val="CCFFFF"/>
              </a:solidFill>
              <a:ln>
                <a:solidFill>
                  <a:srgbClr val="CC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販売指数!$D$179:$O$179</c:f>
              <c:numCache/>
            </c:numRef>
          </c:val>
          <c:smooth val="1"/>
        </c:ser>
        <c:ser>
          <c:idx val="10"/>
          <c:order val="10"/>
          <c:tx>
            <c:strRef>
              <c:f>販売指数!$C$180</c:f>
              <c:strCache/>
            </c:strRef>
          </c:tx>
          <c:spPr>
            <a:ln w="25400">
              <a:solidFill>
                <a:srgbClr val="CCFFCC"/>
              </a:solidFill>
            </a:ln>
          </c:spPr>
          <c:marker>
            <c:symbol val="square"/>
            <c:size val="7"/>
            <c:spPr>
              <a:solidFill>
                <a:srgbClr val="CCFFCC"/>
              </a:solidFill>
              <a:ln>
                <a:solidFill>
                  <a:srgbClr val="CCFF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販売指数!$D$180:$O$180</c:f>
              <c:numCache/>
            </c:numRef>
          </c:val>
          <c:smooth val="1"/>
        </c:ser>
        <c:ser>
          <c:idx val="11"/>
          <c:order val="11"/>
          <c:tx>
            <c:strRef>
              <c:f>販売指数!$C$181</c:f>
              <c:strCache/>
            </c:strRef>
          </c:tx>
          <c:spPr>
            <a:ln w="25400">
              <a:solidFill>
                <a:srgbClr val="FFFF99"/>
              </a:solidFill>
            </a:ln>
          </c:spPr>
          <c:marker>
            <c:symbol val="triangle"/>
            <c:size val="7"/>
            <c:spPr>
              <a:solidFill>
                <a:srgbClr val="FFFF99"/>
              </a:solidFill>
              <a:ln>
                <a:solidFill>
                  <a:srgbClr val="FFFF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販売指数!$D$181:$O$181</c:f>
              <c:numCache/>
            </c:numRef>
          </c:val>
          <c:smooth val="1"/>
        </c:ser>
        <c:ser>
          <c:idx val="12"/>
          <c:order val="12"/>
          <c:tx>
            <c:strRef>
              <c:f>販売指数!$C$182</c:f>
              <c:strCache/>
            </c:strRef>
          </c:tx>
          <c:spPr>
            <a:ln w="25400">
              <a:solidFill>
                <a:srgbClr val="99CCFF"/>
              </a:solidFill>
            </a:ln>
          </c:spPr>
          <c:marker>
            <c:symbol val="x"/>
            <c:size val="7"/>
            <c:spPr>
              <a:noFill/>
              <a:ln>
                <a:solidFill>
                  <a:srgbClr val="99CC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販売指数!$D$182:$O$182</c:f>
              <c:numCache/>
            </c:numRef>
          </c:val>
          <c:smooth val="1"/>
        </c:ser>
        <c:ser>
          <c:idx val="13"/>
          <c:order val="13"/>
          <c:tx>
            <c:strRef>
              <c:f>販売指数!$C$183</c:f>
              <c:strCache/>
            </c:strRef>
          </c:tx>
          <c:spPr>
            <a:ln w="25400">
              <a:solidFill>
                <a:srgbClr val="FF99CC"/>
              </a:solidFill>
            </a:ln>
          </c:spPr>
          <c:marker>
            <c:symbol val="star"/>
            <c:size val="7"/>
            <c:spPr>
              <a:noFill/>
              <a:ln>
                <a:solidFill>
                  <a:srgbClr val="FF99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販売指数!$D$183:$O$183</c:f>
              <c:numCache/>
            </c:numRef>
          </c:val>
          <c:smooth val="1"/>
        </c:ser>
        <c:ser>
          <c:idx val="14"/>
          <c:order val="14"/>
          <c:tx>
            <c:strRef>
              <c:f>販売指数!$C$184</c:f>
              <c:strCache/>
            </c:strRef>
          </c:tx>
          <c:spPr>
            <a:ln w="25400">
              <a:solidFill>
                <a:srgbClr val="CC99FF"/>
              </a:solidFill>
            </a:ln>
          </c:spPr>
          <c:marker>
            <c:symbol val="circle"/>
            <c:size val="7"/>
            <c:spPr>
              <a:solidFill>
                <a:srgbClr val="CC99FF"/>
              </a:solidFill>
              <a:ln>
                <a:solidFill>
                  <a:srgbClr val="CC99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販売指数!$D$184:$O$184</c:f>
              <c:numCache/>
            </c:numRef>
          </c:val>
          <c:smooth val="1"/>
        </c:ser>
        <c:ser>
          <c:idx val="15"/>
          <c:order val="15"/>
          <c:tx>
            <c:strRef>
              <c:f>販売指数!$C$185</c:f>
              <c:strCache/>
            </c:strRef>
          </c:tx>
          <c:spPr>
            <a:ln w="25400">
              <a:solidFill>
                <a:srgbClr val="FFCC99"/>
              </a:solidFill>
            </a:ln>
          </c:spPr>
          <c:marker>
            <c:symbol val="plus"/>
            <c:size val="7"/>
            <c:spPr>
              <a:noFill/>
              <a:ln>
                <a:solidFill>
                  <a:srgbClr val="FFCC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販売指数!$D$185:$O$185</c:f>
              <c:numCache/>
            </c:numRef>
          </c:val>
          <c:smooth val="1"/>
        </c:ser>
        <c:ser>
          <c:idx val="16"/>
          <c:order val="16"/>
          <c:tx>
            <c:strRef>
              <c:f>販売指数!$C$186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ot"/>
            <c:size val="7"/>
            <c:spPr>
              <a:noFill/>
              <a:ln>
                <a:solidFill>
                  <a:srgbClr val="3366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販売指数!$D$186:$O$186</c:f>
              <c:numCache/>
            </c:numRef>
          </c:val>
          <c:smooth val="1"/>
        </c:ser>
        <c:ser>
          <c:idx val="17"/>
          <c:order val="17"/>
          <c:tx>
            <c:strRef>
              <c:f>販売指数!$C$187</c:f>
              <c:strCache/>
            </c:strRef>
          </c:tx>
          <c:spPr>
            <a:ln w="25400">
              <a:solidFill>
                <a:srgbClr val="33CCCC"/>
              </a:solidFill>
            </a:ln>
          </c:spPr>
          <c:marker>
            <c:symbol val="dash"/>
            <c:size val="7"/>
            <c:spPr>
              <a:noFill/>
              <a:ln>
                <a:solidFill>
                  <a:srgbClr val="33CC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販売指数!$D$187:$O$187</c:f>
              <c:numCache/>
            </c:numRef>
          </c:val>
          <c:smooth val="1"/>
        </c:ser>
        <c:ser>
          <c:idx val="18"/>
          <c:order val="18"/>
          <c:tx>
            <c:strRef>
              <c:f>販売指数!$C$188</c:f>
              <c:strCache/>
            </c:strRef>
          </c:tx>
          <c:spPr>
            <a:ln w="25400">
              <a:solidFill>
                <a:srgbClr val="99CC00"/>
              </a:solidFill>
            </a:ln>
          </c:spPr>
          <c:marker>
            <c:symbol val="diamond"/>
            <c:size val="7"/>
            <c:spPr>
              <a:solidFill>
                <a:srgbClr val="99CC00"/>
              </a:solidFill>
              <a:ln>
                <a:solidFill>
                  <a:srgbClr val="99CC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販売指数!$D$188:$O$188</c:f>
              <c:numCache/>
            </c:numRef>
          </c:val>
          <c:smooth val="1"/>
        </c:ser>
        <c:ser>
          <c:idx val="19"/>
          <c:order val="19"/>
          <c:tx>
            <c:strRef>
              <c:f>販売指数!$C$189</c:f>
              <c:strCache/>
            </c:strRef>
          </c:tx>
          <c:spPr>
            <a:ln w="25400">
              <a:solidFill>
                <a:srgbClr val="FFCC00"/>
              </a:solidFill>
            </a:ln>
          </c:spPr>
          <c:marker>
            <c:symbol val="square"/>
            <c:size val="7"/>
            <c:spPr>
              <a:solidFill>
                <a:srgbClr val="FFCC00"/>
              </a:solidFill>
              <a:ln>
                <a:solidFill>
                  <a:srgbClr val="FFCC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販売指数!$D$189:$O$189</c:f>
              <c:numCache/>
            </c:numRef>
          </c:val>
          <c:smooth val="1"/>
        </c:ser>
        <c:ser>
          <c:idx val="20"/>
          <c:order val="20"/>
          <c:tx>
            <c:strRef>
              <c:f>販売指数!$C$190</c:f>
              <c:strCache/>
            </c:strRef>
          </c:tx>
          <c:spPr>
            <a:ln w="25400">
              <a:solidFill>
                <a:srgbClr val="FF9900"/>
              </a:solidFill>
            </a:ln>
          </c:spPr>
          <c:marker>
            <c:symbol val="triangle"/>
            <c:size val="7"/>
            <c:spPr>
              <a:solidFill>
                <a:srgbClr val="FF9900"/>
              </a:solidFill>
              <a:ln>
                <a:solidFill>
                  <a:srgbClr val="FF99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販売指数!$D$190:$O$190</c:f>
              <c:numCache/>
            </c:numRef>
          </c:val>
          <c:smooth val="1"/>
        </c:ser>
        <c:ser>
          <c:idx val="21"/>
          <c:order val="21"/>
          <c:tx>
            <c:strRef>
              <c:f>販売指数!$C$191</c:f>
              <c:strCache/>
            </c:strRef>
          </c:tx>
          <c:spPr>
            <a:ln w="25400">
              <a:solidFill>
                <a:srgbClr val="FF6600"/>
              </a:solidFill>
            </a:ln>
          </c:spPr>
          <c:marker>
            <c:symbol val="x"/>
            <c:size val="7"/>
            <c:spPr>
              <a:noFill/>
              <a:ln>
                <a:solidFill>
                  <a:srgbClr val="FF66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販売指数!$D$191:$O$191</c:f>
              <c:numCache/>
            </c:numRef>
          </c:val>
          <c:smooth val="1"/>
        </c:ser>
        <c:ser>
          <c:idx val="22"/>
          <c:order val="22"/>
          <c:tx>
            <c:strRef>
              <c:f>販売指数!$C$192</c:f>
              <c:strCache/>
            </c:strRef>
          </c:tx>
          <c:spPr>
            <a:ln w="25400">
              <a:solidFill>
                <a:srgbClr val="666699"/>
              </a:solidFill>
            </a:ln>
          </c:spPr>
          <c:marker>
            <c:symbol val="star"/>
            <c:size val="7"/>
            <c:spPr>
              <a:noFill/>
              <a:ln>
                <a:solidFill>
                  <a:srgbClr val="6666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販売指数!$D$192:$O$192</c:f>
              <c:numCache/>
            </c:numRef>
          </c:val>
          <c:smooth val="1"/>
        </c:ser>
        <c:ser>
          <c:idx val="23"/>
          <c:order val="23"/>
          <c:tx>
            <c:strRef>
              <c:f>販売指数!$C$193</c:f>
              <c:strCache/>
            </c:strRef>
          </c:tx>
          <c:spPr>
            <a:ln w="25400">
              <a:solidFill>
                <a:srgbClr val="969696"/>
              </a:solidFill>
            </a:ln>
          </c:spPr>
          <c:marker>
            <c:symbol val="circle"/>
            <c:size val="7"/>
            <c:spPr>
              <a:solidFill>
                <a:srgbClr val="969696"/>
              </a:solidFill>
              <a:ln>
                <a:solidFill>
                  <a:srgbClr val="96969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販売指数!$D$193:$O$193</c:f>
              <c:numCache/>
            </c:numRef>
          </c:val>
          <c:smooth val="1"/>
        </c:ser>
        <c:ser>
          <c:idx val="24"/>
          <c:order val="24"/>
          <c:tx>
            <c:strRef>
              <c:f>販売指数!$C$194</c:f>
              <c:strCache/>
            </c:strRef>
          </c:tx>
          <c:spPr>
            <a:ln w="25400">
              <a:solidFill>
                <a:srgbClr val="003366"/>
              </a:solidFill>
            </a:ln>
          </c:spPr>
          <c:marker>
            <c:symbol val="plus"/>
            <c:size val="7"/>
            <c:spPr>
              <a:noFill/>
              <a:ln>
                <a:solidFill>
                  <a:srgbClr val="0033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販売指数!$D$194:$O$194</c:f>
              <c:numCache/>
            </c:numRef>
          </c:val>
          <c:smooth val="1"/>
        </c:ser>
        <c:ser>
          <c:idx val="25"/>
          <c:order val="25"/>
          <c:tx>
            <c:strRef>
              <c:f>販売指数!$C$195</c:f>
              <c:strCache/>
            </c:strRef>
          </c:tx>
          <c:spPr>
            <a:ln w="25400">
              <a:solidFill>
                <a:srgbClr val="339966"/>
              </a:solidFill>
            </a:ln>
          </c:spPr>
          <c:marker>
            <c:symbol val="dot"/>
            <c:size val="7"/>
            <c:spPr>
              <a:noFill/>
              <a:ln>
                <a:solidFill>
                  <a:srgbClr val="3399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販売指数!$D$195:$O$195</c:f>
              <c:numCache/>
            </c:numRef>
          </c:val>
          <c:smooth val="1"/>
        </c:ser>
        <c:ser>
          <c:idx val="26"/>
          <c:order val="26"/>
          <c:tx>
            <c:strRef>
              <c:f>販売指数!$C$196</c:f>
              <c:strCache/>
            </c:strRef>
          </c:tx>
          <c:spPr>
            <a:ln w="25400">
              <a:solidFill>
                <a:srgbClr val="003300"/>
              </a:solidFill>
            </a:ln>
          </c:spPr>
          <c:marker>
            <c:symbol val="dash"/>
            <c:size val="7"/>
            <c:spPr>
              <a:noFill/>
              <a:ln>
                <a:solidFill>
                  <a:srgbClr val="0033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販売指数!$D$196:$O$196</c:f>
              <c:numCache/>
            </c:numRef>
          </c:val>
          <c:smooth val="1"/>
        </c:ser>
        <c:ser>
          <c:idx val="27"/>
          <c:order val="27"/>
          <c:tx>
            <c:strRef>
              <c:f>販売指数!$C$197</c:f>
              <c:strCache/>
            </c:strRef>
          </c:tx>
          <c:spPr>
            <a:ln w="25400">
              <a:solidFill>
                <a:srgbClr val="333300"/>
              </a:solidFill>
            </a:ln>
          </c:spPr>
          <c:marker>
            <c:symbol val="diamond"/>
            <c:size val="7"/>
            <c:spPr>
              <a:solidFill>
                <a:srgbClr val="333300"/>
              </a:solidFill>
              <a:ln>
                <a:solidFill>
                  <a:srgbClr val="3333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販売指数!$D$197:$O$197</c:f>
              <c:numCache/>
            </c:numRef>
          </c:val>
          <c:smooth val="1"/>
        </c:ser>
        <c:ser>
          <c:idx val="28"/>
          <c:order val="28"/>
          <c:tx>
            <c:strRef>
              <c:f>販売指数!$C$198</c:f>
              <c:strCache/>
            </c:strRef>
          </c:tx>
          <c:spPr>
            <a:ln w="25400">
              <a:solidFill>
                <a:srgbClr val="993300"/>
              </a:solidFill>
            </a:ln>
          </c:spPr>
          <c:marker>
            <c:symbol val="square"/>
            <c:size val="7"/>
            <c:spPr>
              <a:solidFill>
                <a:srgbClr val="993300"/>
              </a:solidFill>
              <a:ln>
                <a:solidFill>
                  <a:srgbClr val="9933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販売指数!$D$198:$O$198</c:f>
              <c:numCache/>
            </c:numRef>
          </c:val>
          <c:smooth val="1"/>
        </c:ser>
        <c:ser>
          <c:idx val="29"/>
          <c:order val="29"/>
          <c:tx>
            <c:strRef>
              <c:f>販売指数!$C$199</c:f>
              <c:strCache/>
            </c:strRef>
          </c:tx>
          <c:spPr>
            <a:ln w="25400">
              <a:solidFill>
                <a:srgbClr val="993366"/>
              </a:solidFill>
            </a:ln>
          </c:spPr>
          <c:marker>
            <c:symbol val="triangle"/>
            <c:size val="7"/>
            <c:spPr>
              <a:solidFill>
                <a:srgbClr val="993366"/>
              </a:solidFill>
              <a:ln>
                <a:solidFill>
                  <a:srgbClr val="9933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販売指数!$D$199:$O$199</c:f>
              <c:numCache/>
            </c:numRef>
          </c:val>
          <c:smooth val="1"/>
        </c:ser>
        <c:ser>
          <c:idx val="30"/>
          <c:order val="30"/>
          <c:tx>
            <c:strRef>
              <c:f>販売指数!$C$200</c:f>
              <c:strCache/>
            </c:strRef>
          </c:tx>
          <c:spPr>
            <a:ln w="12700">
              <a:solidFill>
                <a:srgbClr val="333399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3333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販売指数!$D$200:$O$200</c:f>
              <c:numCache/>
            </c:numRef>
          </c:val>
          <c:smooth val="1"/>
        </c:ser>
        <c:ser>
          <c:idx val="31"/>
          <c:order val="31"/>
          <c:tx>
            <c:strRef>
              <c:f>販売指数!$C$201</c:f>
              <c:strCache/>
            </c:strRef>
          </c:tx>
          <c:spPr>
            <a:ln w="12700">
              <a:solidFill>
                <a:srgbClr val="000000"/>
              </a:solidFill>
            </a:ln>
          </c:spPr>
          <c:marker>
            <c:symbol val="star"/>
            <c:size val="5"/>
            <c:spPr>
              <a:noFill/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販売指数!$D$201:$O$201</c:f>
              <c:numCache/>
            </c:numRef>
          </c:val>
          <c:smooth val="1"/>
        </c:ser>
        <c:ser>
          <c:idx val="32"/>
          <c:order val="32"/>
          <c:tx>
            <c:strRef>
              <c:f>販売指数!$C$202</c:f>
              <c:strCache/>
            </c:strRef>
          </c:tx>
          <c:spPr>
            <a:ln w="12700">
              <a:solidFill>
                <a:srgbClr val="FFFFFF"/>
              </a:solidFill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FF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販売指数!$D$202:$O$202</c:f>
              <c:numCache/>
            </c:numRef>
          </c:val>
          <c:smooth val="1"/>
        </c:ser>
        <c:ser>
          <c:idx val="33"/>
          <c:order val="33"/>
          <c:tx>
            <c:strRef>
              <c:f>販売指数!$C$203</c:f>
              <c:strCache/>
            </c:strRef>
          </c:tx>
          <c:spPr>
            <a:ln w="12700">
              <a:solidFill>
                <a:srgbClr val="FF0000"/>
              </a:solidFill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販売指数!$D$203:$O$203</c:f>
              <c:numCache/>
            </c:numRef>
          </c:val>
          <c:smooth val="1"/>
        </c:ser>
        <c:ser>
          <c:idx val="34"/>
          <c:order val="34"/>
          <c:tx>
            <c:strRef>
              <c:f>販売指数!$C$204</c:f>
              <c:strCache/>
            </c:strRef>
          </c:tx>
          <c:spPr>
            <a:ln w="12700">
              <a:solidFill>
                <a:srgbClr val="00FF00"/>
              </a:solidFill>
            </a:ln>
          </c:spPr>
          <c:marker>
            <c:symbol val="dot"/>
            <c:size val="5"/>
            <c:spPr>
              <a:noFill/>
              <a:ln>
                <a:solidFill>
                  <a:srgbClr val="00FF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販売指数!$D$204:$O$204</c:f>
              <c:numCache/>
            </c:numRef>
          </c:val>
          <c:smooth val="1"/>
        </c:ser>
        <c:ser>
          <c:idx val="35"/>
          <c:order val="35"/>
          <c:tx>
            <c:strRef>
              <c:f>販売指数!$C$205</c:f>
              <c:strCache/>
            </c:strRef>
          </c:tx>
          <c:spPr>
            <a:ln w="12700">
              <a:solidFill>
                <a:srgbClr val="0000FF"/>
              </a:solidFill>
            </a:ln>
          </c:spPr>
          <c:marker>
            <c:symbol val="dash"/>
            <c:size val="5"/>
            <c:spPr>
              <a:noFill/>
              <a:ln>
                <a:solidFill>
                  <a:srgbClr val="00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販売指数!$D$205:$O$205</c:f>
              <c:numCache/>
            </c:numRef>
          </c:val>
          <c:smooth val="1"/>
        </c:ser>
        <c:ser>
          <c:idx val="36"/>
          <c:order val="36"/>
          <c:tx>
            <c:strRef>
              <c:f>販売指数!$C$206</c:f>
              <c:strCache/>
            </c:strRef>
          </c:tx>
          <c:spPr>
            <a:ln w="12700">
              <a:solidFill>
                <a:srgbClr val="FFFF00"/>
              </a:solidFill>
            </a:ln>
          </c:spPr>
          <c:marker>
            <c:symbol val="diamond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販売指数!$D$206:$O$206</c:f>
              <c:numCache/>
            </c:numRef>
          </c:val>
          <c:smooth val="1"/>
        </c:ser>
        <c:ser>
          <c:idx val="37"/>
          <c:order val="37"/>
          <c:tx>
            <c:strRef>
              <c:f>販売指数!$C$207</c:f>
              <c:strCache/>
            </c:strRef>
          </c:tx>
          <c:spPr>
            <a:ln w="12700">
              <a:solidFill>
                <a:srgbClr val="FF00FF"/>
              </a:solidFill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販売指数!$D$207:$O$207</c:f>
              <c:numCache/>
            </c:numRef>
          </c:val>
          <c:smooth val="1"/>
        </c:ser>
        <c:ser>
          <c:idx val="38"/>
          <c:order val="38"/>
          <c:tx>
            <c:strRef>
              <c:f>販売指数!$C$208</c:f>
              <c:strCache/>
            </c:strRef>
          </c:tx>
          <c:spPr>
            <a:ln w="12700">
              <a:solidFill>
                <a:srgbClr val="00FFFF"/>
              </a:solidFill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販売指数!$D$208:$O$208</c:f>
              <c:numCache/>
            </c:numRef>
          </c:val>
          <c:smooth val="1"/>
        </c:ser>
        <c:ser>
          <c:idx val="39"/>
          <c:order val="39"/>
          <c:tx>
            <c:strRef>
              <c:f>販売指数!$C$209</c:f>
              <c:strCache/>
            </c:strRef>
          </c:tx>
          <c:spPr>
            <a:ln w="12700">
              <a:solidFill>
                <a:srgbClr val="800000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80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販売指数!$D$209:$O$209</c:f>
              <c:numCache/>
            </c:numRef>
          </c:val>
          <c:smooth val="1"/>
        </c:ser>
        <c:ser>
          <c:idx val="40"/>
          <c:order val="40"/>
          <c:tx>
            <c:strRef>
              <c:f>販売指数!$C$210</c:f>
              <c:strCache/>
            </c:strRef>
          </c:tx>
          <c:spPr>
            <a:ln w="12700">
              <a:solidFill>
                <a:srgbClr val="008000"/>
              </a:solidFill>
            </a:ln>
          </c:spPr>
          <c:marker>
            <c:symbol val="star"/>
            <c:size val="5"/>
            <c:spPr>
              <a:noFill/>
              <a:ln>
                <a:solidFill>
                  <a:srgbClr val="008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販売指数!$D$210:$O$210</c:f>
              <c:numCache/>
            </c:numRef>
          </c:val>
          <c:smooth val="1"/>
        </c:ser>
        <c:ser>
          <c:idx val="41"/>
          <c:order val="41"/>
          <c:tx>
            <c:strRef>
              <c:f>販売指数!$C$211</c:f>
              <c:strCache/>
            </c:strRef>
          </c:tx>
          <c:spPr>
            <a:ln w="12700">
              <a:solidFill>
                <a:srgbClr val="000080"/>
              </a:solidFill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販売指数!$D$211:$O$211</c:f>
              <c:numCache/>
            </c:numRef>
          </c:val>
          <c:smooth val="1"/>
        </c:ser>
        <c:ser>
          <c:idx val="42"/>
          <c:order val="42"/>
          <c:tx>
            <c:strRef>
              <c:f>販売指数!$C$212</c:f>
              <c:strCache/>
            </c:strRef>
          </c:tx>
          <c:spPr>
            <a:ln w="12700">
              <a:solidFill>
                <a:srgbClr val="808000"/>
              </a:solidFill>
            </a:ln>
          </c:spPr>
          <c:marker>
            <c:symbol val="plus"/>
            <c:size val="5"/>
            <c:spPr>
              <a:noFill/>
              <a:ln>
                <a:solidFill>
                  <a:srgbClr val="808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販売指数!$D$212:$O$212</c:f>
              <c:numCache/>
            </c:numRef>
          </c:val>
          <c:smooth val="1"/>
        </c:ser>
        <c:ser>
          <c:idx val="43"/>
          <c:order val="43"/>
          <c:tx>
            <c:strRef>
              <c:f>販売指数!$C$213</c:f>
              <c:strCache/>
            </c:strRef>
          </c:tx>
          <c:spPr>
            <a:ln w="12700">
              <a:solidFill>
                <a:srgbClr val="800080"/>
              </a:solidFill>
            </a:ln>
          </c:spPr>
          <c:marker>
            <c:symbol val="dot"/>
            <c:size val="5"/>
            <c:spPr>
              <a:noFill/>
              <a:ln>
                <a:solidFill>
                  <a:srgbClr val="8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販売指数!$D$213:$O$213</c:f>
              <c:numCache/>
            </c:numRef>
          </c:val>
          <c:smooth val="1"/>
        </c:ser>
        <c:ser>
          <c:idx val="44"/>
          <c:order val="44"/>
          <c:tx>
            <c:strRef>
              <c:f>販売指数!$C$214</c:f>
              <c:strCache/>
            </c:strRef>
          </c:tx>
          <c:spPr>
            <a:ln w="12700">
              <a:solidFill>
                <a:srgbClr val="008080"/>
              </a:solidFill>
            </a:ln>
          </c:spPr>
          <c:marker>
            <c:symbol val="dash"/>
            <c:size val="5"/>
            <c:spPr>
              <a:noFill/>
              <a:ln>
                <a:solidFill>
                  <a:srgbClr val="008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販売指数!$D$214:$O$214</c:f>
              <c:numCache/>
            </c:numRef>
          </c:val>
          <c:smooth val="1"/>
        </c:ser>
        <c:ser>
          <c:idx val="45"/>
          <c:order val="45"/>
          <c:tx>
            <c:strRef>
              <c:f>販売指数!$C$215</c:f>
              <c:strCache/>
            </c:strRef>
          </c:tx>
          <c:spPr>
            <a:ln w="12700">
              <a:solidFill>
                <a:srgbClr val="C0C0C0"/>
              </a:solidFill>
            </a:ln>
          </c:spPr>
          <c:marker>
            <c:symbol val="diamond"/>
            <c:size val="5"/>
            <c:spPr>
              <a:solidFill>
                <a:srgbClr val="C0C0C0"/>
              </a:solidFill>
              <a:ln>
                <a:solidFill>
                  <a:srgbClr val="C0C0C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販売指数!$D$215:$O$215</c:f>
              <c:numCache/>
            </c:numRef>
          </c:val>
          <c:smooth val="1"/>
        </c:ser>
        <c:ser>
          <c:idx val="46"/>
          <c:order val="46"/>
          <c:tx>
            <c:strRef>
              <c:f>販売指数!$C$216</c:f>
              <c:strCache/>
            </c:strRef>
          </c:tx>
          <c:spPr>
            <a:ln w="12700">
              <a:solidFill>
                <a:srgbClr val="808080"/>
              </a:solidFill>
            </a:ln>
          </c:spPr>
          <c:marker>
            <c:symbol val="square"/>
            <c:size val="5"/>
            <c:spPr>
              <a:solidFill>
                <a:srgbClr val="808080"/>
              </a:solidFill>
              <a:ln>
                <a:solidFill>
                  <a:srgbClr val="808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販売指数!$D$216:$O$216</c:f>
              <c:numCache/>
            </c:numRef>
          </c:val>
          <c:smooth val="1"/>
        </c:ser>
        <c:ser>
          <c:idx val="47"/>
          <c:order val="47"/>
          <c:tx>
            <c:strRef>
              <c:f>販売指数!$C$217</c:f>
              <c:strCache/>
            </c:strRef>
          </c:tx>
          <c:spPr>
            <a:ln w="12700">
              <a:solidFill>
                <a:srgbClr val="9999FF"/>
              </a:solidFill>
            </a:ln>
          </c:spPr>
          <c:marker>
            <c:symbol val="triangle"/>
            <c:size val="5"/>
            <c:spPr>
              <a:solidFill>
                <a:srgbClr val="9999FF"/>
              </a:solidFill>
              <a:ln>
                <a:solidFill>
                  <a:srgbClr val="9999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販売指数!$D$217:$O$217</c:f>
              <c:numCache/>
            </c:numRef>
          </c:val>
          <c:smooth val="1"/>
        </c:ser>
        <c:ser>
          <c:idx val="48"/>
          <c:order val="48"/>
          <c:tx>
            <c:strRef>
              <c:f>販売指数!$C$218</c:f>
              <c:strCache/>
            </c:strRef>
          </c:tx>
          <c:spPr>
            <a:ln w="12700">
              <a:solidFill>
                <a:srgbClr val="993366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9933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販売指数!$D$218:$O$218</c:f>
              <c:numCache/>
            </c:numRef>
          </c:val>
          <c:smooth val="1"/>
        </c:ser>
        <c:ser>
          <c:idx val="49"/>
          <c:order val="49"/>
          <c:tx>
            <c:strRef>
              <c:f>販売指数!$C$219</c:f>
              <c:strCache/>
            </c:strRef>
          </c:tx>
          <c:spPr>
            <a:ln w="12700">
              <a:solidFill>
                <a:srgbClr val="FFFFCC"/>
              </a:solidFill>
            </a:ln>
          </c:spPr>
          <c:marker>
            <c:symbol val="star"/>
            <c:size val="5"/>
            <c:spPr>
              <a:noFill/>
              <a:ln>
                <a:solidFill>
                  <a:srgbClr val="FFFF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販売指数!$D$219:$O$219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1"/>
            </a:pPr>
            <a:endParaRPr sz="1000" b="1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;&quot;▲ &quot;#,##0" sourceLinked="0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/>
            </a:pPr>
            <a:endParaRPr sz="10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928409090909091"/>
          <c:y val="0.015309231225834337"/>
          <c:w val="0.064772727272727273"/>
          <c:h val="0.9598481821459393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/>
          </a:pPr>
          <a:endParaRPr sz="675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1150">
          <a:solidFill>
            <a:srgbClr val="000000"/>
          </a:solidFill>
        </a:defRPr>
      </a:pPr>
      <a:endParaRPr sz="1150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36572219811437087"/>
          <c:y val="0.10068936319746209"/>
          <c:w val="0.77819990678267048"/>
          <c:h val="0.884543875970784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販売指数!$D$34:$O$34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販売指数!$D$170:$O$170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238769536523981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613636363636367"/>
          <c:y val="0.10068936319746209"/>
          <c:w val="0.16704545454545455"/>
          <c:h val="0.884543875970784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36572219811437087"/>
          <c:y val="0.10274697478706314"/>
          <c:w val="0.77819990678267048"/>
          <c:h val="0.88248628695335618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販売指数!$D$35:$O$35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販売指数!$D$171:$O$171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613636363636367"/>
          <c:y val="0.10274697478706314"/>
          <c:w val="0.16704545454545455"/>
          <c:h val="0.88248628695335618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36572219811437087"/>
          <c:y val="0.10274697478706314"/>
          <c:w val="0.77819990678267048"/>
          <c:h val="0.88248628695335618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販売指数!$D$36:$O$36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販売指数!$D$172:$O$172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613636363636367"/>
          <c:y val="0.10274697478706314"/>
          <c:w val="0.16704545454545455"/>
          <c:h val="0.88248628695335618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販売指数!$D$37:$O$37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販売指数!$D$173:$O$173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販売指数!$D$38:$O$38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販売指数!$D$174:$O$174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販売指数!$D$39:$O$39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販売指数!$D$175:$O$175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販売指数!$D$40:$O$40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販売指数!$D$176:$O$176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販売指数!$D$41:$O$41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販売指数!$D$177:$O$177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販売指数!$D$42:$O$42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販売指数!$D$178:$O$178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販売指数!$D$43:$O$43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販売指数!$D$179:$O$179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販売指数!$D$44:$O$44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販売指数!$D$180:$O$180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販売指数!$D$45:$O$45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販売指数!$D$181:$O$181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販売指数!$D$46:$O$46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販売指数!$D$182:$O$182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販売指数!$D$47:$O$47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販売指数!$D$183:$O$183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販売指数!$D$48:$O$48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販売指数!$D$184:$O$184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販売指数!$D$49:$O$49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販売指数!$D$185:$O$185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販売指数!$D$50:$O$50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販売指数!$D$186:$O$186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販売指数!$D$51:$O$51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販売指数!$D$187:$O$187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販売指数!$D$52:$O$52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販売指数!$D$188:$O$188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販売指数!$D$53:$O$53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販売指数!$D$189:$O$189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販売指数!$D$54:$O$54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販売指数!$D$190:$O$190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販売指数!$D$55:$O$55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販売指数!$D$191:$O$191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販売指数!$D$56:$O$56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販売指数!$D$192:$O$192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販売指数!$D$57:$O$57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販売指数!$D$193:$O$193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販売指数!$D$58:$O$58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販売指数!$D$194:$O$194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販売指数!$D$59:$O$59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販売指数!$D$195:$O$195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販売指数!$D$60:$O$60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販売指数!$D$196:$O$196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販売指数!$D$61:$O$61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販売指数!$D$197:$O$197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販売指数!$D$62:$O$62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販売指数!$D$198:$O$198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販売指数!$D$63:$O$63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販売指数!$D$199:$O$199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販売指数!$D$64:$O$64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販売指数!$D$200:$O$200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販売指数!$D$65:$O$65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販売指数!$D$201:$O$201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販売指数!$D$66:$O$66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販売指数!$D$202:$O$202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販売指数!$D$67:$O$67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販売指数!$D$203:$O$203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販売指数!$D$68:$O$68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販売指数!$D$204:$O$204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販売指数!$D$69:$O$69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販売指数!$D$205:$O$205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販売指数!$D$70:$O$70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販売指数!$D$206:$O$206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販売指数!$D$71:$O$71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販売指数!$D$207:$O$207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販売指数!$D$72:$O$72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販売指数!$D$208:$O$208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販売指数!$D$73:$O$73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販売指数!$D$209:$O$209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販売指数!$D$74:$O$74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販売指数!$D$210:$O$210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販売指数!$D$75:$O$75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販売指数!$D$211:$O$211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販売指数!$D$76:$O$76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販売指数!$D$212:$O$212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販売指数!$D$77:$O$77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販売指数!$D$213:$O$213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販売指数!$D$78:$O$78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販売指数!$D$214:$O$214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販売指数!$D$79:$O$79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販売指数!$D$215:$O$215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販売指数!$D$80:$O$80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販売指数!$D$216:$O$216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販売指数!$D$81:$O$81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販売指数!$D$217:$O$217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販売指数!$D$82:$O$82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販売指数!$D$218:$O$218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販売指数!$D$83:$O$83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販売指数!$D$219:$O$219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618436394080874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39012946562017377"/>
          <c:y val="0.014585661333660746"/>
          <c:w val="0.84621117331764917"/>
          <c:h val="0.960571732631949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来店客数推移!$C$34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来店客数推移!$D$33:$O$33</c:f>
              <c:strCache/>
            </c:strRef>
          </c:cat>
          <c:val>
            <c:numRef>
              <c:f>来店客数推移!$D$34:$O$34</c:f>
              <c:numCache/>
            </c:numRef>
          </c:val>
        </c:ser>
        <c:gapWidth val="30"/>
        <c:overlap val="100"/>
        <c:serLines>
          <c:spPr>
            <a:ln w="3175">
              <a:solidFill>
                <a:srgbClr val="000000"/>
              </a:solidFill>
            </a:ln>
          </c:spPr>
        </c:serLines>
        <c:axId val="0"/>
        <c:axId val="1"/>
      </c:barChart>
      <c:lineChart>
        <c:grouping val="standard"/>
        <c:varyColors val="0"/>
        <c:ser>
          <c:idx val="2"/>
          <c:order val="1"/>
          <c:tx>
            <c:strRef>
              <c:f>来店客数推移!$C$36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val>
            <c:numRef>
              <c:f>来店客数推移!$D$36:$O$36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1"/>
            </a:pPr>
            <a:endParaRPr sz="1000" b="1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/>
            </a:pPr>
            <a:endParaRPr sz="1000"/>
          </a:p>
        </c:txPr>
        <c:crossAx val="0"/>
        <c:crosses val="autoZero"/>
        <c:crossBetween val="between"/>
      </c:valAx>
      <c:valAx>
        <c:axId val="4"/>
        <c:scaling>
          <c:orientation val="minMax"/>
        </c:scaling>
        <c:delete val="0"/>
        <c:axPos val="r"/>
        <c:numFmt formatCode="0;&quot;▲ &quot;0" sourceLinked="0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/>
            </a:pPr>
            <a:endParaRPr/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9659090909090911"/>
          <c:y val="0.014585661333660746"/>
          <c:w val="0.096590909090909088"/>
          <c:h val="0.9605717326319495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/>
          </a:pPr>
          <a:endParaRPr sz="675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1150">
          <a:solidFill>
            <a:srgbClr val="000000"/>
          </a:solidFill>
        </a:defRPr>
      </a:pPr>
      <a:endParaRPr sz="1150">
        <a:solidFill>
          <a:srgbClr val="000000"/>
        </a:solidFill>
      </a:endParaRPr>
    </a:p>
  </c:txPr>
  <c:printSettings>
    <c:headerFooter>
      <c:oddHeader>&amp;C&amp;A</c:oddHeader>
      <c:oddFooter>&amp;CPage &amp;P</c:oddFooter>
    </c:headerFooter>
    <c:pageMargins l="0.75" r="0.75" t="1" b="1" header="0.5" footer="0.5"/>
    <c:pageSetup orientation="portrait"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39012946562017377"/>
          <c:y val="0.014585661333660746"/>
          <c:w val="0.84621117331764917"/>
          <c:h val="0.960571732631949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来店客数推移!$C$72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来店客数推移!$D$71:$O$71</c:f>
              <c:strCache/>
            </c:strRef>
          </c:cat>
          <c:val>
            <c:numRef>
              <c:f>来店客数推移!$D$72:$O$72</c:f>
              <c:numCache/>
            </c:numRef>
          </c:val>
        </c:ser>
        <c:gapWidth val="30"/>
        <c:overlap val="100"/>
        <c:serLines>
          <c:spPr>
            <a:ln w="3175">
              <a:solidFill>
                <a:srgbClr val="000000"/>
              </a:solidFill>
            </a:ln>
          </c:spPr>
        </c:serLines>
        <c:axId val="0"/>
        <c:axId val="1"/>
      </c:barChart>
      <c:lineChart>
        <c:grouping val="standard"/>
        <c:varyColors val="0"/>
        <c:ser>
          <c:idx val="2"/>
          <c:order val="1"/>
          <c:tx>
            <c:strRef>
              <c:f>来店客数推移!$C$74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来店客数推移!$D$71:$O$71</c:f>
              <c:strCache/>
            </c:strRef>
          </c:cat>
          <c:val>
            <c:numRef>
              <c:f>来店客数推移!$D$74:$O$74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1"/>
            </a:pPr>
            <a:endParaRPr sz="1000" b="1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/>
            </a:pPr>
            <a:endParaRPr sz="1000"/>
          </a:p>
        </c:txPr>
        <c:crossAx val="0"/>
        <c:crosses val="autoZero"/>
        <c:crossBetween val="between"/>
      </c:valAx>
      <c:valAx>
        <c:axId val="4"/>
        <c:scaling>
          <c:orientation val="minMax"/>
        </c:scaling>
        <c:delete val="0"/>
        <c:axPos val="r"/>
        <c:numFmt formatCode="0;&quot;▲ &quot;0" sourceLinked="0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/>
            </a:pPr>
            <a:endParaRPr/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9659090909090911"/>
          <c:y val="0.014585661333660746"/>
          <c:w val="0.096590909090909088"/>
          <c:h val="0.9605717326319495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/>
          </a:pPr>
          <a:endParaRPr sz="675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1150">
          <a:solidFill>
            <a:srgbClr val="000000"/>
          </a:solidFill>
        </a:defRPr>
      </a:pPr>
      <a:endParaRPr sz="1150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chart" Target="../charts/chart3.xml" /><Relationship Id="rId2" Type="http://schemas.openxmlformats.org/officeDocument/2006/relationships/chart" Target="../charts/chart4.xml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chart" Target="../charts/chart5.xml" /><Relationship Id="rId2" Type="http://schemas.openxmlformats.org/officeDocument/2006/relationships/chart" Target="../charts/chart6.xml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chart" Target="../charts/chart7.xml" /><Relationship Id="rId2" Type="http://schemas.openxmlformats.org/officeDocument/2006/relationships/chart" Target="../charts/chart8.xml" /><Relationship Id="rId3" Type="http://schemas.openxmlformats.org/officeDocument/2006/relationships/chart" Target="../charts/chart9.xml" /><Relationship Id="rId4" Type="http://schemas.openxmlformats.org/officeDocument/2006/relationships/chart" Target="../charts/chart10.xml" /><Relationship Id="rId5" Type="http://schemas.openxmlformats.org/officeDocument/2006/relationships/chart" Target="../charts/chart11.xml" /><Relationship Id="rId6" Type="http://schemas.openxmlformats.org/officeDocument/2006/relationships/chart" Target="../charts/chart12.xml" /><Relationship Id="rId7" Type="http://schemas.openxmlformats.org/officeDocument/2006/relationships/chart" Target="../charts/chart13.xml" /><Relationship Id="rId8" Type="http://schemas.openxmlformats.org/officeDocument/2006/relationships/chart" Target="../charts/chart14.xml" /><Relationship Id="rId9" Type="http://schemas.openxmlformats.org/officeDocument/2006/relationships/chart" Target="../charts/chart15.xml" /><Relationship Id="rId10" Type="http://schemas.openxmlformats.org/officeDocument/2006/relationships/chart" Target="../charts/chart16.xml" /><Relationship Id="rId11" Type="http://schemas.openxmlformats.org/officeDocument/2006/relationships/chart" Target="../charts/chart17.xml" /><Relationship Id="rId12" Type="http://schemas.openxmlformats.org/officeDocument/2006/relationships/chart" Target="../charts/chart18.xml" /><Relationship Id="rId13" Type="http://schemas.openxmlformats.org/officeDocument/2006/relationships/chart" Target="../charts/chart19.xml" /><Relationship Id="rId14" Type="http://schemas.openxmlformats.org/officeDocument/2006/relationships/chart" Target="../charts/chart20.xml" /><Relationship Id="rId15" Type="http://schemas.openxmlformats.org/officeDocument/2006/relationships/chart" Target="../charts/chart21.xml" /><Relationship Id="rId16" Type="http://schemas.openxmlformats.org/officeDocument/2006/relationships/chart" Target="../charts/chart22.xml" /><Relationship Id="rId17" Type="http://schemas.openxmlformats.org/officeDocument/2006/relationships/chart" Target="../charts/chart23.xml" /><Relationship Id="rId18" Type="http://schemas.openxmlformats.org/officeDocument/2006/relationships/chart" Target="../charts/chart24.xml" /><Relationship Id="rId19" Type="http://schemas.openxmlformats.org/officeDocument/2006/relationships/chart" Target="../charts/chart25.xml" /><Relationship Id="rId20" Type="http://schemas.openxmlformats.org/officeDocument/2006/relationships/chart" Target="../charts/chart26.xml" /><Relationship Id="rId21" Type="http://schemas.openxmlformats.org/officeDocument/2006/relationships/chart" Target="../charts/chart27.xml" /><Relationship Id="rId22" Type="http://schemas.openxmlformats.org/officeDocument/2006/relationships/chart" Target="../charts/chart28.xml" /><Relationship Id="rId23" Type="http://schemas.openxmlformats.org/officeDocument/2006/relationships/chart" Target="../charts/chart29.xml" /><Relationship Id="rId24" Type="http://schemas.openxmlformats.org/officeDocument/2006/relationships/chart" Target="../charts/chart30.xml" /><Relationship Id="rId25" Type="http://schemas.openxmlformats.org/officeDocument/2006/relationships/chart" Target="../charts/chart31.xml" /><Relationship Id="rId26" Type="http://schemas.openxmlformats.org/officeDocument/2006/relationships/chart" Target="../charts/chart32.xml" /><Relationship Id="rId27" Type="http://schemas.openxmlformats.org/officeDocument/2006/relationships/chart" Target="../charts/chart33.xml" /><Relationship Id="rId28" Type="http://schemas.openxmlformats.org/officeDocument/2006/relationships/chart" Target="../charts/chart34.xml" /><Relationship Id="rId29" Type="http://schemas.openxmlformats.org/officeDocument/2006/relationships/chart" Target="../charts/chart35.xml" /><Relationship Id="rId30" Type="http://schemas.openxmlformats.org/officeDocument/2006/relationships/chart" Target="../charts/chart36.xml" /><Relationship Id="rId31" Type="http://schemas.openxmlformats.org/officeDocument/2006/relationships/chart" Target="../charts/chart37.xml" /><Relationship Id="rId32" Type="http://schemas.openxmlformats.org/officeDocument/2006/relationships/chart" Target="../charts/chart38.xml" /><Relationship Id="rId33" Type="http://schemas.openxmlformats.org/officeDocument/2006/relationships/chart" Target="../charts/chart39.xml" /><Relationship Id="rId34" Type="http://schemas.openxmlformats.org/officeDocument/2006/relationships/chart" Target="../charts/chart40.xml" /><Relationship Id="rId35" Type="http://schemas.openxmlformats.org/officeDocument/2006/relationships/chart" Target="../charts/chart41.xml" /><Relationship Id="rId36" Type="http://schemas.openxmlformats.org/officeDocument/2006/relationships/chart" Target="../charts/chart42.xml" /><Relationship Id="rId37" Type="http://schemas.openxmlformats.org/officeDocument/2006/relationships/chart" Target="../charts/chart43.xml" /><Relationship Id="rId38" Type="http://schemas.openxmlformats.org/officeDocument/2006/relationships/chart" Target="../charts/chart44.xml" /><Relationship Id="rId39" Type="http://schemas.openxmlformats.org/officeDocument/2006/relationships/chart" Target="../charts/chart45.xml" /><Relationship Id="rId40" Type="http://schemas.openxmlformats.org/officeDocument/2006/relationships/chart" Target="../charts/chart46.xml" /><Relationship Id="rId41" Type="http://schemas.openxmlformats.org/officeDocument/2006/relationships/chart" Target="../charts/chart47.xml" /><Relationship Id="rId42" Type="http://schemas.openxmlformats.org/officeDocument/2006/relationships/chart" Target="../charts/chart48.xml" /><Relationship Id="rId43" Type="http://schemas.openxmlformats.org/officeDocument/2006/relationships/chart" Target="../charts/chart49.xml" /><Relationship Id="rId44" Type="http://schemas.openxmlformats.org/officeDocument/2006/relationships/chart" Target="../charts/chart50.xml" /><Relationship Id="rId45" Type="http://schemas.openxmlformats.org/officeDocument/2006/relationships/chart" Target="../charts/chart51.xml" /><Relationship Id="rId46" Type="http://schemas.openxmlformats.org/officeDocument/2006/relationships/chart" Target="../charts/chart52.xml" /><Relationship Id="rId47" Type="http://schemas.openxmlformats.org/officeDocument/2006/relationships/chart" Target="../charts/chart53.xml" /><Relationship Id="rId48" Type="http://schemas.openxmlformats.org/officeDocument/2006/relationships/chart" Target="../charts/chart54.xml" /><Relationship Id="rId49" Type="http://schemas.openxmlformats.org/officeDocument/2006/relationships/chart" Target="../charts/chart55.xml" /><Relationship Id="rId50" Type="http://schemas.openxmlformats.org/officeDocument/2006/relationships/chart" Target="../charts/chart56.xml" /><Relationship Id="rId51" Type="http://schemas.openxmlformats.org/officeDocument/2006/relationships/chart" Target="../charts/chart57.xml" /><Relationship Id="rId52" Type="http://schemas.openxmlformats.org/officeDocument/2006/relationships/chart" Target="../charts/chart58.xml" /></Relationships>
</file>

<file path=xl/drawings/_rels/drawing5.xml.rels>&#65279;<?xml version="1.0" encoding="utf-8"?><Relationships xmlns="http://schemas.openxmlformats.org/package/2006/relationships"><Relationship Id="rId1" Type="http://schemas.openxmlformats.org/officeDocument/2006/relationships/chart" Target="../charts/chart59.xml" /><Relationship Id="rId2" Type="http://schemas.openxmlformats.org/officeDocument/2006/relationships/chart" Target="../charts/chart60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3</xdr:col>
      <xdr:colOff>0</xdr:colOff>
      <xdr:row>3</xdr:row>
      <xdr:rowOff>9525</xdr:rowOff>
    </xdr:from>
    <xdr:to>
      <xdr:col>16</xdr:col>
      <xdr:colOff>0</xdr:colOff>
      <xdr:row>31</xdr:row>
      <xdr:rowOff>104775</xdr:rowOff>
    </xdr:to>
    <xdr:graphicFrame macro="">
      <xdr:nvGraphicFramePr>
        <xdr:cNvPr id="5210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3</xdr:col>
      <xdr:colOff>0</xdr:colOff>
      <xdr:row>145</xdr:row>
      <xdr:rowOff>9525</xdr:rowOff>
    </xdr:from>
    <xdr:to>
      <xdr:col>16</xdr:col>
      <xdr:colOff>0</xdr:colOff>
      <xdr:row>173</xdr:row>
      <xdr:rowOff>104775</xdr:rowOff>
    </xdr:to>
    <xdr:graphicFrame macro="">
      <xdr:nvGraphicFramePr>
        <xdr:cNvPr id="5211" name="グラフ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3</xdr:col>
      <xdr:colOff>0</xdr:colOff>
      <xdr:row>3</xdr:row>
      <xdr:rowOff>9525</xdr:rowOff>
    </xdr:from>
    <xdr:to>
      <xdr:col>16</xdr:col>
      <xdr:colOff>0</xdr:colOff>
      <xdr:row>31</xdr:row>
      <xdr:rowOff>104775</xdr:rowOff>
    </xdr:to>
    <xdr:graphicFrame macro="">
      <xdr:nvGraphicFramePr>
        <xdr:cNvPr id="7261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3</xdr:col>
      <xdr:colOff>0</xdr:colOff>
      <xdr:row>143</xdr:row>
      <xdr:rowOff>9525</xdr:rowOff>
    </xdr:from>
    <xdr:to>
      <xdr:col>16</xdr:col>
      <xdr:colOff>0</xdr:colOff>
      <xdr:row>171</xdr:row>
      <xdr:rowOff>104775</xdr:rowOff>
    </xdr:to>
    <xdr:graphicFrame macro="">
      <xdr:nvGraphicFramePr>
        <xdr:cNvPr id="7262" name="グラフ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3</xdr:col>
      <xdr:colOff>0</xdr:colOff>
      <xdr:row>3</xdr:row>
      <xdr:rowOff>9525</xdr:rowOff>
    </xdr:from>
    <xdr:to>
      <xdr:col>16</xdr:col>
      <xdr:colOff>0</xdr:colOff>
      <xdr:row>31</xdr:row>
      <xdr:rowOff>104775</xdr:rowOff>
    </xdr:to>
    <xdr:graphicFrame macro="">
      <xdr:nvGraphicFramePr>
        <xdr:cNvPr id="9293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3</xdr:col>
      <xdr:colOff>0</xdr:colOff>
      <xdr:row>199</xdr:row>
      <xdr:rowOff>9525</xdr:rowOff>
    </xdr:from>
    <xdr:to>
      <xdr:col>16</xdr:col>
      <xdr:colOff>0</xdr:colOff>
      <xdr:row>227</xdr:row>
      <xdr:rowOff>104775</xdr:rowOff>
    </xdr:to>
    <xdr:graphicFrame macro="">
      <xdr:nvGraphicFramePr>
        <xdr:cNvPr id="9294" name="グラフ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3</xdr:col>
      <xdr:colOff>0</xdr:colOff>
      <xdr:row>3</xdr:row>
      <xdr:rowOff>9525</xdr:rowOff>
    </xdr:from>
    <xdr:to>
      <xdr:col>17</xdr:col>
      <xdr:colOff>28575</xdr:colOff>
      <xdr:row>31</xdr:row>
      <xdr:rowOff>104775</xdr:rowOff>
    </xdr:to>
    <xdr:graphicFrame macro="">
      <xdr:nvGraphicFramePr>
        <xdr:cNvPr id="1266727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3</xdr:col>
      <xdr:colOff>0</xdr:colOff>
      <xdr:row>139</xdr:row>
      <xdr:rowOff>9525</xdr:rowOff>
    </xdr:from>
    <xdr:to>
      <xdr:col>17</xdr:col>
      <xdr:colOff>28575</xdr:colOff>
      <xdr:row>167</xdr:row>
      <xdr:rowOff>104775</xdr:rowOff>
    </xdr:to>
    <xdr:graphicFrame macro="">
      <xdr:nvGraphicFramePr>
        <xdr:cNvPr id="1266728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3</xdr:col>
      <xdr:colOff>0</xdr:colOff>
      <xdr:row>276</xdr:row>
      <xdr:rowOff>0</xdr:rowOff>
    </xdr:from>
    <xdr:to>
      <xdr:col>17</xdr:col>
      <xdr:colOff>28575</xdr:colOff>
      <xdr:row>303</xdr:row>
      <xdr:rowOff>0</xdr:rowOff>
    </xdr:to>
    <xdr:graphicFrame macro="">
      <xdr:nvGraphicFramePr>
        <xdr:cNvPr id="1266729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3</xdr:col>
      <xdr:colOff>0</xdr:colOff>
      <xdr:row>307</xdr:row>
      <xdr:rowOff>0</xdr:rowOff>
    </xdr:from>
    <xdr:to>
      <xdr:col>17</xdr:col>
      <xdr:colOff>28575</xdr:colOff>
      <xdr:row>333</xdr:row>
      <xdr:rowOff>171450</xdr:rowOff>
    </xdr:to>
    <xdr:graphicFrame macro="">
      <xdr:nvGraphicFramePr>
        <xdr:cNvPr id="1266730" name="グラフ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3</xdr:col>
      <xdr:colOff>0</xdr:colOff>
      <xdr:row>338</xdr:row>
      <xdr:rowOff>0</xdr:rowOff>
    </xdr:from>
    <xdr:to>
      <xdr:col>17</xdr:col>
      <xdr:colOff>28575</xdr:colOff>
      <xdr:row>364</xdr:row>
      <xdr:rowOff>171450</xdr:rowOff>
    </xdr:to>
    <xdr:graphicFrame macro="">
      <xdr:nvGraphicFramePr>
        <xdr:cNvPr id="1266731" name="グラフ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3</xdr:col>
      <xdr:colOff>0</xdr:colOff>
      <xdr:row>369</xdr:row>
      <xdr:rowOff>0</xdr:rowOff>
    </xdr:from>
    <xdr:to>
      <xdr:col>17</xdr:col>
      <xdr:colOff>28575</xdr:colOff>
      <xdr:row>395</xdr:row>
      <xdr:rowOff>171450</xdr:rowOff>
    </xdr:to>
    <xdr:graphicFrame macro="">
      <xdr:nvGraphicFramePr>
        <xdr:cNvPr id="1266732" name="グラフ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3</xdr:col>
      <xdr:colOff>0</xdr:colOff>
      <xdr:row>400</xdr:row>
      <xdr:rowOff>0</xdr:rowOff>
    </xdr:from>
    <xdr:to>
      <xdr:col>17</xdr:col>
      <xdr:colOff>28575</xdr:colOff>
      <xdr:row>426</xdr:row>
      <xdr:rowOff>171450</xdr:rowOff>
    </xdr:to>
    <xdr:graphicFrame macro="">
      <xdr:nvGraphicFramePr>
        <xdr:cNvPr id="1266733" name="グラフ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  <xdr:twoCellAnchor>
    <xdr:from>
      <xdr:col>3</xdr:col>
      <xdr:colOff>0</xdr:colOff>
      <xdr:row>431</xdr:row>
      <xdr:rowOff>0</xdr:rowOff>
    </xdr:from>
    <xdr:to>
      <xdr:col>17</xdr:col>
      <xdr:colOff>28575</xdr:colOff>
      <xdr:row>457</xdr:row>
      <xdr:rowOff>171450</xdr:rowOff>
    </xdr:to>
    <xdr:graphicFrame macro="">
      <xdr:nvGraphicFramePr>
        <xdr:cNvPr id="1266734" name="グラフ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8"/>
        </a:graphicData>
      </a:graphic>
    </xdr:graphicFrame>
    <xdr:clientData/>
  </xdr:twoCellAnchor>
  <xdr:twoCellAnchor>
    <xdr:from>
      <xdr:col>3</xdr:col>
      <xdr:colOff>0</xdr:colOff>
      <xdr:row>462</xdr:row>
      <xdr:rowOff>0</xdr:rowOff>
    </xdr:from>
    <xdr:to>
      <xdr:col>17</xdr:col>
      <xdr:colOff>28575</xdr:colOff>
      <xdr:row>488</xdr:row>
      <xdr:rowOff>171450</xdr:rowOff>
    </xdr:to>
    <xdr:graphicFrame macro="">
      <xdr:nvGraphicFramePr>
        <xdr:cNvPr id="1266735" name="グラフ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9"/>
        </a:graphicData>
      </a:graphic>
    </xdr:graphicFrame>
    <xdr:clientData/>
  </xdr:twoCellAnchor>
  <xdr:twoCellAnchor>
    <xdr:from>
      <xdr:col>3</xdr:col>
      <xdr:colOff>0</xdr:colOff>
      <xdr:row>493</xdr:row>
      <xdr:rowOff>0</xdr:rowOff>
    </xdr:from>
    <xdr:to>
      <xdr:col>17</xdr:col>
      <xdr:colOff>28575</xdr:colOff>
      <xdr:row>519</xdr:row>
      <xdr:rowOff>171450</xdr:rowOff>
    </xdr:to>
    <xdr:graphicFrame macro="">
      <xdr:nvGraphicFramePr>
        <xdr:cNvPr id="1266736" name="グラフ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0"/>
        </a:graphicData>
      </a:graphic>
    </xdr:graphicFrame>
    <xdr:clientData/>
  </xdr:twoCellAnchor>
  <xdr:twoCellAnchor>
    <xdr:from>
      <xdr:col>3</xdr:col>
      <xdr:colOff>0</xdr:colOff>
      <xdr:row>524</xdr:row>
      <xdr:rowOff>0</xdr:rowOff>
    </xdr:from>
    <xdr:to>
      <xdr:col>17</xdr:col>
      <xdr:colOff>28575</xdr:colOff>
      <xdr:row>550</xdr:row>
      <xdr:rowOff>171450</xdr:rowOff>
    </xdr:to>
    <xdr:graphicFrame macro="">
      <xdr:nvGraphicFramePr>
        <xdr:cNvPr id="1266737" name="グラフ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1"/>
        </a:graphicData>
      </a:graphic>
    </xdr:graphicFrame>
    <xdr:clientData/>
  </xdr:twoCellAnchor>
  <xdr:twoCellAnchor>
    <xdr:from>
      <xdr:col>3</xdr:col>
      <xdr:colOff>0</xdr:colOff>
      <xdr:row>555</xdr:row>
      <xdr:rowOff>0</xdr:rowOff>
    </xdr:from>
    <xdr:to>
      <xdr:col>17</xdr:col>
      <xdr:colOff>28575</xdr:colOff>
      <xdr:row>581</xdr:row>
      <xdr:rowOff>171450</xdr:rowOff>
    </xdr:to>
    <xdr:graphicFrame macro="">
      <xdr:nvGraphicFramePr>
        <xdr:cNvPr id="1266738" name="グラフ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2"/>
        </a:graphicData>
      </a:graphic>
    </xdr:graphicFrame>
    <xdr:clientData/>
  </xdr:twoCellAnchor>
  <xdr:twoCellAnchor>
    <xdr:from>
      <xdr:col>3</xdr:col>
      <xdr:colOff>0</xdr:colOff>
      <xdr:row>586</xdr:row>
      <xdr:rowOff>0</xdr:rowOff>
    </xdr:from>
    <xdr:to>
      <xdr:col>17</xdr:col>
      <xdr:colOff>28575</xdr:colOff>
      <xdr:row>612</xdr:row>
      <xdr:rowOff>171450</xdr:rowOff>
    </xdr:to>
    <xdr:graphicFrame macro="">
      <xdr:nvGraphicFramePr>
        <xdr:cNvPr id="1266739" name="グラフ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3"/>
        </a:graphicData>
      </a:graphic>
    </xdr:graphicFrame>
    <xdr:clientData/>
  </xdr:twoCellAnchor>
  <xdr:twoCellAnchor>
    <xdr:from>
      <xdr:col>3</xdr:col>
      <xdr:colOff>0</xdr:colOff>
      <xdr:row>617</xdr:row>
      <xdr:rowOff>0</xdr:rowOff>
    </xdr:from>
    <xdr:to>
      <xdr:col>17</xdr:col>
      <xdr:colOff>28575</xdr:colOff>
      <xdr:row>643</xdr:row>
      <xdr:rowOff>171450</xdr:rowOff>
    </xdr:to>
    <xdr:graphicFrame macro="">
      <xdr:nvGraphicFramePr>
        <xdr:cNvPr id="1266740" name="グラフ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4"/>
        </a:graphicData>
      </a:graphic>
    </xdr:graphicFrame>
    <xdr:clientData/>
  </xdr:twoCellAnchor>
  <xdr:twoCellAnchor>
    <xdr:from>
      <xdr:col>3</xdr:col>
      <xdr:colOff>0</xdr:colOff>
      <xdr:row>648</xdr:row>
      <xdr:rowOff>0</xdr:rowOff>
    </xdr:from>
    <xdr:to>
      <xdr:col>17</xdr:col>
      <xdr:colOff>28575</xdr:colOff>
      <xdr:row>674</xdr:row>
      <xdr:rowOff>171450</xdr:rowOff>
    </xdr:to>
    <xdr:graphicFrame macro="">
      <xdr:nvGraphicFramePr>
        <xdr:cNvPr id="1266741" name="グラフ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5"/>
        </a:graphicData>
      </a:graphic>
    </xdr:graphicFrame>
    <xdr:clientData/>
  </xdr:twoCellAnchor>
  <xdr:twoCellAnchor>
    <xdr:from>
      <xdr:col>3</xdr:col>
      <xdr:colOff>0</xdr:colOff>
      <xdr:row>679</xdr:row>
      <xdr:rowOff>0</xdr:rowOff>
    </xdr:from>
    <xdr:to>
      <xdr:col>17</xdr:col>
      <xdr:colOff>28575</xdr:colOff>
      <xdr:row>705</xdr:row>
      <xdr:rowOff>171450</xdr:rowOff>
    </xdr:to>
    <xdr:graphicFrame macro="">
      <xdr:nvGraphicFramePr>
        <xdr:cNvPr id="1266742" name="グラフ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6"/>
        </a:graphicData>
      </a:graphic>
    </xdr:graphicFrame>
    <xdr:clientData/>
  </xdr:twoCellAnchor>
  <xdr:twoCellAnchor>
    <xdr:from>
      <xdr:col>3</xdr:col>
      <xdr:colOff>0</xdr:colOff>
      <xdr:row>710</xdr:row>
      <xdr:rowOff>0</xdr:rowOff>
    </xdr:from>
    <xdr:to>
      <xdr:col>17</xdr:col>
      <xdr:colOff>28575</xdr:colOff>
      <xdr:row>736</xdr:row>
      <xdr:rowOff>171450</xdr:rowOff>
    </xdr:to>
    <xdr:graphicFrame macro="">
      <xdr:nvGraphicFramePr>
        <xdr:cNvPr id="1266743" name="グラフ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7"/>
        </a:graphicData>
      </a:graphic>
    </xdr:graphicFrame>
    <xdr:clientData/>
  </xdr:twoCellAnchor>
  <xdr:twoCellAnchor>
    <xdr:from>
      <xdr:col>3</xdr:col>
      <xdr:colOff>0</xdr:colOff>
      <xdr:row>741</xdr:row>
      <xdr:rowOff>0</xdr:rowOff>
    </xdr:from>
    <xdr:to>
      <xdr:col>17</xdr:col>
      <xdr:colOff>28575</xdr:colOff>
      <xdr:row>767</xdr:row>
      <xdr:rowOff>171450</xdr:rowOff>
    </xdr:to>
    <xdr:graphicFrame macro="">
      <xdr:nvGraphicFramePr>
        <xdr:cNvPr id="1266744" name="グラフ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8"/>
        </a:graphicData>
      </a:graphic>
    </xdr:graphicFrame>
    <xdr:clientData/>
  </xdr:twoCellAnchor>
  <xdr:twoCellAnchor>
    <xdr:from>
      <xdr:col>3</xdr:col>
      <xdr:colOff>0</xdr:colOff>
      <xdr:row>772</xdr:row>
      <xdr:rowOff>0</xdr:rowOff>
    </xdr:from>
    <xdr:to>
      <xdr:col>17</xdr:col>
      <xdr:colOff>28575</xdr:colOff>
      <xdr:row>798</xdr:row>
      <xdr:rowOff>171450</xdr:rowOff>
    </xdr:to>
    <xdr:graphicFrame macro="">
      <xdr:nvGraphicFramePr>
        <xdr:cNvPr id="1266745" name="グラフ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9"/>
        </a:graphicData>
      </a:graphic>
    </xdr:graphicFrame>
    <xdr:clientData/>
  </xdr:twoCellAnchor>
  <xdr:twoCellAnchor>
    <xdr:from>
      <xdr:col>3</xdr:col>
      <xdr:colOff>0</xdr:colOff>
      <xdr:row>803</xdr:row>
      <xdr:rowOff>0</xdr:rowOff>
    </xdr:from>
    <xdr:to>
      <xdr:col>17</xdr:col>
      <xdr:colOff>28575</xdr:colOff>
      <xdr:row>829</xdr:row>
      <xdr:rowOff>171450</xdr:rowOff>
    </xdr:to>
    <xdr:graphicFrame macro="">
      <xdr:nvGraphicFramePr>
        <xdr:cNvPr id="1266746" name="グラフ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0"/>
        </a:graphicData>
      </a:graphic>
    </xdr:graphicFrame>
    <xdr:clientData/>
  </xdr:twoCellAnchor>
  <xdr:twoCellAnchor>
    <xdr:from>
      <xdr:col>3</xdr:col>
      <xdr:colOff>0</xdr:colOff>
      <xdr:row>834</xdr:row>
      <xdr:rowOff>0</xdr:rowOff>
    </xdr:from>
    <xdr:to>
      <xdr:col>17</xdr:col>
      <xdr:colOff>28575</xdr:colOff>
      <xdr:row>860</xdr:row>
      <xdr:rowOff>171450</xdr:rowOff>
    </xdr:to>
    <xdr:graphicFrame macro="">
      <xdr:nvGraphicFramePr>
        <xdr:cNvPr id="1266747" name="グラフ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1"/>
        </a:graphicData>
      </a:graphic>
    </xdr:graphicFrame>
    <xdr:clientData/>
  </xdr:twoCellAnchor>
  <xdr:twoCellAnchor>
    <xdr:from>
      <xdr:col>3</xdr:col>
      <xdr:colOff>0</xdr:colOff>
      <xdr:row>865</xdr:row>
      <xdr:rowOff>0</xdr:rowOff>
    </xdr:from>
    <xdr:to>
      <xdr:col>17</xdr:col>
      <xdr:colOff>28575</xdr:colOff>
      <xdr:row>891</xdr:row>
      <xdr:rowOff>171450</xdr:rowOff>
    </xdr:to>
    <xdr:graphicFrame macro="">
      <xdr:nvGraphicFramePr>
        <xdr:cNvPr id="1266748" name="グラフ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2"/>
        </a:graphicData>
      </a:graphic>
    </xdr:graphicFrame>
    <xdr:clientData/>
  </xdr:twoCellAnchor>
  <xdr:twoCellAnchor>
    <xdr:from>
      <xdr:col>3</xdr:col>
      <xdr:colOff>0</xdr:colOff>
      <xdr:row>896</xdr:row>
      <xdr:rowOff>0</xdr:rowOff>
    </xdr:from>
    <xdr:to>
      <xdr:col>17</xdr:col>
      <xdr:colOff>28575</xdr:colOff>
      <xdr:row>922</xdr:row>
      <xdr:rowOff>171450</xdr:rowOff>
    </xdr:to>
    <xdr:graphicFrame macro="">
      <xdr:nvGraphicFramePr>
        <xdr:cNvPr id="1266749" name="グラフ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3"/>
        </a:graphicData>
      </a:graphic>
    </xdr:graphicFrame>
    <xdr:clientData/>
  </xdr:twoCellAnchor>
  <xdr:twoCellAnchor>
    <xdr:from>
      <xdr:col>3</xdr:col>
      <xdr:colOff>0</xdr:colOff>
      <xdr:row>927</xdr:row>
      <xdr:rowOff>0</xdr:rowOff>
    </xdr:from>
    <xdr:to>
      <xdr:col>17</xdr:col>
      <xdr:colOff>28575</xdr:colOff>
      <xdr:row>953</xdr:row>
      <xdr:rowOff>171450</xdr:rowOff>
    </xdr:to>
    <xdr:graphicFrame macro="">
      <xdr:nvGraphicFramePr>
        <xdr:cNvPr id="1266750" name="グラフ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4"/>
        </a:graphicData>
      </a:graphic>
    </xdr:graphicFrame>
    <xdr:clientData/>
  </xdr:twoCellAnchor>
  <xdr:twoCellAnchor>
    <xdr:from>
      <xdr:col>3</xdr:col>
      <xdr:colOff>0</xdr:colOff>
      <xdr:row>958</xdr:row>
      <xdr:rowOff>0</xdr:rowOff>
    </xdr:from>
    <xdr:to>
      <xdr:col>17</xdr:col>
      <xdr:colOff>28575</xdr:colOff>
      <xdr:row>984</xdr:row>
      <xdr:rowOff>171450</xdr:rowOff>
    </xdr:to>
    <xdr:graphicFrame macro="">
      <xdr:nvGraphicFramePr>
        <xdr:cNvPr id="1266751" name="グラフ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5"/>
        </a:graphicData>
      </a:graphic>
    </xdr:graphicFrame>
    <xdr:clientData/>
  </xdr:twoCellAnchor>
  <xdr:twoCellAnchor>
    <xdr:from>
      <xdr:col>3</xdr:col>
      <xdr:colOff>0</xdr:colOff>
      <xdr:row>989</xdr:row>
      <xdr:rowOff>0</xdr:rowOff>
    </xdr:from>
    <xdr:to>
      <xdr:col>17</xdr:col>
      <xdr:colOff>28575</xdr:colOff>
      <xdr:row>1015</xdr:row>
      <xdr:rowOff>171450</xdr:rowOff>
    </xdr:to>
    <xdr:graphicFrame macro="">
      <xdr:nvGraphicFramePr>
        <xdr:cNvPr id="1266752" name="グラフ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6"/>
        </a:graphicData>
      </a:graphic>
    </xdr:graphicFrame>
    <xdr:clientData/>
  </xdr:twoCellAnchor>
  <xdr:twoCellAnchor>
    <xdr:from>
      <xdr:col>3</xdr:col>
      <xdr:colOff>0</xdr:colOff>
      <xdr:row>1020</xdr:row>
      <xdr:rowOff>0</xdr:rowOff>
    </xdr:from>
    <xdr:to>
      <xdr:col>17</xdr:col>
      <xdr:colOff>28575</xdr:colOff>
      <xdr:row>1046</xdr:row>
      <xdr:rowOff>171450</xdr:rowOff>
    </xdr:to>
    <xdr:graphicFrame macro="">
      <xdr:nvGraphicFramePr>
        <xdr:cNvPr id="1266753" name="グラフ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7"/>
        </a:graphicData>
      </a:graphic>
    </xdr:graphicFrame>
    <xdr:clientData/>
  </xdr:twoCellAnchor>
  <xdr:twoCellAnchor>
    <xdr:from>
      <xdr:col>3</xdr:col>
      <xdr:colOff>0</xdr:colOff>
      <xdr:row>1051</xdr:row>
      <xdr:rowOff>0</xdr:rowOff>
    </xdr:from>
    <xdr:to>
      <xdr:col>17</xdr:col>
      <xdr:colOff>28575</xdr:colOff>
      <xdr:row>1077</xdr:row>
      <xdr:rowOff>171450</xdr:rowOff>
    </xdr:to>
    <xdr:graphicFrame macro="">
      <xdr:nvGraphicFramePr>
        <xdr:cNvPr id="1266754" name="グラフ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8"/>
        </a:graphicData>
      </a:graphic>
    </xdr:graphicFrame>
    <xdr:clientData/>
  </xdr:twoCellAnchor>
  <xdr:twoCellAnchor>
    <xdr:from>
      <xdr:col>3</xdr:col>
      <xdr:colOff>0</xdr:colOff>
      <xdr:row>1082</xdr:row>
      <xdr:rowOff>0</xdr:rowOff>
    </xdr:from>
    <xdr:to>
      <xdr:col>17</xdr:col>
      <xdr:colOff>28575</xdr:colOff>
      <xdr:row>1108</xdr:row>
      <xdr:rowOff>171450</xdr:rowOff>
    </xdr:to>
    <xdr:graphicFrame macro="">
      <xdr:nvGraphicFramePr>
        <xdr:cNvPr id="1266755" name="グラフ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9"/>
        </a:graphicData>
      </a:graphic>
    </xdr:graphicFrame>
    <xdr:clientData/>
  </xdr:twoCellAnchor>
  <xdr:twoCellAnchor>
    <xdr:from>
      <xdr:col>3</xdr:col>
      <xdr:colOff>0</xdr:colOff>
      <xdr:row>1113</xdr:row>
      <xdr:rowOff>0</xdr:rowOff>
    </xdr:from>
    <xdr:to>
      <xdr:col>17</xdr:col>
      <xdr:colOff>28575</xdr:colOff>
      <xdr:row>1139</xdr:row>
      <xdr:rowOff>171450</xdr:rowOff>
    </xdr:to>
    <xdr:graphicFrame macro="">
      <xdr:nvGraphicFramePr>
        <xdr:cNvPr id="1266756" name="グラフ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0"/>
        </a:graphicData>
      </a:graphic>
    </xdr:graphicFrame>
    <xdr:clientData/>
  </xdr:twoCellAnchor>
  <xdr:twoCellAnchor>
    <xdr:from>
      <xdr:col>3</xdr:col>
      <xdr:colOff>0</xdr:colOff>
      <xdr:row>1144</xdr:row>
      <xdr:rowOff>0</xdr:rowOff>
    </xdr:from>
    <xdr:to>
      <xdr:col>17</xdr:col>
      <xdr:colOff>28575</xdr:colOff>
      <xdr:row>1170</xdr:row>
      <xdr:rowOff>171450</xdr:rowOff>
    </xdr:to>
    <xdr:graphicFrame macro="">
      <xdr:nvGraphicFramePr>
        <xdr:cNvPr id="1266757" name="グラフ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1"/>
        </a:graphicData>
      </a:graphic>
    </xdr:graphicFrame>
    <xdr:clientData/>
  </xdr:twoCellAnchor>
  <xdr:twoCellAnchor>
    <xdr:from>
      <xdr:col>3</xdr:col>
      <xdr:colOff>0</xdr:colOff>
      <xdr:row>1175</xdr:row>
      <xdr:rowOff>0</xdr:rowOff>
    </xdr:from>
    <xdr:to>
      <xdr:col>17</xdr:col>
      <xdr:colOff>28575</xdr:colOff>
      <xdr:row>1201</xdr:row>
      <xdr:rowOff>171450</xdr:rowOff>
    </xdr:to>
    <xdr:graphicFrame macro="">
      <xdr:nvGraphicFramePr>
        <xdr:cNvPr id="1266758" name="グラフ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2"/>
        </a:graphicData>
      </a:graphic>
    </xdr:graphicFrame>
    <xdr:clientData/>
  </xdr:twoCellAnchor>
  <xdr:twoCellAnchor>
    <xdr:from>
      <xdr:col>3</xdr:col>
      <xdr:colOff>0</xdr:colOff>
      <xdr:row>1206</xdr:row>
      <xdr:rowOff>0</xdr:rowOff>
    </xdr:from>
    <xdr:to>
      <xdr:col>17</xdr:col>
      <xdr:colOff>28575</xdr:colOff>
      <xdr:row>1232</xdr:row>
      <xdr:rowOff>171450</xdr:rowOff>
    </xdr:to>
    <xdr:graphicFrame macro="">
      <xdr:nvGraphicFramePr>
        <xdr:cNvPr id="1266759" name="グラフ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3"/>
        </a:graphicData>
      </a:graphic>
    </xdr:graphicFrame>
    <xdr:clientData/>
  </xdr:twoCellAnchor>
  <xdr:twoCellAnchor>
    <xdr:from>
      <xdr:col>3</xdr:col>
      <xdr:colOff>0</xdr:colOff>
      <xdr:row>1237</xdr:row>
      <xdr:rowOff>0</xdr:rowOff>
    </xdr:from>
    <xdr:to>
      <xdr:col>17</xdr:col>
      <xdr:colOff>28575</xdr:colOff>
      <xdr:row>1263</xdr:row>
      <xdr:rowOff>171450</xdr:rowOff>
    </xdr:to>
    <xdr:graphicFrame macro="">
      <xdr:nvGraphicFramePr>
        <xdr:cNvPr id="1266760" name="グラフ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4"/>
        </a:graphicData>
      </a:graphic>
    </xdr:graphicFrame>
    <xdr:clientData/>
  </xdr:twoCellAnchor>
  <xdr:twoCellAnchor>
    <xdr:from>
      <xdr:col>3</xdr:col>
      <xdr:colOff>0</xdr:colOff>
      <xdr:row>1268</xdr:row>
      <xdr:rowOff>0</xdr:rowOff>
    </xdr:from>
    <xdr:to>
      <xdr:col>17</xdr:col>
      <xdr:colOff>28575</xdr:colOff>
      <xdr:row>1294</xdr:row>
      <xdr:rowOff>171450</xdr:rowOff>
    </xdr:to>
    <xdr:graphicFrame macro="">
      <xdr:nvGraphicFramePr>
        <xdr:cNvPr id="1266761" name="グラフ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5"/>
        </a:graphicData>
      </a:graphic>
    </xdr:graphicFrame>
    <xdr:clientData/>
  </xdr:twoCellAnchor>
  <xdr:twoCellAnchor>
    <xdr:from>
      <xdr:col>3</xdr:col>
      <xdr:colOff>0</xdr:colOff>
      <xdr:row>1299</xdr:row>
      <xdr:rowOff>0</xdr:rowOff>
    </xdr:from>
    <xdr:to>
      <xdr:col>17</xdr:col>
      <xdr:colOff>28575</xdr:colOff>
      <xdr:row>1325</xdr:row>
      <xdr:rowOff>171450</xdr:rowOff>
    </xdr:to>
    <xdr:graphicFrame macro="">
      <xdr:nvGraphicFramePr>
        <xdr:cNvPr id="1266762" name="グラフ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6"/>
        </a:graphicData>
      </a:graphic>
    </xdr:graphicFrame>
    <xdr:clientData/>
  </xdr:twoCellAnchor>
  <xdr:twoCellAnchor>
    <xdr:from>
      <xdr:col>3</xdr:col>
      <xdr:colOff>0</xdr:colOff>
      <xdr:row>1330</xdr:row>
      <xdr:rowOff>0</xdr:rowOff>
    </xdr:from>
    <xdr:to>
      <xdr:col>17</xdr:col>
      <xdr:colOff>28575</xdr:colOff>
      <xdr:row>1356</xdr:row>
      <xdr:rowOff>171450</xdr:rowOff>
    </xdr:to>
    <xdr:graphicFrame macro="">
      <xdr:nvGraphicFramePr>
        <xdr:cNvPr id="1266763" name="グラフ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7"/>
        </a:graphicData>
      </a:graphic>
    </xdr:graphicFrame>
    <xdr:clientData/>
  </xdr:twoCellAnchor>
  <xdr:twoCellAnchor>
    <xdr:from>
      <xdr:col>3</xdr:col>
      <xdr:colOff>0</xdr:colOff>
      <xdr:row>1361</xdr:row>
      <xdr:rowOff>0</xdr:rowOff>
    </xdr:from>
    <xdr:to>
      <xdr:col>17</xdr:col>
      <xdr:colOff>28575</xdr:colOff>
      <xdr:row>1387</xdr:row>
      <xdr:rowOff>171450</xdr:rowOff>
    </xdr:to>
    <xdr:graphicFrame macro="">
      <xdr:nvGraphicFramePr>
        <xdr:cNvPr id="1266764" name="グラフ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8"/>
        </a:graphicData>
      </a:graphic>
    </xdr:graphicFrame>
    <xdr:clientData/>
  </xdr:twoCellAnchor>
  <xdr:twoCellAnchor>
    <xdr:from>
      <xdr:col>3</xdr:col>
      <xdr:colOff>0</xdr:colOff>
      <xdr:row>1392</xdr:row>
      <xdr:rowOff>0</xdr:rowOff>
    </xdr:from>
    <xdr:to>
      <xdr:col>17</xdr:col>
      <xdr:colOff>28575</xdr:colOff>
      <xdr:row>1418</xdr:row>
      <xdr:rowOff>171450</xdr:rowOff>
    </xdr:to>
    <xdr:graphicFrame macro="">
      <xdr:nvGraphicFramePr>
        <xdr:cNvPr id="1266765" name="グラフ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9"/>
        </a:graphicData>
      </a:graphic>
    </xdr:graphicFrame>
    <xdr:clientData/>
  </xdr:twoCellAnchor>
  <xdr:twoCellAnchor>
    <xdr:from>
      <xdr:col>3</xdr:col>
      <xdr:colOff>0</xdr:colOff>
      <xdr:row>1423</xdr:row>
      <xdr:rowOff>0</xdr:rowOff>
    </xdr:from>
    <xdr:to>
      <xdr:col>17</xdr:col>
      <xdr:colOff>28575</xdr:colOff>
      <xdr:row>1449</xdr:row>
      <xdr:rowOff>171450</xdr:rowOff>
    </xdr:to>
    <xdr:graphicFrame macro="">
      <xdr:nvGraphicFramePr>
        <xdr:cNvPr id="1266766" name="グラフ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0"/>
        </a:graphicData>
      </a:graphic>
    </xdr:graphicFrame>
    <xdr:clientData/>
  </xdr:twoCellAnchor>
  <xdr:twoCellAnchor>
    <xdr:from>
      <xdr:col>3</xdr:col>
      <xdr:colOff>0</xdr:colOff>
      <xdr:row>1454</xdr:row>
      <xdr:rowOff>0</xdr:rowOff>
    </xdr:from>
    <xdr:to>
      <xdr:col>17</xdr:col>
      <xdr:colOff>28575</xdr:colOff>
      <xdr:row>1480</xdr:row>
      <xdr:rowOff>171450</xdr:rowOff>
    </xdr:to>
    <xdr:graphicFrame macro="">
      <xdr:nvGraphicFramePr>
        <xdr:cNvPr id="1266767" name="グラフ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1"/>
        </a:graphicData>
      </a:graphic>
    </xdr:graphicFrame>
    <xdr:clientData/>
  </xdr:twoCellAnchor>
  <xdr:twoCellAnchor>
    <xdr:from>
      <xdr:col>3</xdr:col>
      <xdr:colOff>0</xdr:colOff>
      <xdr:row>1485</xdr:row>
      <xdr:rowOff>0</xdr:rowOff>
    </xdr:from>
    <xdr:to>
      <xdr:col>17</xdr:col>
      <xdr:colOff>28575</xdr:colOff>
      <xdr:row>1511</xdr:row>
      <xdr:rowOff>171450</xdr:rowOff>
    </xdr:to>
    <xdr:graphicFrame macro="">
      <xdr:nvGraphicFramePr>
        <xdr:cNvPr id="1266768" name="グラフ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2"/>
        </a:graphicData>
      </a:graphic>
    </xdr:graphicFrame>
    <xdr:clientData/>
  </xdr:twoCellAnchor>
  <xdr:twoCellAnchor>
    <xdr:from>
      <xdr:col>3</xdr:col>
      <xdr:colOff>0</xdr:colOff>
      <xdr:row>1516</xdr:row>
      <xdr:rowOff>0</xdr:rowOff>
    </xdr:from>
    <xdr:to>
      <xdr:col>17</xdr:col>
      <xdr:colOff>28575</xdr:colOff>
      <xdr:row>1542</xdr:row>
      <xdr:rowOff>171450</xdr:rowOff>
    </xdr:to>
    <xdr:graphicFrame macro="">
      <xdr:nvGraphicFramePr>
        <xdr:cNvPr id="1266769" name="グラフ 6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3"/>
        </a:graphicData>
      </a:graphic>
    </xdr:graphicFrame>
    <xdr:clientData/>
  </xdr:twoCellAnchor>
  <xdr:twoCellAnchor>
    <xdr:from>
      <xdr:col>3</xdr:col>
      <xdr:colOff>0</xdr:colOff>
      <xdr:row>1547</xdr:row>
      <xdr:rowOff>0</xdr:rowOff>
    </xdr:from>
    <xdr:to>
      <xdr:col>17</xdr:col>
      <xdr:colOff>28575</xdr:colOff>
      <xdr:row>1573</xdr:row>
      <xdr:rowOff>171450</xdr:rowOff>
    </xdr:to>
    <xdr:graphicFrame macro="">
      <xdr:nvGraphicFramePr>
        <xdr:cNvPr id="1266770" name="グラフ 6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4"/>
        </a:graphicData>
      </a:graphic>
    </xdr:graphicFrame>
    <xdr:clientData/>
  </xdr:twoCellAnchor>
  <xdr:twoCellAnchor>
    <xdr:from>
      <xdr:col>3</xdr:col>
      <xdr:colOff>0</xdr:colOff>
      <xdr:row>1578</xdr:row>
      <xdr:rowOff>0</xdr:rowOff>
    </xdr:from>
    <xdr:to>
      <xdr:col>17</xdr:col>
      <xdr:colOff>28575</xdr:colOff>
      <xdr:row>1604</xdr:row>
      <xdr:rowOff>171450</xdr:rowOff>
    </xdr:to>
    <xdr:graphicFrame macro="">
      <xdr:nvGraphicFramePr>
        <xdr:cNvPr id="1266771" name="グラフ 6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5"/>
        </a:graphicData>
      </a:graphic>
    </xdr:graphicFrame>
    <xdr:clientData/>
  </xdr:twoCellAnchor>
  <xdr:twoCellAnchor>
    <xdr:from>
      <xdr:col>3</xdr:col>
      <xdr:colOff>0</xdr:colOff>
      <xdr:row>1609</xdr:row>
      <xdr:rowOff>0</xdr:rowOff>
    </xdr:from>
    <xdr:to>
      <xdr:col>17</xdr:col>
      <xdr:colOff>28575</xdr:colOff>
      <xdr:row>1635</xdr:row>
      <xdr:rowOff>171450</xdr:rowOff>
    </xdr:to>
    <xdr:graphicFrame macro="">
      <xdr:nvGraphicFramePr>
        <xdr:cNvPr id="1266772" name="グラフ 6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6"/>
        </a:graphicData>
      </a:graphic>
    </xdr:graphicFrame>
    <xdr:clientData/>
  </xdr:twoCellAnchor>
  <xdr:twoCellAnchor>
    <xdr:from>
      <xdr:col>3</xdr:col>
      <xdr:colOff>0</xdr:colOff>
      <xdr:row>1640</xdr:row>
      <xdr:rowOff>0</xdr:rowOff>
    </xdr:from>
    <xdr:to>
      <xdr:col>17</xdr:col>
      <xdr:colOff>28575</xdr:colOff>
      <xdr:row>1666</xdr:row>
      <xdr:rowOff>171450</xdr:rowOff>
    </xdr:to>
    <xdr:graphicFrame macro="">
      <xdr:nvGraphicFramePr>
        <xdr:cNvPr id="1266773" name="グラフ 6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7"/>
        </a:graphicData>
      </a:graphic>
    </xdr:graphicFrame>
    <xdr:clientData/>
  </xdr:twoCellAnchor>
  <xdr:twoCellAnchor>
    <xdr:from>
      <xdr:col>3</xdr:col>
      <xdr:colOff>0</xdr:colOff>
      <xdr:row>1671</xdr:row>
      <xdr:rowOff>0</xdr:rowOff>
    </xdr:from>
    <xdr:to>
      <xdr:col>17</xdr:col>
      <xdr:colOff>28575</xdr:colOff>
      <xdr:row>1697</xdr:row>
      <xdr:rowOff>171450</xdr:rowOff>
    </xdr:to>
    <xdr:graphicFrame macro="">
      <xdr:nvGraphicFramePr>
        <xdr:cNvPr id="1266774" name="グラフ 6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8"/>
        </a:graphicData>
      </a:graphic>
    </xdr:graphicFrame>
    <xdr:clientData/>
  </xdr:twoCellAnchor>
  <xdr:twoCellAnchor>
    <xdr:from>
      <xdr:col>3</xdr:col>
      <xdr:colOff>0</xdr:colOff>
      <xdr:row>1702</xdr:row>
      <xdr:rowOff>0</xdr:rowOff>
    </xdr:from>
    <xdr:to>
      <xdr:col>17</xdr:col>
      <xdr:colOff>28575</xdr:colOff>
      <xdr:row>1728</xdr:row>
      <xdr:rowOff>171450</xdr:rowOff>
    </xdr:to>
    <xdr:graphicFrame macro="">
      <xdr:nvGraphicFramePr>
        <xdr:cNvPr id="1266775" name="グラフ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9"/>
        </a:graphicData>
      </a:graphic>
    </xdr:graphicFrame>
    <xdr:clientData/>
  </xdr:twoCellAnchor>
  <xdr:twoCellAnchor>
    <xdr:from>
      <xdr:col>3</xdr:col>
      <xdr:colOff>0</xdr:colOff>
      <xdr:row>1733</xdr:row>
      <xdr:rowOff>0</xdr:rowOff>
    </xdr:from>
    <xdr:to>
      <xdr:col>17</xdr:col>
      <xdr:colOff>28575</xdr:colOff>
      <xdr:row>1759</xdr:row>
      <xdr:rowOff>171450</xdr:rowOff>
    </xdr:to>
    <xdr:graphicFrame macro="">
      <xdr:nvGraphicFramePr>
        <xdr:cNvPr id="1266776" name="グラフ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0"/>
        </a:graphicData>
      </a:graphic>
    </xdr:graphicFrame>
    <xdr:clientData/>
  </xdr:twoCellAnchor>
  <xdr:twoCellAnchor>
    <xdr:from>
      <xdr:col>3</xdr:col>
      <xdr:colOff>0</xdr:colOff>
      <xdr:row>1764</xdr:row>
      <xdr:rowOff>0</xdr:rowOff>
    </xdr:from>
    <xdr:to>
      <xdr:col>17</xdr:col>
      <xdr:colOff>28575</xdr:colOff>
      <xdr:row>1790</xdr:row>
      <xdr:rowOff>171450</xdr:rowOff>
    </xdr:to>
    <xdr:graphicFrame macro="">
      <xdr:nvGraphicFramePr>
        <xdr:cNvPr id="1266777" name="グラフ 7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1"/>
        </a:graphicData>
      </a:graphic>
    </xdr:graphicFrame>
    <xdr:clientData/>
  </xdr:twoCellAnchor>
  <xdr:twoCellAnchor>
    <xdr:from>
      <xdr:col>3</xdr:col>
      <xdr:colOff>0</xdr:colOff>
      <xdr:row>1795</xdr:row>
      <xdr:rowOff>0</xdr:rowOff>
    </xdr:from>
    <xdr:to>
      <xdr:col>17</xdr:col>
      <xdr:colOff>28575</xdr:colOff>
      <xdr:row>1821</xdr:row>
      <xdr:rowOff>161925</xdr:rowOff>
    </xdr:to>
    <xdr:graphicFrame macro="">
      <xdr:nvGraphicFramePr>
        <xdr:cNvPr id="1266778" name="グラフ 7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2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3</xdr:col>
      <xdr:colOff>0</xdr:colOff>
      <xdr:row>3</xdr:row>
      <xdr:rowOff>9525</xdr:rowOff>
    </xdr:from>
    <xdr:to>
      <xdr:col>16</xdr:col>
      <xdr:colOff>0</xdr:colOff>
      <xdr:row>31</xdr:row>
      <xdr:rowOff>104775</xdr:rowOff>
    </xdr:to>
    <xdr:graphicFrame macro="">
      <xdr:nvGraphicFramePr>
        <xdr:cNvPr id="17452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3</xdr:col>
      <xdr:colOff>0</xdr:colOff>
      <xdr:row>41</xdr:row>
      <xdr:rowOff>9525</xdr:rowOff>
    </xdr:from>
    <xdr:to>
      <xdr:col>16</xdr:col>
      <xdr:colOff>0</xdr:colOff>
      <xdr:row>69</xdr:row>
      <xdr:rowOff>104775</xdr:rowOff>
    </xdr:to>
    <xdr:graphicFrame macro="">
      <xdr:nvGraphicFramePr>
        <xdr:cNvPr id="17453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69"/>
  <sheetViews>
    <sheetView tabSelected="1" workbookViewId="0">
      <pane xSplit="3" ySplit="8" topLeftCell="D9" activePane="bottomRight" state="frozen"/>
      <selection pane="topRight" activeCell="D1" sqref="D1"/>
      <selection pane="bottomLeft" activeCell="A9" sqref="A9"/>
    </sheetView>
  </sheetViews>
  <sheetFormatPr defaultColWidth="5.625" defaultRowHeight="12" customHeight="1"/>
  <cols>
    <col min="1" max="1" width="2.125" style="60" customWidth="1"/>
    <col min="2" max="2" width="1.625" style="60" customWidth="1"/>
    <col min="3" max="3" width="32.625" style="262" customWidth="1"/>
    <col min="4" max="4" width="12.625" style="60" customWidth="1"/>
    <col min="5" max="6" width="6.125" style="60" customWidth="1"/>
    <col min="7" max="7" width="12.625" style="60" customWidth="1"/>
    <col min="8" max="9" width="6.125" style="60" customWidth="1"/>
    <col min="10" max="10" width="12.625" style="60" customWidth="1"/>
    <col min="11" max="12" width="6.125" style="60" customWidth="1"/>
    <col min="13" max="13" width="12.625" style="60" customWidth="1"/>
    <col min="14" max="15" width="6.125" style="60" customWidth="1"/>
    <col min="16" max="16" width="1.625" style="60" customWidth="1"/>
    <col min="17" max="17" width="2.125" style="60" customWidth="1"/>
    <col min="18" max="16384" width="5.625" style="60"/>
  </cols>
  <sheetData>
    <row ht="24" customHeight="1">
      <c r="C1" s="234" t="s">
        <v>136</v>
      </c>
      <c s="149" t="s">
        <v>1</v>
      </c>
      <c s="35">
        <f>VLOOKUP($D$1, 値単位リスト, 2, FALSE)</f>
        <v>2</v>
      </c>
      <c s="35" t="str">
        <f>VLOOKUP($D$1, 値単位リスト, 3, FALSE)</f>
        <v>千円</v>
      </c>
      <c s="35">
        <f>VLOOKUP($D$1, 値単位リスト, 4, FALSE)</f>
        <v>1000</v>
      </c>
      <c s="35"/>
      <c s="35"/>
      <c s="35"/>
      <c s="35"/>
      <c s="35"/>
      <c s="35"/>
      <c s="35"/>
      <c s="35"/>
      <c s="35"/>
      <c s="35"/>
    </row>
    <row ht="24" customHeight="1" s="87" customFormat="1">
      <c s="126"/>
      <c s="163"/>
      <c s="51" t="str">
        <f>"【 " &amp; 分析種別名称 &amp; " 売上実績(" &amp; $D$1 &amp; ") 】" &amp; PI値モード名称</f>
        <v>【 カテゴリー別 売上実績(金額) 】</v>
      </c>
      <c s="51"/>
      <c s="51"/>
      <c s="51"/>
      <c s="51"/>
      <c s="51"/>
      <c s="51"/>
      <c s="51"/>
      <c s="51"/>
      <c s="51"/>
      <c s="51"/>
      <c s="51"/>
      <c s="51"/>
      <c s="163"/>
    </row>
    <row ht="12" customHeight="1" s="40" customFormat="1">
      <c s="11"/>
      <c s="176"/>
      <c s="54"/>
      <c s="54"/>
      <c s="54"/>
      <c s="54"/>
      <c s="54"/>
      <c s="54"/>
      <c s="54"/>
      <c s="54"/>
      <c s="54"/>
      <c s="54"/>
      <c s="54"/>
      <c s="54"/>
      <c s="207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  <c s="176"/>
    </row>
    <row ht="6" customHeight="1" thickBot="1">
      <c s="35"/>
      <c s="164"/>
      <c s="212"/>
      <c s="68"/>
      <c s="68"/>
      <c s="68"/>
      <c s="68"/>
      <c s="68"/>
      <c s="144"/>
      <c s="68"/>
      <c s="68"/>
      <c s="68"/>
      <c s="68"/>
      <c s="68"/>
      <c s="144"/>
      <c s="164"/>
    </row>
    <row ht="18" customHeight="1" thickBot="1">
      <c s="35"/>
      <c s="43"/>
      <c s="161"/>
      <c s="258" t="str">
        <f>"実績　(" &amp; IF(分析数=1, 分析開始年月, 分析開始年月 &amp; "～" &amp; 分析終了年月) &amp; ")"</f>
        <v>実績　(2019年4月～2020年3月)</v>
      </c>
      <c s="129"/>
      <c s="129"/>
      <c s="129"/>
      <c s="129"/>
      <c s="259"/>
      <c s="301" t="str">
        <f>"累計実績　("&amp; IF(年度開始年月=分析終了年月,年度開始年月,年度開始年月&amp;"～"&amp;分析終了年月) &amp;")"</f>
        <v>累計実績　(2019年4月～2020年3月)</v>
      </c>
      <c s="125"/>
      <c s="125"/>
      <c s="125"/>
      <c s="125"/>
      <c s="226"/>
      <c s="43"/>
    </row>
    <row ht="13.5" customHeight="1">
      <c s="35"/>
      <c s="43"/>
      <c s="218"/>
      <c s="135" t="str">
        <f>IF(比較POS名称="","",比較POS名称)</f>
        <v>RDS06 スーパー  00 全国</v>
      </c>
      <c s="107"/>
      <c s="114"/>
      <c s="135" t="str">
        <f>IF(分析POS名称="","",分析POS名称)</f>
        <v>RDS06 スーパー  04 首都圏</v>
      </c>
      <c s="107"/>
      <c s="114"/>
      <c s="107" t="str">
        <f>IF(比較POS名称="","",比較POS名称)</f>
        <v>RDS06 スーパー  00 全国</v>
      </c>
      <c s="107"/>
      <c s="114"/>
      <c s="135" t="str">
        <f>IF(分析POS名称="","",分析POS名称)</f>
        <v>RDS06 スーパー  04 首都圏</v>
      </c>
      <c s="107"/>
      <c s="114"/>
      <c s="43"/>
    </row>
    <row ht="13.5" customHeight="1">
      <c s="35"/>
      <c s="43"/>
      <c s="218"/>
      <c s="139"/>
      <c s="111"/>
      <c s="127"/>
      <c s="139"/>
      <c s="111"/>
      <c s="127"/>
      <c s="111"/>
      <c s="111"/>
      <c s="127"/>
      <c s="139"/>
      <c s="111"/>
      <c s="127"/>
      <c s="43"/>
    </row>
    <row ht="13.5" customHeight="1" thickBot="1">
      <c s="35"/>
      <c s="43"/>
      <c s="144" t="str">
        <f>分析オプション&amp;"　単位：" &amp; $F$1</f>
        <v xml:space="preserve"> [税抜分析]　単位：千円</v>
      </c>
      <c s="136"/>
      <c s="112" t="s">
        <v>30</v>
      </c>
      <c s="123" t="s">
        <v>31</v>
      </c>
      <c s="136"/>
      <c s="112" t="s">
        <v>30</v>
      </c>
      <c s="123" t="s">
        <v>31</v>
      </c>
      <c s="326"/>
      <c s="112" t="s">
        <v>30</v>
      </c>
      <c s="123" t="s">
        <v>31</v>
      </c>
      <c s="136"/>
      <c s="112" t="s">
        <v>30</v>
      </c>
      <c s="123" t="s">
        <v>31</v>
      </c>
      <c s="43"/>
    </row>
    <row ht="15" customHeight="1">
      <c s="35">
        <v>1</v>
      </c>
      <c s="43"/>
      <c s="216" t="str">
        <f t="shared" si="0" ref="C9:C58">IF(INDEX(項目,$A9,1)="","",INDEX(項目,$A9,1))</f>
        <v>加工食品</v>
      </c>
      <c s="130">
        <f t="shared" si="1" ref="D9:D58">IF(INDEX(比較データ, $A9, $E$1)="", "--", INDEX(比較データ, $A9, $E$1)/$G$1)</f>
        <v>48719298.40388</v>
      </c>
      <c s="115">
        <f t="shared" si="2" ref="E9:E58">IF(ISERROR($D9/$D64), "--", $D9/$D64*100)</f>
        <v>127.42998020937418</v>
      </c>
      <c s="119">
        <f t="shared" si="3" ref="F9:F58">IF(ISERROR($D9/$D$59), "--", $D9/$D$59*100)</f>
        <v>43.888471562690597</v>
      </c>
      <c s="130">
        <f t="shared" si="4" ref="G9:G58">IF(INDEX(分析データ, $A9, $E$1)="", "--", INDEX(分析データ, $A9, $E$1)/$G$1)</f>
        <v>58944512.021778099</v>
      </c>
      <c s="115">
        <f t="shared" si="5" ref="H9:H58">IF(ISERROR($G9/$G64), "--", $G9/$G64*100)</f>
        <v>122.78151906535204</v>
      </c>
      <c s="119">
        <f t="shared" si="6" ref="I9:I58">IF(ISERROR($G9/$G$59), "--", $G9/$G$59*100)</f>
        <v>44.646099407619637</v>
      </c>
      <c s="274">
        <f t="shared" si="7" ref="J9:J58">IF(INDEX(合算比較データ, $A9, $E$1)="", "--", INDEX(合算比較データ, $A9, $E$1)/$G$1)</f>
        <v>48719298.40388</v>
      </c>
      <c s="115">
        <f t="shared" si="8" ref="K9:K58">IF(ISERROR($J9/$J64), "--", $J9/$J64*100)</f>
        <v>127.42998020937418</v>
      </c>
      <c s="119">
        <f t="shared" si="9" ref="L9:L58">IF(ISERROR($J9/$J$59), "--", $J9/$J$59*100)</f>
        <v>43.888471562690597</v>
      </c>
      <c s="130">
        <f t="shared" si="10" ref="M9:M58">IF(INDEX(合算分析データ, $A9, $E$1)="", "--", INDEX(合算分析データ, $A9, $E$1)/$G$1)</f>
        <v>58944512.021778099</v>
      </c>
      <c s="115">
        <f t="shared" si="11" ref="N9:N58">IF(ISERROR($M9/$M64), "--", $M9/$M64*100)</f>
        <v>122.78151906535204</v>
      </c>
      <c s="119">
        <f t="shared" si="12" ref="O9:O58">IF(ISERROR($M9/$M$59), "--", $M9/$M$59*100)</f>
        <v>44.646099407619637</v>
      </c>
      <c s="43"/>
    </row>
    <row ht="15" customHeight="1">
      <c s="35">
        <v>2</v>
      </c>
      <c s="43"/>
      <c s="247" t="str">
        <f t="shared" si="0"/>
        <v>生鮮食品</v>
      </c>
      <c s="137">
        <f t="shared" si="1"/>
        <v>50481114.523376599</v>
      </c>
      <c s="120">
        <f t="shared" si="2"/>
        <v>297.65692182336034</v>
      </c>
      <c s="124">
        <f t="shared" si="3"/>
        <v>45.475592461234953</v>
      </c>
      <c s="137">
        <f t="shared" si="4"/>
        <v>59479433.277757697</v>
      </c>
      <c s="120">
        <f t="shared" si="5"/>
        <v>287.58776986402523</v>
      </c>
      <c s="124">
        <f t="shared" si="6"/>
        <v>45.051262615364749</v>
      </c>
      <c s="327">
        <f t="shared" si="7"/>
        <v>50481114.523376599</v>
      </c>
      <c s="120">
        <f t="shared" si="8"/>
        <v>297.65692182336034</v>
      </c>
      <c s="124">
        <f t="shared" si="9"/>
        <v>45.475592461234953</v>
      </c>
      <c s="137">
        <f t="shared" si="10"/>
        <v>59479433.277757697</v>
      </c>
      <c s="120">
        <f t="shared" si="11"/>
        <v>287.58776986402523</v>
      </c>
      <c s="124">
        <f t="shared" si="12"/>
        <v>45.051262615364749</v>
      </c>
      <c s="43"/>
    </row>
    <row ht="15" customHeight="1">
      <c s="35">
        <v>3</v>
      </c>
      <c s="43"/>
      <c s="247" t="str">
        <f t="shared" si="0"/>
        <v>菓子類</v>
      </c>
      <c s="137">
        <f t="shared" si="1"/>
        <v>11806638.9685676</v>
      </c>
      <c s="120">
        <f t="shared" si="2"/>
        <v>99.188259463218699</v>
      </c>
      <c s="124">
        <f t="shared" si="3"/>
        <v>10.63593597607445</v>
      </c>
      <c s="137">
        <f t="shared" si="4"/>
        <v>13602173.0039104</v>
      </c>
      <c s="120">
        <f t="shared" si="5"/>
        <v>98.982823806944637</v>
      </c>
      <c s="124">
        <f t="shared" si="6"/>
        <v>10.302637977015605</v>
      </c>
      <c s="327">
        <f t="shared" si="7"/>
        <v>11806638.9685676</v>
      </c>
      <c s="120">
        <f t="shared" si="8"/>
        <v>99.188259463218699</v>
      </c>
      <c s="124">
        <f t="shared" si="9"/>
        <v>10.63593597607445</v>
      </c>
      <c s="137">
        <f t="shared" si="10"/>
        <v>13602173.0039104</v>
      </c>
      <c s="120">
        <f t="shared" si="11"/>
        <v>98.982823806944637</v>
      </c>
      <c s="124">
        <f t="shared" si="12"/>
        <v>10.302637977015605</v>
      </c>
      <c s="43"/>
    </row>
    <row ht="15" hidden="1" customHeight="1">
      <c s="35">
        <v>4</v>
      </c>
      <c s="43"/>
      <c s="247" t="str">
        <f t="shared" si="0"/>
        <v>項目4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5</v>
      </c>
      <c s="43"/>
      <c s="247" t="str">
        <f t="shared" si="0"/>
        <v>項目5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6</v>
      </c>
      <c s="43"/>
      <c s="247" t="str">
        <f t="shared" si="0"/>
        <v>項目6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7</v>
      </c>
      <c s="43"/>
      <c s="247" t="str">
        <f t="shared" si="0"/>
        <v>項目7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8</v>
      </c>
      <c s="43"/>
      <c s="247" t="str">
        <f t="shared" si="0"/>
        <v>項目8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9</v>
      </c>
      <c s="43"/>
      <c s="247" t="str">
        <f t="shared" si="0"/>
        <v>項目9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10</v>
      </c>
      <c s="43"/>
      <c s="247" t="str">
        <f t="shared" si="0"/>
        <v>項目10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11</v>
      </c>
      <c s="43"/>
      <c s="247" t="str">
        <f t="shared" si="0"/>
        <v>項目11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12</v>
      </c>
      <c s="43"/>
      <c s="247" t="str">
        <f t="shared" si="0"/>
        <v>項目12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13</v>
      </c>
      <c s="43"/>
      <c s="247" t="str">
        <f t="shared" si="0"/>
        <v>項目13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14</v>
      </c>
      <c s="43"/>
      <c s="247" t="str">
        <f t="shared" si="0"/>
        <v>項目14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15</v>
      </c>
      <c s="43"/>
      <c s="247" t="str">
        <f t="shared" si="0"/>
        <v>項目15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16</v>
      </c>
      <c s="43"/>
      <c s="247" t="str">
        <f t="shared" si="0"/>
        <v>項目16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17</v>
      </c>
      <c s="43"/>
      <c s="247" t="str">
        <f t="shared" si="0"/>
        <v>項目17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18</v>
      </c>
      <c s="43"/>
      <c s="247" t="str">
        <f t="shared" si="0"/>
        <v>項目18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19</v>
      </c>
      <c s="43"/>
      <c s="247" t="str">
        <f t="shared" si="0"/>
        <v>項目19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20</v>
      </c>
      <c s="43"/>
      <c s="247" t="str">
        <f t="shared" si="0"/>
        <v>項目20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21</v>
      </c>
      <c s="43"/>
      <c s="247" t="str">
        <f t="shared" si="0"/>
        <v>項目21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22</v>
      </c>
      <c s="43"/>
      <c s="247" t="str">
        <f t="shared" si="0"/>
        <v>項目22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23</v>
      </c>
      <c s="43"/>
      <c s="247" t="str">
        <f t="shared" si="0"/>
        <v>項目23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24</v>
      </c>
      <c s="43"/>
      <c s="247" t="str">
        <f t="shared" si="0"/>
        <v>項目24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25</v>
      </c>
      <c s="43"/>
      <c s="247" t="str">
        <f t="shared" si="0"/>
        <v>項目25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26</v>
      </c>
      <c s="43"/>
      <c s="247" t="str">
        <f t="shared" si="0"/>
        <v>項目26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27</v>
      </c>
      <c s="43"/>
      <c s="247" t="str">
        <f t="shared" si="0"/>
        <v>項目27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28</v>
      </c>
      <c s="43"/>
      <c s="247" t="str">
        <f t="shared" si="0"/>
        <v>項目28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29</v>
      </c>
      <c s="43"/>
      <c s="247" t="str">
        <f t="shared" si="0"/>
        <v>項目29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30</v>
      </c>
      <c s="43"/>
      <c s="247" t="str">
        <f t="shared" si="0"/>
        <v>項目30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31</v>
      </c>
      <c s="43"/>
      <c s="247" t="str">
        <f t="shared" si="0"/>
        <v>項目31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32</v>
      </c>
      <c s="43"/>
      <c s="247" t="str">
        <f t="shared" si="0"/>
        <v>項目32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33</v>
      </c>
      <c s="43"/>
      <c s="247" t="str">
        <f t="shared" si="0"/>
        <v>項目33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34</v>
      </c>
      <c s="43"/>
      <c s="247" t="str">
        <f t="shared" si="0"/>
        <v>項目34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35</v>
      </c>
      <c s="43"/>
      <c s="247" t="str">
        <f t="shared" si="0"/>
        <v>項目35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36</v>
      </c>
      <c s="43"/>
      <c s="247" t="str">
        <f t="shared" si="0"/>
        <v>項目36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37</v>
      </c>
      <c s="43"/>
      <c s="247" t="str">
        <f t="shared" si="0"/>
        <v>項目37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38</v>
      </c>
      <c s="43"/>
      <c s="247" t="str">
        <f t="shared" si="0"/>
        <v>項目38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39</v>
      </c>
      <c s="43"/>
      <c s="247" t="str">
        <f t="shared" si="0"/>
        <v>項目39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40</v>
      </c>
      <c s="43"/>
      <c s="247" t="str">
        <f t="shared" si="0"/>
        <v>項目40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41</v>
      </c>
      <c s="43"/>
      <c s="247" t="str">
        <f t="shared" si="0"/>
        <v>項目41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42</v>
      </c>
      <c s="43"/>
      <c s="247" t="str">
        <f t="shared" si="0"/>
        <v>項目42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43</v>
      </c>
      <c s="43"/>
      <c s="247" t="str">
        <f t="shared" si="0"/>
        <v>項目43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44</v>
      </c>
      <c s="43"/>
      <c s="247" t="str">
        <f t="shared" si="0"/>
        <v>項目44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45</v>
      </c>
      <c s="43"/>
      <c s="247" t="str">
        <f t="shared" si="0"/>
        <v>項目45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46</v>
      </c>
      <c s="43"/>
      <c s="247" t="str">
        <f t="shared" si="0"/>
        <v>項目46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47</v>
      </c>
      <c s="43"/>
      <c s="247" t="str">
        <f t="shared" si="0"/>
        <v>項目47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48</v>
      </c>
      <c s="43"/>
      <c s="247" t="str">
        <f t="shared" si="0"/>
        <v>項目48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49</v>
      </c>
      <c s="43"/>
      <c s="247" t="str">
        <f t="shared" si="0"/>
        <v>項目49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32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 thickBot="1">
      <c s="35">
        <v>50</v>
      </c>
      <c s="43"/>
      <c s="214" t="str">
        <f t="shared" si="0"/>
        <v>項目50</v>
      </c>
      <c s="140" t="str">
        <f t="shared" si="1"/>
        <v>--</v>
      </c>
      <c s="134" t="str">
        <f t="shared" si="2"/>
        <v>--</v>
      </c>
      <c s="116" t="str">
        <f t="shared" si="3"/>
        <v>--</v>
      </c>
      <c s="140" t="str">
        <f t="shared" si="4"/>
        <v>--</v>
      </c>
      <c s="134" t="str">
        <f t="shared" si="5"/>
        <v>--</v>
      </c>
      <c s="116" t="str">
        <f t="shared" si="6"/>
        <v>--</v>
      </c>
      <c s="282" t="str">
        <f t="shared" si="7"/>
        <v>--</v>
      </c>
      <c s="134" t="str">
        <f t="shared" si="8"/>
        <v>--</v>
      </c>
      <c s="116" t="str">
        <f t="shared" si="9"/>
        <v>--</v>
      </c>
      <c s="140" t="str">
        <f t="shared" si="10"/>
        <v>--</v>
      </c>
      <c s="134" t="str">
        <f t="shared" si="11"/>
        <v>--</v>
      </c>
      <c s="116" t="str">
        <f t="shared" si="12"/>
        <v>--</v>
      </c>
      <c s="43"/>
    </row>
    <row ht="5.25" customHeight="1" thickBot="1">
      <c s="35"/>
      <c s="43"/>
      <c s="227"/>
      <c s="179">
        <f>IF(COUNTIF(D$9:D$58, "--")=50, "--", SUM(D$9:D$58))</f>
        <v>111007051.89582419</v>
      </c>
      <c s="122"/>
      <c s="122"/>
      <c s="179">
        <f>IF(COUNTIF(G$9:G$58, "--")=50, "--", SUM(G$9:G$58))</f>
        <v>132026118.3034462</v>
      </c>
      <c s="122"/>
      <c s="122"/>
      <c s="179">
        <f>IF(COUNTIF(J$9:J$58, "--")=50, "--", SUM(J$9:J$58))</f>
        <v>111007051.89582419</v>
      </c>
      <c s="122"/>
      <c s="122"/>
      <c s="179">
        <f>IF(COUNTIF(M$9:M$58, "--")=50, "--", SUM(M$9:M$58))</f>
        <v>132026118.3034462</v>
      </c>
      <c s="122"/>
      <c s="122"/>
      <c s="43"/>
    </row>
    <row ht="19.5" customHeight="1" thickBot="1">
      <c s="35">
        <v>1</v>
      </c>
      <c s="43"/>
      <c s="246" t="s">
        <v>32</v>
      </c>
      <c s="131">
        <f>IF(INDEX(比較データ合計, $A60, $E$1)="", "--", INDEX(比較データ合計, $A60, $E$1)/$G$1)</f>
        <v>111007051.895824</v>
      </c>
      <c s="128">
        <f>IF(ISERROR($D60/$D115), "--", $D60/$D115*100)</f>
        <v>165.44765252266089</v>
      </c>
      <c s="121">
        <f>IF(COUNTIF(F$9:F$58, "--")=50, "--", SUM(F$9:F$58))</f>
        <v>100</v>
      </c>
      <c s="131">
        <f>IF(INDEX(分析データ合計, $A60, $E$1)="", "--", INDEX(分析データ合計, $A60, $E$1)/$G$1)</f>
        <v>132026118.30344599</v>
      </c>
      <c s="128">
        <f>IF(ISERROR($G60/$G115), "--", $G60/$G115*100)</f>
        <v>160.16410098000625</v>
      </c>
      <c s="121">
        <f>IF(COUNTIF(I$9:I$58, "--")=50, "--", SUM(I$9:I$58))</f>
        <v>99.999999999999986</v>
      </c>
      <c s="333">
        <f>IF(INDEX(合算比較データ合計, $A60, $E$1)="", "--", INDEX(合算比較データ合計, $A60, $E$1)/$G$1)</f>
        <v>111007051.895824</v>
      </c>
      <c s="128">
        <f>IF(ISERROR($J60/$J115), "--", $J60/$J115*100)</f>
        <v>165.44765252266089</v>
      </c>
      <c s="121">
        <f>IF(COUNTIF(L$9:L$58, "--")=50, "--", SUM(L$9:L$58))</f>
        <v>100</v>
      </c>
      <c s="131">
        <f>IF(INDEX(合算分析データ合計, $A60, $E$1)="", "--", INDEX(合算分析データ合計, $A60, $E$1)/$G$1)</f>
        <v>132026118.30344599</v>
      </c>
      <c s="128">
        <f>IF(ISERROR($M60/$M115), "--", $M60/$M115*100)</f>
        <v>160.16410098000625</v>
      </c>
      <c s="121">
        <f>IF(COUNTIF(O$9:O$58, "--")=50, "--", SUM(O$9:O$58))</f>
        <v>99.999999999999986</v>
      </c>
      <c s="43"/>
    </row>
    <row ht="7.5" customHeight="1">
      <c s="35"/>
      <c s="43"/>
      <c s="161"/>
      <c s="43"/>
      <c s="43"/>
      <c s="43"/>
      <c s="43"/>
      <c s="43"/>
      <c s="43"/>
      <c s="43"/>
      <c s="43"/>
      <c s="43"/>
      <c s="43"/>
      <c s="43"/>
      <c s="43"/>
      <c s="43"/>
    </row>
    <row ht="12" customHeight="1">
      <c s="35"/>
    </row>
    <row ht="12" hidden="1" customHeight="1">
      <c s="35"/>
      <c r="C63" s="109"/>
      <c s="175" t="s">
        <v>44</v>
      </c>
      <c s="75"/>
      <c s="75"/>
      <c s="75"/>
      <c s="75"/>
      <c s="183"/>
      <c s="175" t="s">
        <v>60</v>
      </c>
      <c s="75"/>
      <c s="75"/>
      <c s="75"/>
      <c s="75"/>
      <c s="183"/>
    </row>
    <row ht="13.5" hidden="1" customHeight="1">
      <c s="35">
        <v>1</v>
      </c>
      <c r="C64" s="148" t="str">
        <f t="shared" si="13" ref="C64:C113">$C9</f>
        <v>加工食品</v>
      </c>
      <c s="46">
        <f t="shared" si="14" ref="D64:D113">IF(INDEX(前年比較データ, $A64, $E$1)="", "--", INDEX(前年比較データ, $A64, $E$1)/$G$1)</f>
        <v>38232210.602113903</v>
      </c>
      <c s="38" t="str">
        <f t="shared" si="15" ref="E64:E113">"―"</f>
        <v>―</v>
      </c>
      <c s="79">
        <f t="shared" si="16" ref="F64:F113">IF(ISERROR(D64/D$114), "--", D64/D$114*100)</f>
        <v>56.982231190212254</v>
      </c>
      <c s="46">
        <f t="shared" si="17" ref="G64:G113">IF(INDEX(前年分析データ, $A64, $E$1)="", "--", INDEX(前年分析データ, $A64, $E$1)/$G$1)</f>
        <v>48007641.924029402</v>
      </c>
      <c s="38" t="str">
        <f t="shared" si="18" ref="H64:H113">"―"</f>
        <v>―</v>
      </c>
      <c s="79">
        <f t="shared" si="19" ref="I64:I113">IF(ISERROR(G64/G$114), "--", G64/G$114*100)</f>
        <v>58.239240142316092</v>
      </c>
      <c s="46">
        <f t="shared" si="20" ref="J64:J113">IF(INDEX(合算前年比較データ, $A64, $E$1)="", "--", INDEX(合算前年比較データ, $A64, $E$1)/$G$1)</f>
        <v>38232210.602113903</v>
      </c>
      <c s="38" t="str">
        <f t="shared" si="21" ref="K64:K113">"―"</f>
        <v>―</v>
      </c>
      <c s="79">
        <f t="shared" si="22" ref="L64:L113">IF(ISERROR(J64/J$114), "--", J64/J$114*100)</f>
        <v>56.982231190212254</v>
      </c>
      <c s="46">
        <f t="shared" si="23" ref="M64:M113">IF(INDEX(合算前年分析データ, $A64, $E$1)="", "--", INDEX(合算前年分析データ, $A64, $E$1)/$G$1)</f>
        <v>48007641.924029402</v>
      </c>
      <c s="38" t="str">
        <f t="shared" si="24" ref="N64:N113">"―"</f>
        <v>―</v>
      </c>
      <c s="79">
        <f t="shared" si="25" ref="O64:O113">IF(ISERROR(M64/M$114), "--", M64/M$114*100)</f>
        <v>58.239240142316092</v>
      </c>
    </row>
    <row ht="13.5" hidden="1" customHeight="1">
      <c s="35">
        <v>2</v>
      </c>
      <c r="C65" s="148" t="str">
        <f t="shared" si="13"/>
        <v>生鮮食品</v>
      </c>
      <c s="46">
        <f t="shared" si="14"/>
        <v>16959496.2597019</v>
      </c>
      <c s="38" t="str">
        <f t="shared" si="15"/>
        <v>―</v>
      </c>
      <c s="79">
        <f t="shared" si="16"/>
        <v>25.276852201856226</v>
      </c>
      <c s="46">
        <f t="shared" si="17"/>
        <v>20682184.5400033</v>
      </c>
      <c s="38" t="str">
        <f t="shared" si="18"/>
        <v>―</v>
      </c>
      <c s="79">
        <f t="shared" si="19"/>
        <v>25.090061994693606</v>
      </c>
      <c s="46">
        <f t="shared" si="20"/>
        <v>16959496.2597019</v>
      </c>
      <c s="38" t="str">
        <f t="shared" si="21"/>
        <v>―</v>
      </c>
      <c s="79">
        <f t="shared" si="22"/>
        <v>25.276852201856226</v>
      </c>
      <c s="46">
        <f t="shared" si="23"/>
        <v>20682184.5400033</v>
      </c>
      <c s="38" t="str">
        <f t="shared" si="24"/>
        <v>―</v>
      </c>
      <c s="79">
        <f t="shared" si="25"/>
        <v>25.090061994693606</v>
      </c>
    </row>
    <row ht="13.5" hidden="1" customHeight="1">
      <c s="35">
        <v>3</v>
      </c>
      <c r="C66" s="148" t="str">
        <f t="shared" si="13"/>
        <v>菓子類</v>
      </c>
      <c s="46">
        <f t="shared" si="14"/>
        <v>11903262.5760973</v>
      </c>
      <c s="38" t="str">
        <f t="shared" si="15"/>
        <v>―</v>
      </c>
      <c s="79">
        <f t="shared" si="16"/>
        <v>17.740916607931513</v>
      </c>
      <c s="46">
        <f t="shared" si="17"/>
        <v>13741952.877036501</v>
      </c>
      <c s="38" t="str">
        <f t="shared" si="18"/>
        <v>―</v>
      </c>
      <c s="79">
        <f t="shared" si="19"/>
        <v>16.670697862990298</v>
      </c>
      <c s="46">
        <f t="shared" si="20"/>
        <v>11903262.5760973</v>
      </c>
      <c s="38" t="str">
        <f t="shared" si="21"/>
        <v>―</v>
      </c>
      <c s="79">
        <f t="shared" si="22"/>
        <v>17.740916607931513</v>
      </c>
      <c s="46">
        <f t="shared" si="23"/>
        <v>13741952.877036501</v>
      </c>
      <c s="38" t="str">
        <f t="shared" si="24"/>
        <v>―</v>
      </c>
      <c s="79">
        <f t="shared" si="25"/>
        <v>16.670697862990298</v>
      </c>
    </row>
    <row ht="13.5" hidden="1" customHeight="1">
      <c s="35">
        <v>4</v>
      </c>
      <c r="C67" s="148" t="str">
        <f t="shared" si="13"/>
        <v>項目4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5</v>
      </c>
      <c r="C68" s="148" t="str">
        <f t="shared" si="13"/>
        <v>項目5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6</v>
      </c>
      <c r="C69" s="148" t="str">
        <f t="shared" si="13"/>
        <v>項目6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7</v>
      </c>
      <c r="C70" s="148" t="str">
        <f t="shared" si="13"/>
        <v>項目7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8</v>
      </c>
      <c r="C71" s="148" t="str">
        <f t="shared" si="13"/>
        <v>項目8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9</v>
      </c>
      <c r="C72" s="148" t="str">
        <f t="shared" si="13"/>
        <v>項目9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10</v>
      </c>
      <c r="C73" s="148" t="str">
        <f t="shared" si="13"/>
        <v>項目10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11</v>
      </c>
      <c r="C74" s="148" t="str">
        <f t="shared" si="13"/>
        <v>項目11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12</v>
      </c>
      <c r="C75" s="148" t="str">
        <f t="shared" si="13"/>
        <v>項目12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13</v>
      </c>
      <c r="C76" s="148" t="str">
        <f t="shared" si="13"/>
        <v>項目13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14</v>
      </c>
      <c r="C77" s="148" t="str">
        <f t="shared" si="13"/>
        <v>項目14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15</v>
      </c>
      <c r="C78" s="148" t="str">
        <f t="shared" si="13"/>
        <v>項目15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16</v>
      </c>
      <c r="C79" s="148" t="str">
        <f t="shared" si="13"/>
        <v>項目16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17</v>
      </c>
      <c r="C80" s="148" t="str">
        <f t="shared" si="13"/>
        <v>項目17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18</v>
      </c>
      <c r="C81" s="148" t="str">
        <f t="shared" si="13"/>
        <v>項目18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19</v>
      </c>
      <c r="C82" s="148" t="str">
        <f t="shared" si="13"/>
        <v>項目19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20</v>
      </c>
      <c r="C83" s="148" t="str">
        <f t="shared" si="13"/>
        <v>項目20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21</v>
      </c>
      <c r="C84" s="148" t="str">
        <f t="shared" si="13"/>
        <v>項目21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22</v>
      </c>
      <c r="C85" s="148" t="str">
        <f t="shared" si="13"/>
        <v>項目22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23</v>
      </c>
      <c r="C86" s="148" t="str">
        <f t="shared" si="13"/>
        <v>項目23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24</v>
      </c>
      <c r="C87" s="148" t="str">
        <f t="shared" si="13"/>
        <v>項目24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25</v>
      </c>
      <c r="C88" s="148" t="str">
        <f t="shared" si="13"/>
        <v>項目25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26</v>
      </c>
      <c r="C89" s="148" t="str">
        <f t="shared" si="13"/>
        <v>項目26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27</v>
      </c>
      <c r="C90" s="148" t="str">
        <f t="shared" si="13"/>
        <v>項目27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28</v>
      </c>
      <c r="C91" s="148" t="str">
        <f t="shared" si="13"/>
        <v>項目28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29</v>
      </c>
      <c r="C92" s="148" t="str">
        <f t="shared" si="13"/>
        <v>項目29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30</v>
      </c>
      <c r="C93" s="148" t="str">
        <f t="shared" si="13"/>
        <v>項目30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31</v>
      </c>
      <c r="C94" s="148" t="str">
        <f t="shared" si="13"/>
        <v>項目31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32</v>
      </c>
      <c r="C95" s="148" t="str">
        <f t="shared" si="13"/>
        <v>項目32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33</v>
      </c>
      <c r="C96" s="148" t="str">
        <f t="shared" si="13"/>
        <v>項目33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34</v>
      </c>
      <c r="C97" s="148" t="str">
        <f t="shared" si="13"/>
        <v>項目34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35</v>
      </c>
      <c r="C98" s="148" t="str">
        <f t="shared" si="13"/>
        <v>項目35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36</v>
      </c>
      <c r="C99" s="148" t="str">
        <f t="shared" si="13"/>
        <v>項目36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37</v>
      </c>
      <c r="C100" s="148" t="str">
        <f t="shared" si="13"/>
        <v>項目37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38</v>
      </c>
      <c r="C101" s="148" t="str">
        <f t="shared" si="13"/>
        <v>項目38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39</v>
      </c>
      <c r="C102" s="148" t="str">
        <f t="shared" si="13"/>
        <v>項目39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40</v>
      </c>
      <c r="C103" s="148" t="str">
        <f t="shared" si="13"/>
        <v>項目40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41</v>
      </c>
      <c r="C104" s="148" t="str">
        <f t="shared" si="13"/>
        <v>項目41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42</v>
      </c>
      <c r="C105" s="148" t="str">
        <f t="shared" si="13"/>
        <v>項目42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43</v>
      </c>
      <c r="C106" s="148" t="str">
        <f t="shared" si="13"/>
        <v>項目43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44</v>
      </c>
      <c r="C107" s="148" t="str">
        <f t="shared" si="13"/>
        <v>項目44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45</v>
      </c>
      <c r="C108" s="148" t="str">
        <f t="shared" si="13"/>
        <v>項目45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46</v>
      </c>
      <c r="C109" s="148" t="str">
        <f t="shared" si="13"/>
        <v>項目46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47</v>
      </c>
      <c r="C110" s="148" t="str">
        <f t="shared" si="13"/>
        <v>項目47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48</v>
      </c>
      <c r="C111" s="148" t="str">
        <f t="shared" si="13"/>
        <v>項目48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49</v>
      </c>
      <c r="C112" s="148" t="str">
        <f t="shared" si="13"/>
        <v>項目49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13.5" hidden="1" customHeight="1">
      <c s="35">
        <v>50</v>
      </c>
      <c r="C113" s="148" t="str">
        <f t="shared" si="13"/>
        <v>項目50</v>
      </c>
      <c s="46" t="str">
        <f t="shared" si="14"/>
        <v>--</v>
      </c>
      <c s="38" t="str">
        <f t="shared" si="15"/>
        <v>―</v>
      </c>
      <c s="79" t="str">
        <f t="shared" si="16"/>
        <v>--</v>
      </c>
      <c s="46" t="str">
        <f t="shared" si="17"/>
        <v>--</v>
      </c>
      <c s="38" t="str">
        <f t="shared" si="18"/>
        <v>―</v>
      </c>
      <c s="79" t="str">
        <f t="shared" si="19"/>
        <v>--</v>
      </c>
      <c s="46" t="str">
        <f t="shared" si="20"/>
        <v>--</v>
      </c>
      <c s="38" t="str">
        <f t="shared" si="21"/>
        <v>―</v>
      </c>
      <c s="79" t="str">
        <f t="shared" si="22"/>
        <v>--</v>
      </c>
      <c s="46" t="str">
        <f t="shared" si="23"/>
        <v>--</v>
      </c>
      <c s="38" t="str">
        <f t="shared" si="24"/>
        <v>―</v>
      </c>
      <c s="79" t="str">
        <f t="shared" si="25"/>
        <v>--</v>
      </c>
    </row>
    <row ht="3" hidden="1" customHeight="1">
      <c s="35"/>
      <c r="C114" s="157"/>
      <c s="168">
        <f>IF(COUNTIF(D64:D113, "--")=50, "--", SUM(D64:D113))</f>
        <v>67094969.437913105</v>
      </c>
      <c s="78"/>
      <c s="78"/>
      <c s="168">
        <f>IF(COUNTIF(G64:G113, "--")=50, "--", SUM(G64:G113))</f>
        <v>82431779.341069207</v>
      </c>
      <c s="78"/>
      <c s="162"/>
      <c s="168">
        <f>IF(COUNTIF(J64:J113, "--")=50, "--", SUM(J64:J113))</f>
        <v>67094969.437913105</v>
      </c>
      <c s="78"/>
      <c s="78"/>
      <c s="168">
        <f>IF(COUNTIF(M64:M113, "--")=50, "--", SUM(M64:M113))</f>
        <v>82431779.341069207</v>
      </c>
      <c s="78"/>
      <c s="162"/>
    </row>
    <row ht="13.5" hidden="1" customHeight="1">
      <c s="35">
        <v>1</v>
      </c>
      <c r="C115" s="177" t="s">
        <v>32</v>
      </c>
      <c s="46">
        <f>IF(INDEX(前年比較データ合計, $A115, $E$1)="", "--", INDEX(前年比較データ合計, $A115, $E$1)/$G$1)</f>
        <v>67094969.437913105</v>
      </c>
      <c s="38" t="str">
        <f>"―"</f>
        <v>―</v>
      </c>
      <c s="79">
        <f>IF(COUNTIF(F$64:F$113, "--")=50, "--", SUM(F$64:F$113))</f>
        <v>99.999999999999986</v>
      </c>
      <c s="46">
        <f>IF(INDEX(前年分析データ合計, $A115, $E$1)="", "--", INDEX(前年分析データ合計, $A115, $E$1)/$G$1)</f>
        <v>82431779.341069192</v>
      </c>
      <c s="38" t="str">
        <f>"―"</f>
        <v>―</v>
      </c>
      <c s="79">
        <f>IF(COUNTIF(I$64:I$113, "--")=50, "--", SUM(I$64:I$113))</f>
        <v>100</v>
      </c>
      <c s="46">
        <f>IF(INDEX(合算前年比較データ合計, $A115, $E$1)="", "--", INDEX(合算前年比較データ合計, $A115, $E$1)/$G$1)</f>
        <v>67094969.437913105</v>
      </c>
      <c s="38" t="str">
        <f>"―"</f>
        <v>―</v>
      </c>
      <c s="79">
        <f>IF(COUNTIF(L$64:L$113, "--")=50, "--", SUM(L$64:L$113))</f>
        <v>99.999999999999986</v>
      </c>
      <c s="46">
        <f>IF(INDEX(合算前年分析データ合計, $A115, $E$1)="", "--", INDEX(合算前年分析データ合計, $A115, $E$1)/$G$1)</f>
        <v>82431779.341069192</v>
      </c>
      <c s="38" t="str">
        <f>"―"</f>
        <v>―</v>
      </c>
      <c s="79">
        <f>IF(COUNTIF(O$64:O$113, "--")=50, "--", SUM(O$64:O$113))</f>
        <v>100</v>
      </c>
    </row>
    <row ht="13.5" customHeight="1">
      <c s="35"/>
      <c r="C116" s="277"/>
      <c s="184"/>
      <c s="78"/>
      <c s="173"/>
      <c s="184"/>
      <c s="78"/>
      <c s="173"/>
      <c s="184"/>
      <c s="78"/>
      <c s="173"/>
      <c s="184"/>
      <c s="78"/>
      <c s="173"/>
    </row>
    <row ht="12" customHeight="1" collapsed="1">
      <c s="35"/>
      <c r="C117" s="286"/>
    </row>
    <row ht="12" customHeight="1">
      <c s="35"/>
      <c r="C118" s="285" t="s">
        <v>90</v>
      </c>
    </row>
    <row ht="12" customHeight="1">
      <c s="35">
        <v>1</v>
      </c>
      <c r="C119" s="302" t="str">
        <f t="shared" si="26" ref="C119:C168">INDEX(分析カテゴリー,$A119,1)&amp;" "&amp; INDEX(分析カテゴリー,$A119,2)</f>
        <v>1-1-- 加工食品</v>
      </c>
    </row>
    <row ht="12" customHeight="1">
      <c s="35">
        <v>2</v>
      </c>
      <c r="C120" s="157" t="str">
        <f t="shared" si="26"/>
        <v>1-2-- 生鮮食品</v>
      </c>
    </row>
    <row ht="12" customHeight="1">
      <c s="35">
        <v>3</v>
      </c>
      <c r="C121" s="157" t="str">
        <f t="shared" si="26"/>
        <v>1-3-- 菓子類</v>
      </c>
    </row>
    <row ht="12" hidden="1" customHeight="1">
      <c s="35">
        <v>4</v>
      </c>
      <c r="C122" s="157" t="str">
        <f t="shared" si="26"/>
        <v xml:space="preserve"> </v>
      </c>
    </row>
    <row ht="12" hidden="1" customHeight="1">
      <c s="35">
        <v>5</v>
      </c>
      <c r="C123" s="157" t="str">
        <f t="shared" si="26"/>
        <v xml:space="preserve"> </v>
      </c>
    </row>
    <row ht="12" hidden="1" customHeight="1">
      <c s="35">
        <v>6</v>
      </c>
      <c r="C124" s="157" t="str">
        <f t="shared" si="26"/>
        <v xml:space="preserve"> </v>
      </c>
    </row>
    <row ht="12" hidden="1" customHeight="1">
      <c s="35">
        <v>7</v>
      </c>
      <c r="C125" s="157" t="str">
        <f t="shared" si="26"/>
        <v xml:space="preserve"> </v>
      </c>
    </row>
    <row ht="12" hidden="1" customHeight="1">
      <c s="35">
        <v>8</v>
      </c>
      <c r="C126" s="157" t="str">
        <f t="shared" si="26"/>
        <v xml:space="preserve"> </v>
      </c>
    </row>
    <row ht="12" hidden="1" customHeight="1">
      <c s="35">
        <v>9</v>
      </c>
      <c r="C127" s="157" t="str">
        <f t="shared" si="26"/>
        <v xml:space="preserve"> </v>
      </c>
    </row>
    <row ht="12" hidden="1" customHeight="1">
      <c s="35">
        <v>10</v>
      </c>
      <c r="C128" s="157" t="str">
        <f t="shared" si="26"/>
        <v xml:space="preserve"> </v>
      </c>
    </row>
    <row ht="12" hidden="1" customHeight="1">
      <c s="35">
        <v>11</v>
      </c>
      <c r="C129" s="157" t="str">
        <f t="shared" si="26"/>
        <v xml:space="preserve"> </v>
      </c>
    </row>
    <row ht="12" hidden="1" customHeight="1">
      <c s="35">
        <v>12</v>
      </c>
      <c r="C130" s="157" t="str">
        <f t="shared" si="26"/>
        <v xml:space="preserve"> </v>
      </c>
    </row>
    <row ht="12" hidden="1" customHeight="1">
      <c s="35">
        <v>13</v>
      </c>
      <c r="C131" s="157" t="str">
        <f t="shared" si="26"/>
        <v xml:space="preserve"> </v>
      </c>
    </row>
    <row ht="12" hidden="1" customHeight="1">
      <c s="35">
        <v>14</v>
      </c>
      <c r="C132" s="157" t="str">
        <f t="shared" si="26"/>
        <v xml:space="preserve"> </v>
      </c>
    </row>
    <row ht="12" hidden="1" customHeight="1">
      <c s="35">
        <v>15</v>
      </c>
      <c r="C133" s="157" t="str">
        <f t="shared" si="26"/>
        <v xml:space="preserve"> </v>
      </c>
    </row>
    <row ht="12" hidden="1" customHeight="1">
      <c s="35">
        <v>16</v>
      </c>
      <c r="C134" s="157" t="str">
        <f t="shared" si="26"/>
        <v xml:space="preserve"> </v>
      </c>
    </row>
    <row ht="12" hidden="1" customHeight="1">
      <c s="35">
        <v>17</v>
      </c>
      <c r="C135" s="157" t="str">
        <f t="shared" si="26"/>
        <v xml:space="preserve"> </v>
      </c>
    </row>
    <row ht="12" hidden="1" customHeight="1">
      <c s="35">
        <v>18</v>
      </c>
      <c r="C136" s="157" t="str">
        <f t="shared" si="26"/>
        <v xml:space="preserve"> </v>
      </c>
    </row>
    <row ht="12" hidden="1" customHeight="1">
      <c s="35">
        <v>19</v>
      </c>
      <c r="C137" s="157" t="str">
        <f t="shared" si="26"/>
        <v xml:space="preserve"> </v>
      </c>
    </row>
    <row ht="12" hidden="1" customHeight="1">
      <c s="35">
        <v>20</v>
      </c>
      <c r="C138" s="157" t="str">
        <f t="shared" si="26"/>
        <v xml:space="preserve"> </v>
      </c>
    </row>
    <row ht="12" hidden="1" customHeight="1">
      <c s="35">
        <v>21</v>
      </c>
      <c r="C139" s="157" t="str">
        <f t="shared" si="26"/>
        <v xml:space="preserve"> </v>
      </c>
    </row>
    <row ht="12" hidden="1" customHeight="1">
      <c s="35">
        <v>22</v>
      </c>
      <c r="C140" s="157" t="str">
        <f t="shared" si="26"/>
        <v xml:space="preserve"> </v>
      </c>
    </row>
    <row ht="12" hidden="1" customHeight="1">
      <c s="35">
        <v>23</v>
      </c>
      <c r="C141" s="157" t="str">
        <f t="shared" si="26"/>
        <v xml:space="preserve"> </v>
      </c>
    </row>
    <row ht="12" hidden="1" customHeight="1">
      <c s="35">
        <v>24</v>
      </c>
      <c r="C142" s="157" t="str">
        <f t="shared" si="26"/>
        <v xml:space="preserve"> </v>
      </c>
    </row>
    <row ht="12" hidden="1" customHeight="1">
      <c s="35">
        <v>25</v>
      </c>
      <c r="C143" s="157" t="str">
        <f t="shared" si="26"/>
        <v xml:space="preserve"> </v>
      </c>
    </row>
    <row ht="12" hidden="1" customHeight="1">
      <c s="35">
        <v>26</v>
      </c>
      <c r="C144" s="157" t="str">
        <f t="shared" si="26"/>
        <v xml:space="preserve"> </v>
      </c>
    </row>
    <row ht="12" hidden="1" customHeight="1">
      <c s="35">
        <v>27</v>
      </c>
      <c r="C145" s="157" t="str">
        <f t="shared" si="26"/>
        <v xml:space="preserve"> </v>
      </c>
    </row>
    <row ht="12" hidden="1" customHeight="1">
      <c s="35">
        <v>28</v>
      </c>
      <c r="C146" s="157" t="str">
        <f t="shared" si="26"/>
        <v xml:space="preserve"> </v>
      </c>
    </row>
    <row ht="12" hidden="1" customHeight="1">
      <c s="35">
        <v>29</v>
      </c>
      <c r="C147" s="157" t="str">
        <f t="shared" si="26"/>
        <v xml:space="preserve"> </v>
      </c>
    </row>
    <row ht="12" hidden="1" customHeight="1">
      <c s="35">
        <v>30</v>
      </c>
      <c r="C148" s="157" t="str">
        <f t="shared" si="26"/>
        <v xml:space="preserve"> </v>
      </c>
    </row>
    <row ht="12" hidden="1" customHeight="1">
      <c s="35">
        <v>31</v>
      </c>
      <c r="C149" s="157" t="str">
        <f t="shared" si="26"/>
        <v xml:space="preserve"> </v>
      </c>
    </row>
    <row ht="12" hidden="1" customHeight="1">
      <c s="35">
        <v>32</v>
      </c>
      <c r="C150" s="157" t="str">
        <f t="shared" si="26"/>
        <v xml:space="preserve"> </v>
      </c>
    </row>
    <row ht="12" hidden="1" customHeight="1">
      <c s="35">
        <v>33</v>
      </c>
      <c r="C151" s="157" t="str">
        <f t="shared" si="26"/>
        <v xml:space="preserve"> </v>
      </c>
    </row>
    <row ht="12" hidden="1" customHeight="1">
      <c s="35">
        <v>34</v>
      </c>
      <c r="C152" s="157" t="str">
        <f t="shared" si="26"/>
        <v xml:space="preserve"> </v>
      </c>
    </row>
    <row ht="12" hidden="1" customHeight="1">
      <c s="35">
        <v>35</v>
      </c>
      <c r="C153" s="157" t="str">
        <f t="shared" si="26"/>
        <v xml:space="preserve"> </v>
      </c>
    </row>
    <row ht="12" hidden="1" customHeight="1">
      <c s="35">
        <v>36</v>
      </c>
      <c r="C154" s="157" t="str">
        <f t="shared" si="26"/>
        <v xml:space="preserve"> </v>
      </c>
    </row>
    <row ht="12" hidden="1" customHeight="1">
      <c s="35">
        <v>37</v>
      </c>
      <c r="C155" s="157" t="str">
        <f t="shared" si="26"/>
        <v xml:space="preserve"> </v>
      </c>
    </row>
    <row ht="12" hidden="1" customHeight="1">
      <c s="35">
        <v>38</v>
      </c>
      <c r="C156" s="157" t="str">
        <f t="shared" si="26"/>
        <v xml:space="preserve"> </v>
      </c>
    </row>
    <row ht="12" hidden="1" customHeight="1">
      <c s="35">
        <v>39</v>
      </c>
      <c r="C157" s="157" t="str">
        <f t="shared" si="26"/>
        <v xml:space="preserve"> </v>
      </c>
    </row>
    <row ht="12" hidden="1" customHeight="1">
      <c s="35">
        <v>40</v>
      </c>
      <c r="C158" s="157" t="str">
        <f t="shared" si="26"/>
        <v xml:space="preserve"> </v>
      </c>
    </row>
    <row ht="12" hidden="1" customHeight="1">
      <c s="35">
        <v>41</v>
      </c>
      <c r="C159" s="157" t="str">
        <f t="shared" si="26"/>
        <v xml:space="preserve"> </v>
      </c>
    </row>
    <row ht="12" hidden="1" customHeight="1">
      <c s="35">
        <v>42</v>
      </c>
      <c r="C160" s="157" t="str">
        <f t="shared" si="26"/>
        <v xml:space="preserve"> </v>
      </c>
    </row>
    <row ht="12" hidden="1" customHeight="1">
      <c s="35">
        <v>43</v>
      </c>
      <c r="C161" s="157" t="str">
        <f t="shared" si="26"/>
        <v xml:space="preserve"> </v>
      </c>
    </row>
    <row ht="12" hidden="1" customHeight="1">
      <c s="35">
        <v>44</v>
      </c>
      <c r="C162" s="157" t="str">
        <f t="shared" si="26"/>
        <v xml:space="preserve"> </v>
      </c>
    </row>
    <row ht="12" hidden="1" customHeight="1">
      <c s="35">
        <v>45</v>
      </c>
      <c r="C163" s="157" t="str">
        <f t="shared" si="26"/>
        <v xml:space="preserve"> </v>
      </c>
    </row>
    <row ht="12" hidden="1" customHeight="1">
      <c s="35">
        <v>46</v>
      </c>
      <c r="C164" s="157" t="str">
        <f t="shared" si="26"/>
        <v xml:space="preserve"> </v>
      </c>
    </row>
    <row ht="12" hidden="1" customHeight="1">
      <c s="35">
        <v>47</v>
      </c>
      <c r="C165" s="157" t="str">
        <f t="shared" si="26"/>
        <v xml:space="preserve"> </v>
      </c>
    </row>
    <row ht="12" hidden="1" customHeight="1">
      <c s="35">
        <v>48</v>
      </c>
      <c r="C166" s="157" t="str">
        <f t="shared" si="26"/>
        <v xml:space="preserve"> </v>
      </c>
    </row>
    <row ht="12" hidden="1" customHeight="1">
      <c s="35">
        <v>49</v>
      </c>
      <c r="C167" s="157" t="str">
        <f t="shared" si="26"/>
        <v xml:space="preserve"> </v>
      </c>
    </row>
    <row ht="12" hidden="1" customHeight="1">
      <c s="35">
        <v>50</v>
      </c>
      <c r="C168" s="157" t="str">
        <f t="shared" si="26"/>
        <v xml:space="preserve"> </v>
      </c>
    </row>
    <row ht="12" customHeight="1">
      <c r="C169" s="280"/>
    </row>
  </sheetData>
  <mergeCells count="4">
    <mergeCell ref="D6:F7"/>
    <mergeCell ref="G6:I7"/>
    <mergeCell ref="J6:L7"/>
    <mergeCell ref="M6:O7"/>
  </mergeCells>
  <dataValidations count="1">
    <dataValidation type="list" allowBlank="1" showInputMessage="1" showErrorMessage="1" sqref="D1">
      <formula1>リスト用値単位</formula1>
    </dataValidation>
  </dataValidations>
  <printOptions horizontalCentered="1"/>
  <pageMargins left="0.59055118110236215" right="0.59055118110236215" top="0.59055118110236215" bottom="0.59055118110236215" header="0.31496062992125989" footer="0.31496062992125989"/>
  <pageSetup paperSize="9" orientation="landscape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224"/>
  <sheetViews>
    <sheetView workbookViewId="0">
      <pane xSplit="3" ySplit="8" topLeftCell="D9" activePane="bottomRight" state="frozen"/>
    </sheetView>
  </sheetViews>
  <sheetFormatPr defaultColWidth="5.625" defaultRowHeight="12" customHeight="1"/>
  <cols>
    <col min="1" max="1" width="2.125" style="60" customWidth="1"/>
    <col min="2" max="2" width="1.625" style="60" customWidth="1"/>
    <col min="3" max="3" width="32.625" style="262" customWidth="1"/>
    <col min="4" max="4" width="12.625" style="60" customWidth="1"/>
    <col min="5" max="6" width="6.125" style="60" customWidth="1"/>
    <col min="7" max="7" width="12.625" style="60" customWidth="1"/>
    <col min="8" max="9" width="6.125" style="60" customWidth="1"/>
    <col min="10" max="10" width="12.625" style="60" customWidth="1"/>
    <col min="11" max="12" width="6.125" style="60" customWidth="1"/>
    <col min="13" max="13" width="12.625" style="60" customWidth="1"/>
    <col min="14" max="15" width="6.125" style="60" customWidth="1"/>
    <col min="16" max="16" width="1.625" style="60" customWidth="1"/>
    <col min="17" max="17" width="2.125" style="60" customWidth="1"/>
    <col min="18" max="16384" width="5.625" style="60"/>
  </cols>
  <sheetData>
    <row ht="24" customHeight="1">
      <c r="C1" s="310" t="s">
        <v>136</v>
      </c>
      <c s="149" t="s">
        <v>1</v>
      </c>
      <c s="35">
        <f>VLOOKUP($D$1, 値単位リスト, 2, FALSE)</f>
        <v>2</v>
      </c>
      <c s="35" t="str">
        <f>VLOOKUP($D$1, 値単位リスト, 3, FALSE)</f>
        <v>千円</v>
      </c>
      <c s="35">
        <f>VLOOKUP($D$1, 値単位リスト, 4, FALSE)</f>
        <v>1000</v>
      </c>
      <c s="35"/>
      <c s="35"/>
      <c s="35"/>
      <c s="35"/>
      <c s="35"/>
      <c s="35"/>
      <c s="35"/>
      <c s="35"/>
      <c s="35"/>
      <c s="35"/>
    </row>
    <row ht="24" customHeight="1" s="87" customFormat="1">
      <c s="126"/>
      <c s="163"/>
      <c s="51" t="str">
        <f>"【 " &amp; 分析種別名称 &amp; " " &amp; 自社名称 &amp; " 自社シェア(" &amp; $D$1 &amp; ") 】" &amp; PI値モード名称</f>
        <v>【 カテゴリー別 @自社メーカー 自社シェア(金額) 】</v>
      </c>
      <c s="51"/>
      <c s="51"/>
      <c s="51"/>
      <c s="51"/>
      <c s="51"/>
      <c s="51"/>
      <c s="51"/>
      <c s="51"/>
      <c s="51"/>
      <c s="51"/>
      <c s="51"/>
      <c s="51"/>
      <c s="163"/>
    </row>
    <row ht="12" customHeight="1" s="40" customFormat="1">
      <c s="11"/>
      <c s="176"/>
      <c s="54"/>
      <c s="54"/>
      <c s="54"/>
      <c s="54"/>
      <c s="54"/>
      <c s="54"/>
      <c s="54"/>
      <c s="54"/>
      <c s="54"/>
      <c s="54"/>
      <c s="54"/>
      <c s="54"/>
      <c s="207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  <c s="176"/>
    </row>
    <row ht="6" customHeight="1" thickBot="1">
      <c s="35"/>
      <c s="164"/>
      <c s="212"/>
      <c s="68"/>
      <c s="68"/>
      <c s="68"/>
      <c s="68"/>
      <c s="68"/>
      <c s="144"/>
      <c s="68"/>
      <c s="68"/>
      <c s="68"/>
      <c s="68"/>
      <c s="68"/>
      <c s="144"/>
      <c s="164"/>
    </row>
    <row ht="18" customHeight="1" thickBot="1">
      <c s="35"/>
      <c s="43"/>
      <c s="161"/>
      <c s="258" t="str">
        <f>"シェア実績　(" &amp; IF(分析数=1, 分析開始年月, 分析開始年月 &amp; "～" &amp; 分析終了年月) &amp; ")"</f>
        <v>シェア実績　(2019年4月～2020年3月)</v>
      </c>
      <c s="129"/>
      <c s="129"/>
      <c s="129"/>
      <c s="129"/>
      <c s="259"/>
      <c s="304" t="str">
        <f>"累計シェア実績　("&amp; IF(年度開始年月=分析終了年月,年度開始年月,年度開始年月&amp;"～"&amp;分析終了年月) &amp;")"</f>
        <v>累計シェア実績　(2019年4月～2020年3月)</v>
      </c>
      <c s="125"/>
      <c s="125"/>
      <c s="125"/>
      <c s="125"/>
      <c s="226"/>
      <c s="43"/>
    </row>
    <row ht="13.5" customHeight="1">
      <c s="35"/>
      <c s="43"/>
      <c s="218"/>
      <c s="135" t="str">
        <f>IF(比較POS名称="","",比較POS名称)</f>
        <v>RDS06 スーパー  00 全国</v>
      </c>
      <c s="107"/>
      <c s="114"/>
      <c s="135" t="str">
        <f>IF(分析POS名称="","",分析POS名称)</f>
        <v>RDS06 スーパー  04 首都圏</v>
      </c>
      <c s="107"/>
      <c s="114"/>
      <c s="135" t="str">
        <f>IF(比較POS名称="","",比較POS名称)</f>
        <v>RDS06 スーパー  00 全国</v>
      </c>
      <c s="107"/>
      <c s="114"/>
      <c s="135" t="str">
        <f>IF(分析POS名称="","",分析POS名称)</f>
        <v>RDS06 スーパー  04 首都圏</v>
      </c>
      <c s="107"/>
      <c s="114"/>
      <c s="43"/>
    </row>
    <row ht="13.5" customHeight="1">
      <c s="35"/>
      <c s="43"/>
      <c s="218"/>
      <c s="139"/>
      <c s="111"/>
      <c s="127"/>
      <c s="139"/>
      <c s="111"/>
      <c s="127"/>
      <c s="139"/>
      <c s="111"/>
      <c s="127"/>
      <c s="139"/>
      <c s="111"/>
      <c s="127"/>
      <c s="43"/>
    </row>
    <row ht="13.5" customHeight="1" thickBot="1">
      <c s="35"/>
      <c s="43"/>
      <c s="144" t="str">
        <f>分析オプション&amp;"　単位：" &amp; $F$1</f>
        <v xml:space="preserve"> [税抜分析]　単位：千円</v>
      </c>
      <c s="136"/>
      <c s="112" t="s">
        <v>45</v>
      </c>
      <c s="123" t="s">
        <v>46</v>
      </c>
      <c s="136"/>
      <c s="112" t="s">
        <v>45</v>
      </c>
      <c s="123" t="s">
        <v>46</v>
      </c>
      <c s="136"/>
      <c s="112" t="s">
        <v>45</v>
      </c>
      <c s="123" t="s">
        <v>46</v>
      </c>
      <c s="136"/>
      <c s="112" t="s">
        <v>45</v>
      </c>
      <c s="123" t="s">
        <v>46</v>
      </c>
      <c s="43"/>
    </row>
    <row ht="15" customHeight="1">
      <c s="35">
        <v>1</v>
      </c>
      <c s="43"/>
      <c s="216" t="str">
        <f t="shared" si="0" ref="C9:C58">IF(INDEX(項目,$A9,1)="","",INDEX(項目,$A9,1))</f>
        <v>加工食品</v>
      </c>
      <c s="130" t="str">
        <f t="shared" si="1" ref="D9:D58">IF(INDEX(比較シェア, $A9, $E$1)="", "--", INDEX(比較シェア, $A9, $E$1)/$G$1)</f>
        <v>--</v>
      </c>
      <c s="115" t="str">
        <f t="shared" si="2" ref="E9:E58">IF(ISERROR($D9/$D118), "--", $D9/$D118*100)</f>
        <v>--</v>
      </c>
      <c s="119" t="str">
        <f t="shared" si="3" ref="F9:F58">IF(ISERROR($E9-$E64), "--", $E9-$E64)</f>
        <v>--</v>
      </c>
      <c s="130" t="str">
        <f t="shared" si="4" ref="G9:G58">IF(INDEX(分析シェア, $A9, $E$1)="", "--", INDEX(分析シェア, $A9, $E$1)/$G$1)</f>
        <v>--</v>
      </c>
      <c s="115" t="str">
        <f t="shared" si="5" ref="H9:H58">IF(ISERROR($G9/$G118), "--", $G9/$G118*100)</f>
        <v>--</v>
      </c>
      <c s="119" t="str">
        <f t="shared" si="6" ref="I9:I58">IF(ISERROR($H9-$H64), "--", $H9-$H64)</f>
        <v>--</v>
      </c>
      <c s="130" t="str">
        <f t="shared" si="7" ref="J9:J58">IF(INDEX(合算比較シェア, $A9, $E$1)="", "--", INDEX(合算比較シェア, $A9, $E$1)/$G$1)</f>
        <v>--</v>
      </c>
      <c s="115" t="str">
        <f t="shared" si="8" ref="K9:K58">IF(ISERROR($J9/$J118), "--", $J9/$J118*100)</f>
        <v>--</v>
      </c>
      <c s="119" t="str">
        <f t="shared" si="9" ref="L9:L58">IF(ISERROR($K9-$K64), "--", $K9-$K64)</f>
        <v>--</v>
      </c>
      <c s="130" t="str">
        <f t="shared" si="10" ref="M9:M58">IF(INDEX(合算分析シェア, $A9, $E$1)="", "--", INDEX(合算分析シェア, $A9, $E$1)/$G$1)</f>
        <v>--</v>
      </c>
      <c s="115" t="str">
        <f t="shared" si="11" ref="N9:N58">IF(ISERROR($M9/$M118), "--", $M9/$M118*100)</f>
        <v>--</v>
      </c>
      <c s="119" t="str">
        <f t="shared" si="12" ref="O9:O58">IF(ISERROR($N9-$N64), "--", $N9-$N64)</f>
        <v>--</v>
      </c>
      <c s="43"/>
    </row>
    <row ht="15" customHeight="1">
      <c s="35">
        <v>2</v>
      </c>
      <c s="43"/>
      <c s="247" t="str">
        <f t="shared" si="0"/>
        <v>生鮮食品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customHeight="1">
      <c s="35">
        <v>3</v>
      </c>
      <c s="43"/>
      <c s="247" t="str">
        <f t="shared" si="0"/>
        <v>菓子類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4</v>
      </c>
      <c s="43"/>
      <c s="247" t="str">
        <f t="shared" si="0"/>
        <v>項目4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5</v>
      </c>
      <c s="43"/>
      <c s="247" t="str">
        <f t="shared" si="0"/>
        <v>項目5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6</v>
      </c>
      <c s="43"/>
      <c s="247" t="str">
        <f t="shared" si="0"/>
        <v>項目6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7</v>
      </c>
      <c s="43"/>
      <c s="247" t="str">
        <f t="shared" si="0"/>
        <v>項目7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8</v>
      </c>
      <c s="43"/>
      <c s="247" t="str">
        <f t="shared" si="0"/>
        <v>項目8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9</v>
      </c>
      <c s="43"/>
      <c s="247" t="str">
        <f t="shared" si="0"/>
        <v>項目9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10</v>
      </c>
      <c s="43"/>
      <c s="247" t="str">
        <f t="shared" si="0"/>
        <v>項目10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11</v>
      </c>
      <c s="43"/>
      <c s="247" t="str">
        <f t="shared" si="0"/>
        <v>項目11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12</v>
      </c>
      <c s="43"/>
      <c s="247" t="str">
        <f t="shared" si="0"/>
        <v>項目12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13</v>
      </c>
      <c s="43"/>
      <c s="247" t="str">
        <f t="shared" si="0"/>
        <v>項目13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14</v>
      </c>
      <c s="43"/>
      <c s="247" t="str">
        <f t="shared" si="0"/>
        <v>項目14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15</v>
      </c>
      <c s="43"/>
      <c s="247" t="str">
        <f t="shared" si="0"/>
        <v>項目15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16</v>
      </c>
      <c s="43"/>
      <c s="247" t="str">
        <f t="shared" si="0"/>
        <v>項目16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17</v>
      </c>
      <c s="43"/>
      <c s="247" t="str">
        <f t="shared" si="0"/>
        <v>項目17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18</v>
      </c>
      <c s="43"/>
      <c s="247" t="str">
        <f t="shared" si="0"/>
        <v>項目18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19</v>
      </c>
      <c s="43"/>
      <c s="247" t="str">
        <f t="shared" si="0"/>
        <v>項目19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20</v>
      </c>
      <c s="43"/>
      <c s="247" t="str">
        <f t="shared" si="0"/>
        <v>項目20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21</v>
      </c>
      <c s="43"/>
      <c s="247" t="str">
        <f t="shared" si="0"/>
        <v>項目21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22</v>
      </c>
      <c s="43"/>
      <c s="247" t="str">
        <f t="shared" si="0"/>
        <v>項目22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23</v>
      </c>
      <c s="43"/>
      <c s="247" t="str">
        <f t="shared" si="0"/>
        <v>項目23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24</v>
      </c>
      <c s="43"/>
      <c s="247" t="str">
        <f t="shared" si="0"/>
        <v>項目24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25</v>
      </c>
      <c s="43"/>
      <c s="247" t="str">
        <f t="shared" si="0"/>
        <v>項目25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26</v>
      </c>
      <c s="43"/>
      <c s="247" t="str">
        <f t="shared" si="0"/>
        <v>項目26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27</v>
      </c>
      <c s="43"/>
      <c s="247" t="str">
        <f t="shared" si="0"/>
        <v>項目27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28</v>
      </c>
      <c s="43"/>
      <c s="247" t="str">
        <f t="shared" si="0"/>
        <v>項目28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29</v>
      </c>
      <c s="43"/>
      <c s="247" t="str">
        <f t="shared" si="0"/>
        <v>項目29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30</v>
      </c>
      <c s="43"/>
      <c s="247" t="str">
        <f t="shared" si="0"/>
        <v>項目30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31</v>
      </c>
      <c s="43"/>
      <c s="247" t="str">
        <f t="shared" si="0"/>
        <v>項目31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32</v>
      </c>
      <c s="43"/>
      <c s="247" t="str">
        <f t="shared" si="0"/>
        <v>項目32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33</v>
      </c>
      <c s="43"/>
      <c s="247" t="str">
        <f t="shared" si="0"/>
        <v>項目33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34</v>
      </c>
      <c s="43"/>
      <c s="247" t="str">
        <f t="shared" si="0"/>
        <v>項目34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35</v>
      </c>
      <c s="43"/>
      <c s="247" t="str">
        <f t="shared" si="0"/>
        <v>項目35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36</v>
      </c>
      <c s="43"/>
      <c s="247" t="str">
        <f t="shared" si="0"/>
        <v>項目36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37</v>
      </c>
      <c s="43"/>
      <c s="247" t="str">
        <f t="shared" si="0"/>
        <v>項目37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38</v>
      </c>
      <c s="43"/>
      <c s="247" t="str">
        <f t="shared" si="0"/>
        <v>項目38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39</v>
      </c>
      <c s="43"/>
      <c s="247" t="str">
        <f t="shared" si="0"/>
        <v>項目39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40</v>
      </c>
      <c s="43"/>
      <c s="247" t="str">
        <f t="shared" si="0"/>
        <v>項目40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41</v>
      </c>
      <c s="43"/>
      <c s="247" t="str">
        <f t="shared" si="0"/>
        <v>項目41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42</v>
      </c>
      <c s="43"/>
      <c s="247" t="str">
        <f t="shared" si="0"/>
        <v>項目42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43</v>
      </c>
      <c s="43"/>
      <c s="247" t="str">
        <f t="shared" si="0"/>
        <v>項目43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44</v>
      </c>
      <c s="43"/>
      <c s="247" t="str">
        <f t="shared" si="0"/>
        <v>項目44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45</v>
      </c>
      <c s="43"/>
      <c s="247" t="str">
        <f t="shared" si="0"/>
        <v>項目45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46</v>
      </c>
      <c s="43"/>
      <c s="247" t="str">
        <f t="shared" si="0"/>
        <v>項目46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47</v>
      </c>
      <c s="43"/>
      <c s="247" t="str">
        <f t="shared" si="0"/>
        <v>項目47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48</v>
      </c>
      <c s="43"/>
      <c s="247" t="str">
        <f t="shared" si="0"/>
        <v>項目48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>
      <c s="35">
        <v>49</v>
      </c>
      <c s="43"/>
      <c s="247" t="str">
        <f t="shared" si="0"/>
        <v>項目49</v>
      </c>
      <c s="137" t="str">
        <f t="shared" si="1"/>
        <v>--</v>
      </c>
      <c s="120" t="str">
        <f t="shared" si="2"/>
        <v>--</v>
      </c>
      <c s="124" t="str">
        <f t="shared" si="3"/>
        <v>--</v>
      </c>
      <c s="137" t="str">
        <f t="shared" si="4"/>
        <v>--</v>
      </c>
      <c s="120" t="str">
        <f t="shared" si="5"/>
        <v>--</v>
      </c>
      <c s="124" t="str">
        <f t="shared" si="6"/>
        <v>--</v>
      </c>
      <c s="137" t="str">
        <f t="shared" si="7"/>
        <v>--</v>
      </c>
      <c s="120" t="str">
        <f t="shared" si="8"/>
        <v>--</v>
      </c>
      <c s="124" t="str">
        <f t="shared" si="9"/>
        <v>--</v>
      </c>
      <c s="137" t="str">
        <f t="shared" si="10"/>
        <v>--</v>
      </c>
      <c s="120" t="str">
        <f t="shared" si="11"/>
        <v>--</v>
      </c>
      <c s="124" t="str">
        <f t="shared" si="12"/>
        <v>--</v>
      </c>
      <c s="43"/>
    </row>
    <row ht="15" hidden="1" customHeight="1" thickBot="1">
      <c s="35">
        <v>50</v>
      </c>
      <c s="43"/>
      <c s="214" t="str">
        <f t="shared" si="0"/>
        <v>項目50</v>
      </c>
      <c s="140" t="str">
        <f t="shared" si="1"/>
        <v>--</v>
      </c>
      <c s="134" t="str">
        <f t="shared" si="2"/>
        <v>--</v>
      </c>
      <c s="116" t="str">
        <f t="shared" si="3"/>
        <v>--</v>
      </c>
      <c s="140" t="str">
        <f t="shared" si="4"/>
        <v>--</v>
      </c>
      <c s="307" t="str">
        <f t="shared" si="5"/>
        <v>--</v>
      </c>
      <c s="116" t="str">
        <f t="shared" si="6"/>
        <v>--</v>
      </c>
      <c s="140" t="str">
        <f t="shared" si="7"/>
        <v>--</v>
      </c>
      <c s="134" t="str">
        <f t="shared" si="8"/>
        <v>--</v>
      </c>
      <c s="116" t="str">
        <f t="shared" si="9"/>
        <v>--</v>
      </c>
      <c s="140" t="str">
        <f t="shared" si="10"/>
        <v>--</v>
      </c>
      <c s="134" t="str">
        <f t="shared" si="11"/>
        <v>--</v>
      </c>
      <c s="116" t="str">
        <f t="shared" si="12"/>
        <v>--</v>
      </c>
      <c s="43"/>
    </row>
    <row ht="5.25" customHeight="1" thickBot="1">
      <c s="35"/>
      <c s="43"/>
      <c s="227"/>
      <c s="174"/>
      <c s="118"/>
      <c s="118"/>
      <c s="174"/>
      <c s="118"/>
      <c s="118"/>
      <c s="174"/>
      <c s="118"/>
      <c s="118"/>
      <c s="174"/>
      <c s="118"/>
      <c s="118"/>
      <c s="43"/>
    </row>
    <row ht="19.5" customHeight="1" thickBot="1">
      <c s="35">
        <v>1</v>
      </c>
      <c s="43"/>
      <c s="246" t="s">
        <v>32</v>
      </c>
      <c s="131" t="str">
        <f>IF(INDEX(比較シェア合計, $A60, $E$1)="", "--", INDEX(比較シェア合計, $A60, $E$1)/$G$1)</f>
        <v>--</v>
      </c>
      <c s="128" t="str">
        <f>IF(ISERROR($D60/$D169), "--", $D60/$D169*100)</f>
        <v>--</v>
      </c>
      <c s="121" t="str">
        <f>IF(ISERROR($E60-$E115), "--", $E60-$E115)</f>
        <v>--</v>
      </c>
      <c s="131" t="str">
        <f>IF(INDEX(分析シェア合計, $A60, $E$1)="", "--", INDEX(分析シェア合計, $A60, $E$1)/$G$1)</f>
        <v>--</v>
      </c>
      <c s="128" t="str">
        <f>IF(ISERROR($G60/$G169), "--", $G60/$G169*100)</f>
        <v>--</v>
      </c>
      <c s="121" t="str">
        <f>IF(ISERROR($H60-$H115), "--", $H60-$H115)</f>
        <v>--</v>
      </c>
      <c s="131" t="str">
        <f>IF(INDEX(合算比較シェア合計, $A60, $E$1)="", "--", INDEX(合算比較シェア合計, $A60, $E$1)/$G$1)</f>
        <v>--</v>
      </c>
      <c s="128" t="str">
        <f>IF(ISERROR($J60/$J169), "--", $J60/$J169*100)</f>
        <v>--</v>
      </c>
      <c s="121" t="str">
        <f>IF(ISERROR($K60-$K115), "--", $K60-$K115)</f>
        <v>--</v>
      </c>
      <c s="131" t="str">
        <f>IF(INDEX(合算分析シェア合計, $A60, $E$1)="", "--", INDEX(合算分析シェア合計, $A60, $E$1)/$G$1)</f>
        <v>--</v>
      </c>
      <c s="128" t="str">
        <f>IF(ISERROR($M60/$M169), "--", $M60/$M169*100)</f>
        <v>--</v>
      </c>
      <c s="121" t="str">
        <f>IF(ISERROR($N60-$N115), "--", $N60-$N115)</f>
        <v>--</v>
      </c>
      <c s="43"/>
    </row>
    <row ht="7.5" customHeight="1">
      <c s="35"/>
      <c s="43"/>
      <c s="161"/>
      <c s="43"/>
      <c s="43"/>
      <c s="43"/>
      <c s="43"/>
      <c s="43"/>
      <c s="43"/>
      <c s="43"/>
      <c s="43"/>
      <c s="43"/>
      <c s="43"/>
      <c s="43"/>
      <c s="43"/>
      <c s="43"/>
    </row>
    <row ht="12" customHeight="1">
      <c s="35"/>
    </row>
    <row ht="12" hidden="1" customHeight="1">
      <c s="35"/>
      <c r="C63" s="109"/>
      <c s="175" t="s">
        <v>55</v>
      </c>
      <c s="75"/>
      <c s="75"/>
      <c s="75"/>
      <c s="75"/>
      <c s="183"/>
      <c s="175" t="s">
        <v>56</v>
      </c>
      <c s="75"/>
      <c s="75"/>
      <c s="75"/>
      <c s="75"/>
      <c s="183"/>
    </row>
    <row ht="13.5" hidden="1" customHeight="1">
      <c s="35">
        <v>1</v>
      </c>
      <c r="C64" s="148" t="str">
        <f t="shared" si="13" ref="C64:C113">$C9</f>
        <v>加工食品</v>
      </c>
      <c s="46" t="str">
        <f t="shared" si="14" ref="D64:D113">IF(INDEX(前年比較シェア, $A64, $E$1)="", "--", INDEX(前年比較シェア, $A64, $E$1)/$G$1)</f>
        <v>--</v>
      </c>
      <c s="79" t="str">
        <f t="shared" si="15" ref="E64:E113">IF(ISERROR($D64/$D172), "--", $D64/$D172*100)</f>
        <v>--</v>
      </c>
      <c s="38" t="str">
        <f t="shared" si="16" ref="F64:F113">"―"</f>
        <v>―</v>
      </c>
      <c s="46" t="str">
        <f t="shared" si="17" ref="G64:G113">IF(INDEX(前年分析シェア, $A64, $E$1)="", "--", INDEX(前年分析シェア, $A64, $E$1)/$G$1)</f>
        <v>--</v>
      </c>
      <c s="79" t="str">
        <f t="shared" si="18" ref="H64:H113">IF(ISERROR($G64/$G172), "--", $G64/$G172*100)</f>
        <v>--</v>
      </c>
      <c s="38" t="str">
        <f t="shared" si="19" ref="I64:I113">"―"</f>
        <v>―</v>
      </c>
      <c s="46" t="str">
        <f t="shared" si="20" ref="J64:J113">IF(INDEX(合算前年比較シェア, $A64, $E$1)="", "--", INDEX(合算前年比較シェア, $A64, $E$1)/$G$1)</f>
        <v>--</v>
      </c>
      <c s="79" t="str">
        <f t="shared" si="21" ref="K64:K113">IF(ISERROR($J64/$J172), "--", $J64/$J172*100)</f>
        <v>--</v>
      </c>
      <c s="38" t="str">
        <f t="shared" si="22" ref="L64:L113">"―"</f>
        <v>―</v>
      </c>
      <c s="46" t="str">
        <f t="shared" si="23" ref="M64:M113">IF(INDEX(合算前年分析シェア, $A64, $E$1)="", "--", INDEX(合算前年分析シェア, $A64, $E$1)/$G$1)</f>
        <v>--</v>
      </c>
      <c s="79" t="str">
        <f t="shared" si="24" ref="N64:N113">IF(ISERROR($M64/$M172), "--", $M64/$M172*100)</f>
        <v>--</v>
      </c>
      <c s="38" t="str">
        <f t="shared" si="25" ref="O64:O113">"―"</f>
        <v>―</v>
      </c>
    </row>
    <row ht="13.5" hidden="1" customHeight="1">
      <c s="35">
        <v>2</v>
      </c>
      <c r="C65" s="148" t="str">
        <f t="shared" si="13"/>
        <v>生鮮食品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3</v>
      </c>
      <c r="C66" s="148" t="str">
        <f t="shared" si="13"/>
        <v>菓子類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4</v>
      </c>
      <c r="C67" s="148" t="str">
        <f t="shared" si="13"/>
        <v>項目4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5</v>
      </c>
      <c r="C68" s="148" t="str">
        <f t="shared" si="13"/>
        <v>項目5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6</v>
      </c>
      <c r="C69" s="148" t="str">
        <f t="shared" si="13"/>
        <v>項目6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7</v>
      </c>
      <c r="C70" s="148" t="str">
        <f t="shared" si="13"/>
        <v>項目7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8</v>
      </c>
      <c r="C71" s="148" t="str">
        <f t="shared" si="13"/>
        <v>項目8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9</v>
      </c>
      <c r="C72" s="148" t="str">
        <f t="shared" si="13"/>
        <v>項目9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10</v>
      </c>
      <c r="C73" s="148" t="str">
        <f t="shared" si="13"/>
        <v>項目10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11</v>
      </c>
      <c r="C74" s="148" t="str">
        <f t="shared" si="13"/>
        <v>項目11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12</v>
      </c>
      <c r="C75" s="148" t="str">
        <f t="shared" si="13"/>
        <v>項目12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13</v>
      </c>
      <c r="C76" s="148" t="str">
        <f t="shared" si="13"/>
        <v>項目13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14</v>
      </c>
      <c r="C77" s="148" t="str">
        <f t="shared" si="13"/>
        <v>項目14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15</v>
      </c>
      <c r="C78" s="148" t="str">
        <f t="shared" si="13"/>
        <v>項目15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16</v>
      </c>
      <c r="C79" s="148" t="str">
        <f t="shared" si="13"/>
        <v>項目16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17</v>
      </c>
      <c r="C80" s="148" t="str">
        <f t="shared" si="13"/>
        <v>項目17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18</v>
      </c>
      <c r="C81" s="148" t="str">
        <f t="shared" si="13"/>
        <v>項目18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19</v>
      </c>
      <c r="C82" s="148" t="str">
        <f t="shared" si="13"/>
        <v>項目19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20</v>
      </c>
      <c r="C83" s="148" t="str">
        <f t="shared" si="13"/>
        <v>項目20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21</v>
      </c>
      <c r="C84" s="148" t="str">
        <f t="shared" si="13"/>
        <v>項目21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22</v>
      </c>
      <c r="C85" s="148" t="str">
        <f t="shared" si="13"/>
        <v>項目22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23</v>
      </c>
      <c r="C86" s="148" t="str">
        <f t="shared" si="13"/>
        <v>項目23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24</v>
      </c>
      <c r="C87" s="148" t="str">
        <f t="shared" si="13"/>
        <v>項目24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25</v>
      </c>
      <c r="C88" s="148" t="str">
        <f t="shared" si="13"/>
        <v>項目25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26</v>
      </c>
      <c r="C89" s="148" t="str">
        <f t="shared" si="13"/>
        <v>項目26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27</v>
      </c>
      <c r="C90" s="148" t="str">
        <f t="shared" si="13"/>
        <v>項目27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28</v>
      </c>
      <c r="C91" s="148" t="str">
        <f t="shared" si="13"/>
        <v>項目28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29</v>
      </c>
      <c r="C92" s="148" t="str">
        <f t="shared" si="13"/>
        <v>項目29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30</v>
      </c>
      <c r="C93" s="148" t="str">
        <f t="shared" si="13"/>
        <v>項目30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31</v>
      </c>
      <c r="C94" s="148" t="str">
        <f t="shared" si="13"/>
        <v>項目31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32</v>
      </c>
      <c r="C95" s="148" t="str">
        <f t="shared" si="13"/>
        <v>項目32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33</v>
      </c>
      <c r="C96" s="148" t="str">
        <f t="shared" si="13"/>
        <v>項目33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34</v>
      </c>
      <c r="C97" s="148" t="str">
        <f t="shared" si="13"/>
        <v>項目34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35</v>
      </c>
      <c r="C98" s="148" t="str">
        <f t="shared" si="13"/>
        <v>項目35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36</v>
      </c>
      <c r="C99" s="148" t="str">
        <f t="shared" si="13"/>
        <v>項目36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37</v>
      </c>
      <c r="C100" s="148" t="str">
        <f t="shared" si="13"/>
        <v>項目37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38</v>
      </c>
      <c r="C101" s="148" t="str">
        <f t="shared" si="13"/>
        <v>項目38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39</v>
      </c>
      <c r="C102" s="148" t="str">
        <f t="shared" si="13"/>
        <v>項目39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40</v>
      </c>
      <c r="C103" s="148" t="str">
        <f t="shared" si="13"/>
        <v>項目40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41</v>
      </c>
      <c r="C104" s="148" t="str">
        <f t="shared" si="13"/>
        <v>項目41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42</v>
      </c>
      <c r="C105" s="148" t="str">
        <f t="shared" si="13"/>
        <v>項目42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43</v>
      </c>
      <c r="C106" s="148" t="str">
        <f t="shared" si="13"/>
        <v>項目43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44</v>
      </c>
      <c r="C107" s="148" t="str">
        <f t="shared" si="13"/>
        <v>項目44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45</v>
      </c>
      <c r="C108" s="148" t="str">
        <f t="shared" si="13"/>
        <v>項目45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46</v>
      </c>
      <c r="C109" s="148" t="str">
        <f t="shared" si="13"/>
        <v>項目46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47</v>
      </c>
      <c r="C110" s="148" t="str">
        <f t="shared" si="13"/>
        <v>項目47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48</v>
      </c>
      <c r="C111" s="148" t="str">
        <f t="shared" si="13"/>
        <v>項目48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49</v>
      </c>
      <c r="C112" s="148" t="str">
        <f t="shared" si="13"/>
        <v>項目49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13.5" hidden="1" customHeight="1">
      <c s="35">
        <v>50</v>
      </c>
      <c r="C113" s="148" t="str">
        <f t="shared" si="13"/>
        <v>項目50</v>
      </c>
      <c s="46" t="str">
        <f t="shared" si="14"/>
        <v>--</v>
      </c>
      <c s="79" t="str">
        <f t="shared" si="15"/>
        <v>--</v>
      </c>
      <c s="38" t="str">
        <f t="shared" si="16"/>
        <v>―</v>
      </c>
      <c s="46" t="str">
        <f t="shared" si="17"/>
        <v>--</v>
      </c>
      <c s="79" t="str">
        <f t="shared" si="18"/>
        <v>--</v>
      </c>
      <c s="38" t="str">
        <f t="shared" si="19"/>
        <v>―</v>
      </c>
      <c s="46" t="str">
        <f t="shared" si="20"/>
        <v>--</v>
      </c>
      <c s="79" t="str">
        <f t="shared" si="21"/>
        <v>--</v>
      </c>
      <c s="38" t="str">
        <f t="shared" si="22"/>
        <v>―</v>
      </c>
      <c s="46" t="str">
        <f t="shared" si="23"/>
        <v>--</v>
      </c>
      <c s="79" t="str">
        <f t="shared" si="24"/>
        <v>--</v>
      </c>
      <c s="38" t="str">
        <f t="shared" si="25"/>
        <v>―</v>
      </c>
    </row>
    <row ht="3" hidden="1" customHeight="1">
      <c s="35"/>
      <c r="C114" s="157"/>
      <c s="141"/>
      <c s="78"/>
      <c s="78"/>
      <c s="143"/>
      <c s="78"/>
      <c s="162"/>
      <c s="141"/>
      <c s="78"/>
      <c s="78"/>
      <c s="143"/>
      <c s="78"/>
      <c s="162"/>
    </row>
    <row ht="13.5" hidden="1" customHeight="1">
      <c s="35">
        <v>1</v>
      </c>
      <c r="C115" s="177" t="s">
        <v>32</v>
      </c>
      <c s="46" t="str">
        <f>IF(INDEX(前年比較シェア合計, $A115, $E$1)="", "--", INDEX(前年比較シェア合計, $A115, $E$1)/$G$1)</f>
        <v>--</v>
      </c>
      <c s="79" t="str">
        <f>IF(ISERROR($D115/$D223), "--", $D115/$D223*100)</f>
        <v>--</v>
      </c>
      <c s="38" t="str">
        <f>"―"</f>
        <v>―</v>
      </c>
      <c s="46" t="str">
        <f>IF(INDEX(前年分析シェア合計, $A115, $E$1)="", "--", INDEX(前年分析シェア合計, $A115, $E$1)/$G$1)</f>
        <v>--</v>
      </c>
      <c s="79" t="str">
        <f>IF(ISERROR($G115/$G223), "--", $G115/$G223*100)</f>
        <v>--</v>
      </c>
      <c s="38" t="str">
        <f>"―"</f>
        <v>―</v>
      </c>
      <c s="46" t="str">
        <f>IF(INDEX(合算前年比較シェア合計, $A115, $E$1)="", "--", INDEX(合算前年比較シェア合計, $A115, $E$1)/$G$1)</f>
        <v>--</v>
      </c>
      <c s="79" t="str">
        <f>IF(ISERROR($J115/$J223), "--", $J115/$J223*100)</f>
        <v>--</v>
      </c>
      <c s="38" t="str">
        <f>"―"</f>
        <v>―</v>
      </c>
      <c s="46" t="str">
        <f>IF(INDEX(合算前年分析シェア合計, $A115, $E$1)="", "--", INDEX(合算前年分析シェア合計, $A115, $E$1)/$G$1)</f>
        <v>--</v>
      </c>
      <c s="79" t="str">
        <f>IF(ISERROR($M115/$M223), "--", $M115/$M223*100)</f>
        <v>--</v>
      </c>
      <c s="38" t="str">
        <f>"―"</f>
        <v>―</v>
      </c>
    </row>
    <row ht="12" hidden="1" customHeight="1" collapsed="1">
      <c s="35"/>
    </row>
    <row ht="12" hidden="1" customHeight="1">
      <c s="35"/>
      <c r="C117" s="109"/>
      <c s="178" t="s">
        <v>57</v>
      </c>
      <c s="71"/>
      <c s="71"/>
      <c s="71"/>
      <c s="71"/>
      <c s="172"/>
      <c s="178" t="s">
        <v>58</v>
      </c>
      <c s="71"/>
      <c s="71"/>
      <c s="71"/>
      <c s="71"/>
      <c s="172"/>
    </row>
    <row ht="13.5" hidden="1" customHeight="1">
      <c s="35">
        <v>1</v>
      </c>
      <c s="43"/>
      <c s="148" t="str">
        <f t="shared" si="26" ref="C118:C167">$C9</f>
        <v>加工食品</v>
      </c>
      <c s="46">
        <f t="shared" si="27" ref="D118:D167">IF(INDEX(比較データ, $A118, $E$1)="", "--", INDEX(比較データ, $A118, $E$1)/$G$1)</f>
        <v>48719298.40388</v>
      </c>
      <c s="38" t="str">
        <f t="shared" si="28" ref="E118:F167">"―"</f>
        <v>―</v>
      </c>
      <c s="38" t="str">
        <f t="shared" si="28"/>
        <v>―</v>
      </c>
      <c s="46">
        <f t="shared" si="29" ref="G118:G167">IF(INDEX(分析データ, $A118, $E$1)="", "--", INDEX(分析データ, $A118, $E$1)/$G$1)</f>
        <v>58944512.021778099</v>
      </c>
      <c s="38" t="str">
        <f t="shared" si="30" ref="H118:I167">"―"</f>
        <v>―</v>
      </c>
      <c s="38" t="str">
        <f t="shared" si="30"/>
        <v>―</v>
      </c>
      <c s="46">
        <f t="shared" si="31" ref="J118:J167">IF(INDEX(合算比較データ, $A118, $E$1)="", "--", INDEX(合算比較データ, $A118, $E$1)/$G$1)</f>
        <v>48719298.40388</v>
      </c>
      <c s="38" t="str">
        <f t="shared" si="32" ref="K118:L167">"―"</f>
        <v>―</v>
      </c>
      <c s="38" t="str">
        <f t="shared" si="32"/>
        <v>―</v>
      </c>
      <c s="46">
        <f t="shared" si="33" ref="M118:M167">IF(INDEX(合算分析データ, $A118, $E$1)="", "--", INDEX(合算分析データ, $A118, $E$1)/$G$1)</f>
        <v>58944512.021778099</v>
      </c>
      <c s="38" t="str">
        <f t="shared" si="34" ref="N118:O167">"―"</f>
        <v>―</v>
      </c>
      <c s="38" t="str">
        <f t="shared" si="34"/>
        <v>―</v>
      </c>
      <c s="43"/>
    </row>
    <row ht="13.5" hidden="1" customHeight="1">
      <c s="35">
        <v>2</v>
      </c>
      <c s="43"/>
      <c s="148" t="str">
        <f t="shared" si="26"/>
        <v>生鮮食品</v>
      </c>
      <c s="46">
        <f t="shared" si="27"/>
        <v>50481114.523376599</v>
      </c>
      <c s="38" t="str">
        <f t="shared" si="28"/>
        <v>―</v>
      </c>
      <c s="38" t="str">
        <f t="shared" si="28"/>
        <v>―</v>
      </c>
      <c s="46">
        <f t="shared" si="29"/>
        <v>59479433.277757697</v>
      </c>
      <c s="38" t="str">
        <f t="shared" si="30"/>
        <v>―</v>
      </c>
      <c s="38" t="str">
        <f t="shared" si="30"/>
        <v>―</v>
      </c>
      <c s="46">
        <f t="shared" si="31"/>
        <v>50481114.523376599</v>
      </c>
      <c s="38" t="str">
        <f t="shared" si="32"/>
        <v>―</v>
      </c>
      <c s="38" t="str">
        <f t="shared" si="32"/>
        <v>―</v>
      </c>
      <c s="46">
        <f t="shared" si="33"/>
        <v>59479433.277757697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3</v>
      </c>
      <c s="43"/>
      <c s="148" t="str">
        <f t="shared" si="26"/>
        <v>菓子類</v>
      </c>
      <c s="46">
        <f t="shared" si="27"/>
        <v>11806638.9685676</v>
      </c>
      <c s="38" t="str">
        <f t="shared" si="28"/>
        <v>―</v>
      </c>
      <c s="38" t="str">
        <f t="shared" si="28"/>
        <v>―</v>
      </c>
      <c s="46">
        <f t="shared" si="29"/>
        <v>13602173.0039104</v>
      </c>
      <c s="38" t="str">
        <f t="shared" si="30"/>
        <v>―</v>
      </c>
      <c s="38" t="str">
        <f t="shared" si="30"/>
        <v>―</v>
      </c>
      <c s="46">
        <f t="shared" si="31"/>
        <v>11806638.9685676</v>
      </c>
      <c s="38" t="str">
        <f t="shared" si="32"/>
        <v>―</v>
      </c>
      <c s="38" t="str">
        <f t="shared" si="32"/>
        <v>―</v>
      </c>
      <c s="46">
        <f t="shared" si="33"/>
        <v>13602173.0039104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4</v>
      </c>
      <c s="43"/>
      <c s="148" t="str">
        <f t="shared" si="26"/>
        <v>項目4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5</v>
      </c>
      <c s="43"/>
      <c s="148" t="str">
        <f t="shared" si="26"/>
        <v>項目5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6</v>
      </c>
      <c s="43"/>
      <c s="148" t="str">
        <f t="shared" si="26"/>
        <v>項目6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7</v>
      </c>
      <c s="43"/>
      <c s="148" t="str">
        <f t="shared" si="26"/>
        <v>項目7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8</v>
      </c>
      <c s="43"/>
      <c s="148" t="str">
        <f t="shared" si="26"/>
        <v>項目8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9</v>
      </c>
      <c s="43"/>
      <c s="148" t="str">
        <f t="shared" si="26"/>
        <v>項目9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10</v>
      </c>
      <c s="43"/>
      <c s="148" t="str">
        <f t="shared" si="26"/>
        <v>項目10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11</v>
      </c>
      <c s="43"/>
      <c s="148" t="str">
        <f t="shared" si="26"/>
        <v>項目11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12</v>
      </c>
      <c s="43"/>
      <c s="148" t="str">
        <f t="shared" si="26"/>
        <v>項目12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13</v>
      </c>
      <c s="43"/>
      <c s="148" t="str">
        <f t="shared" si="26"/>
        <v>項目13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14</v>
      </c>
      <c s="43"/>
      <c s="148" t="str">
        <f t="shared" si="26"/>
        <v>項目14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15</v>
      </c>
      <c s="43"/>
      <c s="148" t="str">
        <f t="shared" si="26"/>
        <v>項目15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16</v>
      </c>
      <c s="43"/>
      <c s="148" t="str">
        <f t="shared" si="26"/>
        <v>項目16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17</v>
      </c>
      <c s="43"/>
      <c s="148" t="str">
        <f t="shared" si="26"/>
        <v>項目17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18</v>
      </c>
      <c s="43"/>
      <c s="148" t="str">
        <f t="shared" si="26"/>
        <v>項目18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19</v>
      </c>
      <c s="43"/>
      <c s="148" t="str">
        <f t="shared" si="26"/>
        <v>項目19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20</v>
      </c>
      <c s="43"/>
      <c s="148" t="str">
        <f t="shared" si="26"/>
        <v>項目20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21</v>
      </c>
      <c s="43"/>
      <c s="148" t="str">
        <f t="shared" si="26"/>
        <v>項目21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22</v>
      </c>
      <c s="43"/>
      <c s="148" t="str">
        <f t="shared" si="26"/>
        <v>項目22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23</v>
      </c>
      <c s="43"/>
      <c s="148" t="str">
        <f t="shared" si="26"/>
        <v>項目23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24</v>
      </c>
      <c s="43"/>
      <c s="148" t="str">
        <f t="shared" si="26"/>
        <v>項目24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25</v>
      </c>
      <c s="43"/>
      <c s="148" t="str">
        <f t="shared" si="26"/>
        <v>項目25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26</v>
      </c>
      <c s="43"/>
      <c s="148" t="str">
        <f t="shared" si="26"/>
        <v>項目26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27</v>
      </c>
      <c s="43"/>
      <c s="148" t="str">
        <f t="shared" si="26"/>
        <v>項目27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28</v>
      </c>
      <c s="43"/>
      <c s="148" t="str">
        <f t="shared" si="26"/>
        <v>項目28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29</v>
      </c>
      <c s="43"/>
      <c s="148" t="str">
        <f t="shared" si="26"/>
        <v>項目29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30</v>
      </c>
      <c s="43"/>
      <c s="148" t="str">
        <f t="shared" si="26"/>
        <v>項目30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31</v>
      </c>
      <c s="43"/>
      <c s="148" t="str">
        <f t="shared" si="26"/>
        <v>項目31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32</v>
      </c>
      <c s="43"/>
      <c s="148" t="str">
        <f t="shared" si="26"/>
        <v>項目32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33</v>
      </c>
      <c s="43"/>
      <c s="148" t="str">
        <f t="shared" si="26"/>
        <v>項目33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34</v>
      </c>
      <c s="43"/>
      <c s="148" t="str">
        <f t="shared" si="26"/>
        <v>項目34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35</v>
      </c>
      <c s="43"/>
      <c s="148" t="str">
        <f t="shared" si="26"/>
        <v>項目35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36</v>
      </c>
      <c s="43"/>
      <c s="148" t="str">
        <f t="shared" si="26"/>
        <v>項目36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37</v>
      </c>
      <c s="43"/>
      <c s="148" t="str">
        <f t="shared" si="26"/>
        <v>項目37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38</v>
      </c>
      <c s="43"/>
      <c s="148" t="str">
        <f t="shared" si="26"/>
        <v>項目38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39</v>
      </c>
      <c s="43"/>
      <c s="148" t="str">
        <f t="shared" si="26"/>
        <v>項目39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40</v>
      </c>
      <c s="43"/>
      <c s="148" t="str">
        <f t="shared" si="26"/>
        <v>項目40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41</v>
      </c>
      <c s="43"/>
      <c s="148" t="str">
        <f t="shared" si="26"/>
        <v>項目41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42</v>
      </c>
      <c s="43"/>
      <c s="148" t="str">
        <f t="shared" si="26"/>
        <v>項目42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43</v>
      </c>
      <c s="43"/>
      <c s="148" t="str">
        <f t="shared" si="26"/>
        <v>項目43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44</v>
      </c>
      <c s="43"/>
      <c s="148" t="str">
        <f t="shared" si="26"/>
        <v>項目44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45</v>
      </c>
      <c s="43"/>
      <c s="148" t="str">
        <f t="shared" si="26"/>
        <v>項目45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46</v>
      </c>
      <c s="43"/>
      <c s="148" t="str">
        <f t="shared" si="26"/>
        <v>項目46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47</v>
      </c>
      <c s="43"/>
      <c s="148" t="str">
        <f t="shared" si="26"/>
        <v>項目47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48</v>
      </c>
      <c s="43"/>
      <c s="148" t="str">
        <f t="shared" si="26"/>
        <v>項目48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49</v>
      </c>
      <c s="43"/>
      <c s="148" t="str">
        <f t="shared" si="26"/>
        <v>項目49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13.5" hidden="1" customHeight="1">
      <c s="35">
        <v>50</v>
      </c>
      <c s="43"/>
      <c s="148" t="str">
        <f t="shared" si="26"/>
        <v>項目50</v>
      </c>
      <c s="46" t="str">
        <f t="shared" si="27"/>
        <v>--</v>
      </c>
      <c s="38" t="str">
        <f t="shared" si="28"/>
        <v>―</v>
      </c>
      <c s="38" t="str">
        <f t="shared" si="28"/>
        <v>―</v>
      </c>
      <c s="46" t="str">
        <f t="shared" si="29"/>
        <v>--</v>
      </c>
      <c s="38" t="str">
        <f t="shared" si="30"/>
        <v>―</v>
      </c>
      <c s="38" t="str">
        <f t="shared" si="30"/>
        <v>―</v>
      </c>
      <c s="46" t="str">
        <f t="shared" si="31"/>
        <v>--</v>
      </c>
      <c s="38" t="str">
        <f t="shared" si="32"/>
        <v>―</v>
      </c>
      <c s="38" t="str">
        <f t="shared" si="32"/>
        <v>―</v>
      </c>
      <c s="46" t="str">
        <f t="shared" si="33"/>
        <v>--</v>
      </c>
      <c s="38" t="str">
        <f t="shared" si="34"/>
        <v>―</v>
      </c>
      <c s="38" t="str">
        <f t="shared" si="34"/>
        <v>―</v>
      </c>
      <c s="43"/>
    </row>
    <row ht="3" hidden="1" customHeight="1">
      <c s="35"/>
      <c s="43"/>
      <c s="157"/>
      <c s="141"/>
      <c s="91"/>
      <c s="91"/>
      <c s="143"/>
      <c s="91"/>
      <c s="181"/>
      <c s="141"/>
      <c s="91"/>
      <c s="91"/>
      <c s="143"/>
      <c s="91"/>
      <c s="181"/>
      <c s="43"/>
    </row>
    <row ht="13.5" hidden="1" customHeight="1">
      <c s="35">
        <v>1</v>
      </c>
      <c s="43"/>
      <c s="177" t="s">
        <v>32</v>
      </c>
      <c s="46">
        <f>IF(INDEX(比較データ合計, $A169, $E$1)="", "--", INDEX(比較データ合計, $A169, $E$1)/$G$1)</f>
        <v>111007051.895824</v>
      </c>
      <c s="38" t="str">
        <f t="shared" si="35" ref="E169:F169">"―"</f>
        <v>―</v>
      </c>
      <c s="38" t="str">
        <f t="shared" si="35"/>
        <v>―</v>
      </c>
      <c s="46">
        <f>IF(INDEX(分析データ合計, $A169, $E$1)="", "--", INDEX(分析データ合計, $A169, $E$1)/$G$1)</f>
        <v>132026118.30344599</v>
      </c>
      <c s="38" t="str">
        <f t="shared" si="36" ref="H169:I169">"―"</f>
        <v>―</v>
      </c>
      <c s="38" t="str">
        <f t="shared" si="36"/>
        <v>―</v>
      </c>
      <c s="46">
        <f>IF(INDEX(合算比較データ合計, $A169, $E$1)="", "--", INDEX(合算比較データ合計, $A169, $E$1)/$G$1)</f>
        <v>111007051.895824</v>
      </c>
      <c s="38" t="str">
        <f t="shared" si="37" ref="K169:L169">"―"</f>
        <v>―</v>
      </c>
      <c s="38" t="str">
        <f t="shared" si="37"/>
        <v>―</v>
      </c>
      <c s="46">
        <f>IF(INDEX(合算分析データ合計, $A169, $E$1)="", "--", INDEX(合算分析データ合計, $A169, $E$1)/$G$1)</f>
        <v>132026118.30344599</v>
      </c>
      <c s="38" t="str">
        <f t="shared" si="38" ref="N169:O169">"―"</f>
        <v>―</v>
      </c>
      <c s="38" t="str">
        <f t="shared" si="38"/>
        <v>―</v>
      </c>
      <c s="43"/>
    </row>
    <row ht="12" hidden="1" customHeight="1" collapsed="1">
      <c s="35"/>
    </row>
    <row ht="12" hidden="1" customHeight="1">
      <c s="35"/>
      <c r="C171" s="109"/>
      <c s="178" t="s">
        <v>44</v>
      </c>
      <c s="71"/>
      <c s="71"/>
      <c s="71"/>
      <c s="71"/>
      <c s="172"/>
      <c s="178" t="s">
        <v>59</v>
      </c>
      <c s="71"/>
      <c s="71"/>
      <c s="71"/>
      <c s="71"/>
      <c s="172"/>
    </row>
    <row ht="13.5" hidden="1" customHeight="1">
      <c s="35">
        <v>1</v>
      </c>
      <c s="43"/>
      <c s="148" t="str">
        <f t="shared" si="39" ref="C172:C221">$C9</f>
        <v>加工食品</v>
      </c>
      <c s="46">
        <f t="shared" si="40" ref="D172:D221">IF(INDEX(前年比較データ, $A172, $E$1)="", "--", INDEX(前年比較データ, $A172, $E$1)/$G$1)</f>
        <v>38232210.602113903</v>
      </c>
      <c s="38" t="str">
        <f t="shared" si="41" ref="E172:F221">"―"</f>
        <v>―</v>
      </c>
      <c s="38" t="str">
        <f t="shared" si="41"/>
        <v>―</v>
      </c>
      <c s="46">
        <f t="shared" si="42" ref="G172:G221">IF(INDEX(前年分析データ, $A172, $E$1)="", "--", INDEX(前年分析データ, $A172, $E$1)/$G$1)</f>
        <v>48007641.924029402</v>
      </c>
      <c s="38" t="str">
        <f t="shared" si="43" ref="H172:I221">"―"</f>
        <v>―</v>
      </c>
      <c s="38" t="str">
        <f t="shared" si="43"/>
        <v>―</v>
      </c>
      <c s="46">
        <f t="shared" si="44" ref="J172:J221">IF(INDEX(合算前年比較データ, $A172, $E$1)="", "--", INDEX(合算前年比較データ, $A172, $E$1)/$G$1)</f>
        <v>38232210.602113903</v>
      </c>
      <c s="38" t="str">
        <f t="shared" si="45" ref="K172:L221">"―"</f>
        <v>―</v>
      </c>
      <c s="38" t="str">
        <f t="shared" si="45"/>
        <v>―</v>
      </c>
      <c s="46">
        <f t="shared" si="46" ref="M172:M221">IF(INDEX(合算前年分析データ, $A172, $E$1)="", "--", INDEX(合算前年分析データ, $A172, $E$1)/$G$1)</f>
        <v>48007641.924029402</v>
      </c>
      <c s="38" t="str">
        <f t="shared" si="47" ref="N172:O221">"―"</f>
        <v>―</v>
      </c>
      <c s="38" t="str">
        <f t="shared" si="47"/>
        <v>―</v>
      </c>
      <c s="43"/>
    </row>
    <row ht="13.5" hidden="1" customHeight="1">
      <c s="35">
        <v>2</v>
      </c>
      <c s="43"/>
      <c s="148" t="str">
        <f t="shared" si="39"/>
        <v>生鮮食品</v>
      </c>
      <c s="46">
        <f t="shared" si="40"/>
        <v>16959496.2597019</v>
      </c>
      <c s="38" t="str">
        <f t="shared" si="41"/>
        <v>―</v>
      </c>
      <c s="38" t="str">
        <f t="shared" si="41"/>
        <v>―</v>
      </c>
      <c s="46">
        <f t="shared" si="42"/>
        <v>20682184.5400033</v>
      </c>
      <c s="38" t="str">
        <f t="shared" si="43"/>
        <v>―</v>
      </c>
      <c s="38" t="str">
        <f t="shared" si="43"/>
        <v>―</v>
      </c>
      <c s="46">
        <f t="shared" si="44"/>
        <v>16959496.2597019</v>
      </c>
      <c s="38" t="str">
        <f t="shared" si="45"/>
        <v>―</v>
      </c>
      <c s="38" t="str">
        <f t="shared" si="45"/>
        <v>―</v>
      </c>
      <c s="46">
        <f t="shared" si="46"/>
        <v>20682184.5400033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3</v>
      </c>
      <c s="43"/>
      <c s="148" t="str">
        <f t="shared" si="39"/>
        <v>菓子類</v>
      </c>
      <c s="46">
        <f t="shared" si="40"/>
        <v>11903262.5760973</v>
      </c>
      <c s="38" t="str">
        <f t="shared" si="41"/>
        <v>―</v>
      </c>
      <c s="38" t="str">
        <f t="shared" si="41"/>
        <v>―</v>
      </c>
      <c s="46">
        <f t="shared" si="42"/>
        <v>13741952.877036501</v>
      </c>
      <c s="38" t="str">
        <f t="shared" si="43"/>
        <v>―</v>
      </c>
      <c s="38" t="str">
        <f t="shared" si="43"/>
        <v>―</v>
      </c>
      <c s="46">
        <f t="shared" si="44"/>
        <v>11903262.5760973</v>
      </c>
      <c s="38" t="str">
        <f t="shared" si="45"/>
        <v>―</v>
      </c>
      <c s="38" t="str">
        <f t="shared" si="45"/>
        <v>―</v>
      </c>
      <c s="46">
        <f t="shared" si="46"/>
        <v>13741952.877036501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4</v>
      </c>
      <c s="43"/>
      <c s="148" t="str">
        <f t="shared" si="39"/>
        <v>項目4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5</v>
      </c>
      <c s="43"/>
      <c s="148" t="str">
        <f t="shared" si="39"/>
        <v>項目5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6</v>
      </c>
      <c s="43"/>
      <c s="148" t="str">
        <f t="shared" si="39"/>
        <v>項目6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7</v>
      </c>
      <c s="43"/>
      <c s="148" t="str">
        <f t="shared" si="39"/>
        <v>項目7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8</v>
      </c>
      <c s="43"/>
      <c s="148" t="str">
        <f t="shared" si="39"/>
        <v>項目8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9</v>
      </c>
      <c s="43"/>
      <c s="148" t="str">
        <f t="shared" si="39"/>
        <v>項目9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10</v>
      </c>
      <c s="43"/>
      <c s="148" t="str">
        <f t="shared" si="39"/>
        <v>項目10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11</v>
      </c>
      <c s="43"/>
      <c s="148" t="str">
        <f t="shared" si="39"/>
        <v>項目11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12</v>
      </c>
      <c s="43"/>
      <c s="148" t="str">
        <f t="shared" si="39"/>
        <v>項目12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13</v>
      </c>
      <c s="43"/>
      <c s="148" t="str">
        <f t="shared" si="39"/>
        <v>項目13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14</v>
      </c>
      <c s="43"/>
      <c s="148" t="str">
        <f t="shared" si="39"/>
        <v>項目14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15</v>
      </c>
      <c s="43"/>
      <c s="148" t="str">
        <f t="shared" si="39"/>
        <v>項目15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16</v>
      </c>
      <c s="43"/>
      <c s="148" t="str">
        <f t="shared" si="39"/>
        <v>項目16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17</v>
      </c>
      <c s="43"/>
      <c s="148" t="str">
        <f t="shared" si="39"/>
        <v>項目17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18</v>
      </c>
      <c s="43"/>
      <c s="148" t="str">
        <f t="shared" si="39"/>
        <v>項目18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19</v>
      </c>
      <c s="43"/>
      <c s="148" t="str">
        <f t="shared" si="39"/>
        <v>項目19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20</v>
      </c>
      <c s="43"/>
      <c s="148" t="str">
        <f t="shared" si="39"/>
        <v>項目20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21</v>
      </c>
      <c s="43"/>
      <c s="148" t="str">
        <f t="shared" si="39"/>
        <v>項目21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22</v>
      </c>
      <c s="43"/>
      <c s="148" t="str">
        <f t="shared" si="39"/>
        <v>項目22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23</v>
      </c>
      <c s="43"/>
      <c s="148" t="str">
        <f t="shared" si="39"/>
        <v>項目23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24</v>
      </c>
      <c s="43"/>
      <c s="148" t="str">
        <f t="shared" si="39"/>
        <v>項目24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25</v>
      </c>
      <c s="43"/>
      <c s="148" t="str">
        <f t="shared" si="39"/>
        <v>項目25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26</v>
      </c>
      <c s="43"/>
      <c s="148" t="str">
        <f t="shared" si="39"/>
        <v>項目26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27</v>
      </c>
      <c s="43"/>
      <c s="148" t="str">
        <f t="shared" si="39"/>
        <v>項目27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28</v>
      </c>
      <c s="43"/>
      <c s="148" t="str">
        <f t="shared" si="39"/>
        <v>項目28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29</v>
      </c>
      <c s="43"/>
      <c s="148" t="str">
        <f t="shared" si="39"/>
        <v>項目29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30</v>
      </c>
      <c s="43"/>
      <c s="148" t="str">
        <f t="shared" si="39"/>
        <v>項目30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31</v>
      </c>
      <c s="43"/>
      <c s="148" t="str">
        <f t="shared" si="39"/>
        <v>項目31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32</v>
      </c>
      <c s="43"/>
      <c s="148" t="str">
        <f t="shared" si="39"/>
        <v>項目32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33</v>
      </c>
      <c s="43"/>
      <c s="148" t="str">
        <f t="shared" si="39"/>
        <v>項目33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34</v>
      </c>
      <c s="43"/>
      <c s="148" t="str">
        <f t="shared" si="39"/>
        <v>項目34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35</v>
      </c>
      <c s="43"/>
      <c s="148" t="str">
        <f t="shared" si="39"/>
        <v>項目35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36</v>
      </c>
      <c s="43"/>
      <c s="148" t="str">
        <f t="shared" si="39"/>
        <v>項目36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37</v>
      </c>
      <c s="43"/>
      <c s="148" t="str">
        <f t="shared" si="39"/>
        <v>項目37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38</v>
      </c>
      <c s="43"/>
      <c s="148" t="str">
        <f t="shared" si="39"/>
        <v>項目38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39</v>
      </c>
      <c s="43"/>
      <c s="148" t="str">
        <f t="shared" si="39"/>
        <v>項目39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40</v>
      </c>
      <c s="43"/>
      <c s="148" t="str">
        <f t="shared" si="39"/>
        <v>項目40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41</v>
      </c>
      <c s="43"/>
      <c s="148" t="str">
        <f t="shared" si="39"/>
        <v>項目41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42</v>
      </c>
      <c s="43"/>
      <c s="148" t="str">
        <f t="shared" si="39"/>
        <v>項目42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43</v>
      </c>
      <c s="43"/>
      <c s="148" t="str">
        <f t="shared" si="39"/>
        <v>項目43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44</v>
      </c>
      <c s="43"/>
      <c s="148" t="str">
        <f t="shared" si="39"/>
        <v>項目44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45</v>
      </c>
      <c s="43"/>
      <c s="148" t="str">
        <f t="shared" si="39"/>
        <v>項目45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46</v>
      </c>
      <c s="43"/>
      <c s="148" t="str">
        <f t="shared" si="39"/>
        <v>項目46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47</v>
      </c>
      <c s="43"/>
      <c s="148" t="str">
        <f t="shared" si="39"/>
        <v>項目47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48</v>
      </c>
      <c s="43"/>
      <c s="148" t="str">
        <f t="shared" si="39"/>
        <v>項目48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49</v>
      </c>
      <c s="43"/>
      <c s="148" t="str">
        <f t="shared" si="39"/>
        <v>項目49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13.5" hidden="1" customHeight="1">
      <c s="35">
        <v>50</v>
      </c>
      <c s="43"/>
      <c s="148" t="str">
        <f t="shared" si="39"/>
        <v>項目50</v>
      </c>
      <c s="46" t="str">
        <f t="shared" si="40"/>
        <v>--</v>
      </c>
      <c s="38" t="str">
        <f t="shared" si="41"/>
        <v>―</v>
      </c>
      <c s="38" t="str">
        <f t="shared" si="41"/>
        <v>―</v>
      </c>
      <c s="46" t="str">
        <f t="shared" si="42"/>
        <v>--</v>
      </c>
      <c s="38" t="str">
        <f t="shared" si="43"/>
        <v>―</v>
      </c>
      <c s="38" t="str">
        <f t="shared" si="43"/>
        <v>―</v>
      </c>
      <c s="46" t="str">
        <f t="shared" si="44"/>
        <v>--</v>
      </c>
      <c s="38" t="str">
        <f t="shared" si="45"/>
        <v>―</v>
      </c>
      <c s="38" t="str">
        <f t="shared" si="45"/>
        <v>―</v>
      </c>
      <c s="46" t="str">
        <f t="shared" si="46"/>
        <v>--</v>
      </c>
      <c s="38" t="str">
        <f t="shared" si="47"/>
        <v>―</v>
      </c>
      <c s="38" t="str">
        <f t="shared" si="47"/>
        <v>―</v>
      </c>
      <c s="43"/>
    </row>
    <row ht="3" hidden="1" customHeight="1">
      <c s="35"/>
      <c s="43"/>
      <c s="157"/>
      <c s="141"/>
      <c s="91"/>
      <c s="91"/>
      <c s="143"/>
      <c s="91"/>
      <c s="181"/>
      <c s="141"/>
      <c s="91"/>
      <c s="91"/>
      <c s="143"/>
      <c s="91"/>
      <c s="181"/>
      <c s="43"/>
    </row>
    <row ht="13.5" hidden="1" customHeight="1">
      <c s="35">
        <v>1</v>
      </c>
      <c s="43"/>
      <c s="177" t="s">
        <v>32</v>
      </c>
      <c s="46">
        <f>IF(INDEX(前年比較データ合計, $A223, $E$1)="", "--", INDEX(前年比較データ合計, $A223, $E$1)/$G$1)</f>
        <v>67094969.437913105</v>
      </c>
      <c s="38" t="str">
        <f t="shared" si="48" ref="E223:F223">"―"</f>
        <v>―</v>
      </c>
      <c s="38" t="str">
        <f t="shared" si="48"/>
        <v>―</v>
      </c>
      <c s="46">
        <f>IF(INDEX(前年分析データ合計, $A223, $E$1)="", "--", INDEX(前年分析データ合計, $A223, $E$1)/$G$1)</f>
        <v>82431779.341069192</v>
      </c>
      <c s="38" t="str">
        <f t="shared" si="49" ref="H223:I223">"―"</f>
        <v>―</v>
      </c>
      <c s="38" t="str">
        <f t="shared" si="49"/>
        <v>―</v>
      </c>
      <c s="46">
        <f>IF(INDEX(合算前年比較データ合計, $A223, $E$1)="", "--", INDEX(合算前年比較データ合計, $A223, $E$1)/$G$1)</f>
        <v>67094969.437913105</v>
      </c>
      <c s="38" t="str">
        <f t="shared" si="50" ref="K223:L223">"―"</f>
        <v>―</v>
      </c>
      <c s="38" t="str">
        <f t="shared" si="50"/>
        <v>―</v>
      </c>
      <c s="46">
        <f>IF(INDEX(合算前年分析データ合計, $A223, $E$1)="", "--", INDEX(合算前年分析データ合計, $A223, $E$1)/$G$1)</f>
        <v>82431779.341069192</v>
      </c>
      <c s="38" t="str">
        <f t="shared" si="51" ref="N223:O223">"―"</f>
        <v>―</v>
      </c>
      <c s="38" t="str">
        <f t="shared" si="51"/>
        <v>―</v>
      </c>
      <c s="43"/>
    </row>
    <row ht="12" customHeight="1" collapsed="1">
      <c s="35"/>
    </row>
  </sheetData>
  <mergeCells count="4">
    <mergeCell ref="D6:F7"/>
    <mergeCell ref="G6:I7"/>
    <mergeCell ref="J6:L7"/>
    <mergeCell ref="M6:O7"/>
  </mergeCells>
  <dataValidations count="1">
    <dataValidation type="list" allowBlank="1" showInputMessage="1" showErrorMessage="1" sqref="D1">
      <formula1>リスト用値単位</formula1>
    </dataValidation>
  </dataValidations>
  <printOptions horizontalCentered="1"/>
  <pageMargins left="0.59055118110236215" right="0.59055118110236215" top="0.59055118110236215" bottom="0.59055118110236215" header="0.31496062992125989" footer="0.31496062992125989"/>
  <pageSetup paperSize="9" orientation="landscape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227"/>
  <sheetViews>
    <sheetView zoomScale="75" workbookViewId="0">
      <pane xSplit="3" ySplit="0" topLeftCell="D1" activePane="topRight" state="frozen"/>
    </sheetView>
  </sheetViews>
  <sheetFormatPr defaultColWidth="5.625" defaultRowHeight="12"/>
  <cols>
    <col min="1" max="1" width="2.125" style="60" customWidth="1"/>
    <col min="2" max="2" width="1.625" style="60" customWidth="1"/>
    <col min="3" max="3" width="35.5" style="109" customWidth="1"/>
    <col min="4" max="15" width="11.625" style="60" customWidth="1"/>
    <col min="16" max="16" width="15.625" style="40" customWidth="1"/>
    <col min="17" max="17" width="1.625" style="60" customWidth="1"/>
    <col min="18" max="18" width="2.125" style="60" customWidth="1"/>
    <col min="19" max="16384" width="5.625" style="60"/>
  </cols>
  <sheetData>
    <row ht="24" customHeight="1" s="40" customFormat="1">
      <c r="C1" s="194" t="s">
        <v>136</v>
      </c>
      <c s="149" t="s">
        <v>1</v>
      </c>
      <c s="11">
        <f>VLOOKUP($D$1, 値単位リスト, 2, FALSE)</f>
        <v>2</v>
      </c>
      <c s="11" t="str">
        <f>VLOOKUP($D$1, 値単位リスト, 3, FALSE)</f>
        <v>千円</v>
      </c>
      <c s="11">
        <f>VLOOKUP($D$1, 値単位リスト, 4, FALSE)</f>
        <v>1000</v>
      </c>
      <c s="11"/>
      <c s="11"/>
      <c s="11"/>
      <c s="11"/>
      <c s="11"/>
      <c s="11"/>
      <c s="11"/>
      <c s="11"/>
      <c s="300" t="str">
        <f>IF(INFO!$D$13=3,"※価格帯の分析は期間と累計で異なります。","")</f>
        <v/>
      </c>
      <c s="11"/>
      <c s="11"/>
    </row>
    <row ht="24" customHeight="1" s="87" customFormat="1">
      <c r="C2" s="99" t="str">
        <f>"【 " &amp; 分析種別名称 &amp; " 実績推移(" &amp; $D$1 &amp; ") 】" &amp; PI値モード名称</f>
        <v>【 カテゴリー別 実績推移(金額) 】</v>
      </c>
      <c s="27"/>
      <c s="27"/>
      <c s="27"/>
      <c s="27"/>
      <c s="27"/>
      <c s="27"/>
      <c s="27"/>
      <c s="27"/>
      <c s="27"/>
      <c s="27"/>
      <c s="27"/>
      <c s="27"/>
      <c s="19"/>
    </row>
    <row ht="12.75" customHeight="1" s="40" customFormat="1">
      <c r="C3" s="94"/>
      <c s="19"/>
      <c s="19"/>
      <c s="19"/>
      <c s="19"/>
      <c s="19"/>
      <c s="19"/>
      <c s="19"/>
      <c s="19"/>
      <c s="19"/>
      <c s="19"/>
      <c s="19"/>
      <c s="19"/>
      <c s="101" t="str">
        <f>IF(分析POS名称="","",分析POS名称) &amp;  " (" &amp; IF(年度開始年月=分析終了年月,年度開始年月,年度開始年月&amp;"～"&amp;分析終了年月) &amp; ")"</f>
        <v>RDS06 スーパー  04 首都圏 (2019年4月～2020年3月)</v>
      </c>
    </row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 thickBot="1">
      <c r="D32" s="11">
        <v>0</v>
      </c>
      <c s="11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</row>
    <row ht="18" customHeight="1" thickBot="1" s="40" customFormat="1">
      <c r="C33" s="108" t="str">
        <f>分析オプション&amp;"　単位：" &amp; $F$1</f>
        <v xml:space="preserve"> [税抜分析]　単位：千円</v>
      </c>
      <c s="100" t="str">
        <f>INFO!AC$4</f>
        <v>4月</v>
      </c>
      <c s="28" t="str">
        <f>INFO!AD$4</f>
        <v>5月</v>
      </c>
      <c s="28" t="str">
        <f>INFO!AE$4</f>
        <v>6月</v>
      </c>
      <c s="28" t="str">
        <f>INFO!AF$4</f>
        <v>7月</v>
      </c>
      <c s="28" t="str">
        <f>INFO!AG$4</f>
        <v>8月</v>
      </c>
      <c s="28" t="str">
        <f>INFO!AH$4</f>
        <v>9月</v>
      </c>
      <c s="28" t="str">
        <f>INFO!AI$4</f>
        <v>10月</v>
      </c>
      <c s="28" t="str">
        <f>INFO!AJ$4</f>
        <v>11月</v>
      </c>
      <c s="28" t="str">
        <f>INFO!AK$4</f>
        <v>12月</v>
      </c>
      <c s="28" t="str">
        <f>INFO!AL$4</f>
        <v>1月</v>
      </c>
      <c s="28" t="str">
        <f>INFO!AM$4</f>
        <v>2月</v>
      </c>
      <c s="105" t="str">
        <f>INFO!AN$4</f>
        <v>3月</v>
      </c>
      <c s="117" t="str">
        <f>IF(INFO!$D$13=3,"累計","合計")</f>
        <v>合計</v>
      </c>
    </row>
    <row ht="15" customHeight="1" s="40" customFormat="1">
      <c s="11">
        <v>1</v>
      </c>
      <c s="11"/>
      <c s="152" t="str">
        <f t="shared" si="0" ref="C34:C83">IF(INDEX(項目,$A34,1)="","",INDEX(項目,$A34,1))</f>
        <v>加工食品</v>
      </c>
      <c s="323">
        <f t="shared" si="1" ref="D34:H83">IF(INDEX(累計分析データ,$A34,D$32*4+$E$1)="", "--", INDEX(累計分析データ,$A34,D$32*4+$E$1)/$G$1)</f>
        <v>4856325.5461007999</v>
      </c>
      <c s="69">
        <f t="shared" si="1"/>
        <v>4871087.5974129001</v>
      </c>
      <c s="69">
        <f t="shared" si="1"/>
        <v>4655880.6470812997</v>
      </c>
      <c s="69">
        <f t="shared" si="1"/>
        <v>4733175.0652356008</v>
      </c>
      <c s="69">
        <f t="shared" si="1"/>
        <v>4722516.8232653998</v>
      </c>
      <c s="69">
        <f t="shared" si="2" ref="I34:M83">IF(INDEX(累計分析データ,$A34,I$32*4+$E$1)="", "--", INDEX(累計分析データ,$A34,I$32*4+$E$1)/$G$1)</f>
        <v>4708171.8783148006</v>
      </c>
      <c s="69">
        <f t="shared" si="2"/>
        <v>4859828.3471702002</v>
      </c>
      <c s="69">
        <f t="shared" si="2"/>
        <v>4670471.1086546006</v>
      </c>
      <c s="69">
        <f t="shared" si="2"/>
        <v>5809551.2730710004</v>
      </c>
      <c s="69">
        <f t="shared" si="2"/>
        <v>4567963.9444561005</v>
      </c>
      <c s="69">
        <f t="shared" si="3" ref="N34:O83">IF(INDEX(累計分析データ,$A34,N$32*4+$E$1)="", "--", INDEX(累計分析データ,$A34,N$32*4+$E$1)/$G$1)</f>
        <v>4873110.2528069997</v>
      </c>
      <c s="336">
        <f t="shared" si="3"/>
        <v>5616429.5382083999</v>
      </c>
      <c s="253">
        <f t="shared" si="4" ref="P34:P83">IF(INDEX(合算分析データ, $A34, $E$1)="", "--", INDEX(合算分析データ, $A34, $E$1)/$G$1)</f>
        <v>58944512.021778099</v>
      </c>
    </row>
    <row ht="15" customHeight="1" s="40" customFormat="1">
      <c s="11">
        <v>2</v>
      </c>
      <c s="11"/>
      <c s="145" t="str">
        <f t="shared" si="0"/>
        <v>生鮮食品</v>
      </c>
      <c s="266">
        <f t="shared" si="1"/>
        <v>4939181.6828664001</v>
      </c>
      <c s="47">
        <f t="shared" si="1"/>
        <v>5238830.8451773003</v>
      </c>
      <c s="47">
        <f t="shared" si="1"/>
        <v>4610606.8133896999</v>
      </c>
      <c s="47">
        <f t="shared" si="1"/>
        <v>4989820.8985509994</v>
      </c>
      <c s="47">
        <f t="shared" si="1"/>
        <v>4980413.1349937003</v>
      </c>
      <c s="47">
        <f t="shared" si="2"/>
        <v>4675864.5914547006</v>
      </c>
      <c s="47">
        <f t="shared" si="2"/>
        <v>4913055.1999636004</v>
      </c>
      <c s="47">
        <f t="shared" si="2"/>
        <v>4460252.2643882995</v>
      </c>
      <c s="47">
        <f t="shared" si="2"/>
        <v>5686471.3396399999</v>
      </c>
      <c s="47">
        <f t="shared" si="2"/>
        <v>4757216.1302628005</v>
      </c>
      <c s="47">
        <f t="shared" si="3"/>
        <v>4896923.3263417995</v>
      </c>
      <c s="195">
        <f t="shared" si="3"/>
        <v>5330797.0507284002</v>
      </c>
      <c s="220">
        <f t="shared" si="4"/>
        <v>59479433.277757697</v>
      </c>
    </row>
    <row ht="15" customHeight="1" s="40" customFormat="1">
      <c s="11">
        <v>3</v>
      </c>
      <c s="11"/>
      <c s="145" t="str">
        <f t="shared" si="0"/>
        <v>菓子類</v>
      </c>
      <c s="266">
        <f t="shared" si="1"/>
        <v>1152809.6836745001</v>
      </c>
      <c s="47">
        <f t="shared" si="1"/>
        <v>1169149.3451721</v>
      </c>
      <c s="47">
        <f t="shared" si="1"/>
        <v>1127873.1768701999</v>
      </c>
      <c s="47">
        <f t="shared" si="1"/>
        <v>1137014.9939178</v>
      </c>
      <c s="47">
        <f t="shared" si="1"/>
        <v>1138702.7099586001</v>
      </c>
      <c s="47">
        <f t="shared" si="2"/>
        <v>1073647.2683891</v>
      </c>
      <c s="47">
        <f t="shared" si="2"/>
        <v>1097006.9921217</v>
      </c>
      <c s="47">
        <f t="shared" si="2"/>
        <v>1022763.2114985</v>
      </c>
      <c s="47">
        <f t="shared" si="2"/>
        <v>1198730.3094988998</v>
      </c>
      <c s="47">
        <f t="shared" si="2"/>
        <v>1033642.4800415999</v>
      </c>
      <c s="47">
        <f t="shared" si="3"/>
        <v>1157469.0974633</v>
      </c>
      <c s="195">
        <f t="shared" si="3"/>
        <v>1293363.7353041</v>
      </c>
      <c s="220">
        <f t="shared" si="4"/>
        <v>13602173.0039104</v>
      </c>
    </row>
    <row ht="15" hidden="1" customHeight="1" s="40" customFormat="1">
      <c s="11">
        <v>4</v>
      </c>
      <c s="11"/>
      <c s="145" t="str">
        <f t="shared" si="0"/>
        <v>項目4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5</v>
      </c>
      <c s="11"/>
      <c s="145" t="str">
        <f t="shared" si="0"/>
        <v>項目5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6</v>
      </c>
      <c s="11"/>
      <c s="145" t="str">
        <f t="shared" si="0"/>
        <v>項目6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7</v>
      </c>
      <c s="11"/>
      <c s="145" t="str">
        <f t="shared" si="0"/>
        <v>項目7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8</v>
      </c>
      <c s="11"/>
      <c s="145" t="str">
        <f t="shared" si="0"/>
        <v>項目8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9</v>
      </c>
      <c s="11"/>
      <c s="145" t="str">
        <f t="shared" si="0"/>
        <v>項目9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10</v>
      </c>
      <c s="11"/>
      <c s="145" t="str">
        <f t="shared" si="0"/>
        <v>項目10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11</v>
      </c>
      <c s="11"/>
      <c s="145" t="str">
        <f t="shared" si="0"/>
        <v>項目11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12</v>
      </c>
      <c s="11"/>
      <c s="145" t="str">
        <f t="shared" si="0"/>
        <v>項目12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13</v>
      </c>
      <c s="11"/>
      <c s="145" t="str">
        <f t="shared" si="0"/>
        <v>項目13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14</v>
      </c>
      <c s="11"/>
      <c s="145" t="str">
        <f t="shared" si="0"/>
        <v>項目14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15</v>
      </c>
      <c s="11"/>
      <c s="145" t="str">
        <f t="shared" si="0"/>
        <v>項目15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16</v>
      </c>
      <c s="11"/>
      <c s="145" t="str">
        <f t="shared" si="0"/>
        <v>項目16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17</v>
      </c>
      <c s="11"/>
      <c s="145" t="str">
        <f t="shared" si="0"/>
        <v>項目17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18</v>
      </c>
      <c s="11"/>
      <c s="145" t="str">
        <f t="shared" si="0"/>
        <v>項目18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19</v>
      </c>
      <c s="11"/>
      <c s="145" t="str">
        <f t="shared" si="0"/>
        <v>項目19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20</v>
      </c>
      <c s="11"/>
      <c s="145" t="str">
        <f t="shared" si="0"/>
        <v>項目20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21</v>
      </c>
      <c s="11"/>
      <c s="145" t="str">
        <f t="shared" si="0"/>
        <v>項目21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22</v>
      </c>
      <c s="11"/>
      <c s="145" t="str">
        <f t="shared" si="0"/>
        <v>項目22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23</v>
      </c>
      <c s="11"/>
      <c s="145" t="str">
        <f t="shared" si="0"/>
        <v>項目23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24</v>
      </c>
      <c s="11"/>
      <c s="145" t="str">
        <f t="shared" si="0"/>
        <v>項目24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25</v>
      </c>
      <c s="11"/>
      <c s="145" t="str">
        <f t="shared" si="0"/>
        <v>項目25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26</v>
      </c>
      <c s="11"/>
      <c s="145" t="str">
        <f t="shared" si="0"/>
        <v>項目26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27</v>
      </c>
      <c s="11"/>
      <c s="145" t="str">
        <f t="shared" si="0"/>
        <v>項目27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28</v>
      </c>
      <c s="11"/>
      <c s="145" t="str">
        <f t="shared" si="0"/>
        <v>項目28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29</v>
      </c>
      <c s="11"/>
      <c s="145" t="str">
        <f t="shared" si="0"/>
        <v>項目29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30</v>
      </c>
      <c s="11"/>
      <c s="145" t="str">
        <f t="shared" si="0"/>
        <v>項目30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31</v>
      </c>
      <c s="11"/>
      <c s="145" t="str">
        <f t="shared" si="0"/>
        <v>項目31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32</v>
      </c>
      <c s="11"/>
      <c s="145" t="str">
        <f t="shared" si="0"/>
        <v>項目32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33</v>
      </c>
      <c s="11"/>
      <c s="145" t="str">
        <f t="shared" si="0"/>
        <v>項目33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34</v>
      </c>
      <c s="11"/>
      <c s="145" t="str">
        <f t="shared" si="0"/>
        <v>項目34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35</v>
      </c>
      <c s="11"/>
      <c s="145" t="str">
        <f t="shared" si="0"/>
        <v>項目35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36</v>
      </c>
      <c s="11"/>
      <c s="145" t="str">
        <f t="shared" si="0"/>
        <v>項目36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37</v>
      </c>
      <c s="11"/>
      <c s="145" t="str">
        <f t="shared" si="0"/>
        <v>項目37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38</v>
      </c>
      <c s="11"/>
      <c s="145" t="str">
        <f t="shared" si="0"/>
        <v>項目38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39</v>
      </c>
      <c s="11"/>
      <c s="145" t="str">
        <f t="shared" si="0"/>
        <v>項目39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40</v>
      </c>
      <c s="11"/>
      <c s="145" t="str">
        <f t="shared" si="0"/>
        <v>項目40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41</v>
      </c>
      <c s="11"/>
      <c s="145" t="str">
        <f t="shared" si="0"/>
        <v>項目41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42</v>
      </c>
      <c s="11"/>
      <c s="145" t="str">
        <f t="shared" si="0"/>
        <v>項目42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43</v>
      </c>
      <c s="11"/>
      <c s="145" t="str">
        <f t="shared" si="0"/>
        <v>項目43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44</v>
      </c>
      <c s="11"/>
      <c s="145" t="str">
        <f t="shared" si="0"/>
        <v>項目44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45</v>
      </c>
      <c s="11"/>
      <c s="145" t="str">
        <f t="shared" si="0"/>
        <v>項目45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46</v>
      </c>
      <c s="11"/>
      <c s="145" t="str">
        <f t="shared" si="0"/>
        <v>項目46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47</v>
      </c>
      <c s="11"/>
      <c s="145" t="str">
        <f t="shared" si="0"/>
        <v>項目47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48</v>
      </c>
      <c s="11"/>
      <c s="145" t="str">
        <f t="shared" si="0"/>
        <v>項目48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s="40" customFormat="1">
      <c s="11">
        <v>49</v>
      </c>
      <c s="11"/>
      <c s="145" t="str">
        <f t="shared" si="0"/>
        <v>項目49</v>
      </c>
      <c s="26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95" t="str">
        <f t="shared" si="3"/>
        <v>--</v>
      </c>
      <c s="220" t="str">
        <f t="shared" si="4"/>
        <v>--</v>
      </c>
    </row>
    <row ht="15" hidden="1" customHeight="1" thickBot="1" s="40" customFormat="1">
      <c s="11">
        <v>50</v>
      </c>
      <c s="11"/>
      <c s="138" t="str">
        <f t="shared" si="0"/>
        <v>項目50</v>
      </c>
      <c s="257" t="str">
        <f t="shared" si="1"/>
        <v>--</v>
      </c>
      <c s="49" t="str">
        <f t="shared" si="1"/>
        <v>--</v>
      </c>
      <c s="49" t="str">
        <f t="shared" si="1"/>
        <v>--</v>
      </c>
      <c s="49" t="str">
        <f t="shared" si="1"/>
        <v>--</v>
      </c>
      <c s="49" t="str">
        <f t="shared" si="1"/>
        <v>--</v>
      </c>
      <c s="49" t="str">
        <f t="shared" si="2"/>
        <v>--</v>
      </c>
      <c s="49" t="str">
        <f t="shared" si="2"/>
        <v>--</v>
      </c>
      <c s="49" t="str">
        <f t="shared" si="2"/>
        <v>--</v>
      </c>
      <c s="49" t="str">
        <f t="shared" si="2"/>
        <v>--</v>
      </c>
      <c s="49" t="str">
        <f t="shared" si="2"/>
        <v>--</v>
      </c>
      <c s="49" t="str">
        <f t="shared" si="3"/>
        <v>--</v>
      </c>
      <c s="190" t="str">
        <f t="shared" si="3"/>
        <v>--</v>
      </c>
      <c s="254" t="str">
        <f t="shared" si="4"/>
        <v>--</v>
      </c>
    </row>
    <row ht="6.75" customHeight="1" thickBot="1">
      <c s="35"/>
      <c s="35"/>
      <c s="188"/>
      <c s="44"/>
      <c s="44"/>
      <c s="44"/>
      <c s="44"/>
      <c s="44"/>
      <c s="44"/>
      <c s="44"/>
      <c s="44"/>
      <c s="44"/>
      <c s="44"/>
      <c s="44"/>
      <c s="44"/>
      <c s="196"/>
    </row>
    <row ht="19.5" customHeight="1" thickBot="1" s="40" customFormat="1">
      <c s="11">
        <v>1</v>
      </c>
      <c r="C85" s="153" t="s">
        <v>32</v>
      </c>
      <c s="263">
        <f t="shared" si="5" ref="D85:O85">IF(INDEX(累計分析データ期間合計,$A85,D$32*4+$E$1)="", "--", INDEX(累計分析データ期間合計,$A85,D$32*4+$E$1)/$G$1)</f>
        <v>10948316.9126417</v>
      </c>
      <c s="48">
        <f t="shared" si="5"/>
        <v>11279067.787762301</v>
      </c>
      <c s="48">
        <f t="shared" si="5"/>
        <v>10394360.637341199</v>
      </c>
      <c s="48">
        <f t="shared" si="5"/>
        <v>10860010.957704399</v>
      </c>
      <c s="48">
        <f t="shared" si="5"/>
        <v>10841632.6682177</v>
      </c>
      <c s="48">
        <f t="shared" si="5"/>
        <v>10457683.7381586</v>
      </c>
      <c s="48">
        <f t="shared" si="5"/>
        <v>10869890.539255502</v>
      </c>
      <c s="48">
        <f t="shared" si="5"/>
        <v>10153486.584541401</v>
      </c>
      <c s="48">
        <f t="shared" si="5"/>
        <v>12694752.9222099</v>
      </c>
      <c s="48">
        <f t="shared" si="5"/>
        <v>10358822.554760501</v>
      </c>
      <c s="48">
        <f t="shared" si="5"/>
        <v>10927502.676612101</v>
      </c>
      <c s="193">
        <f t="shared" si="5"/>
        <v>12240590.324240901</v>
      </c>
      <c s="199">
        <f>IF(INDEX(合算分析データ合計, $A85, $E$1)="", "--", INDEX(合算分析データ合計, $A85, $E$1)/$G$1)</f>
        <v>132026118.30344599</v>
      </c>
    </row>
    <row ht="19.5" customHeight="1" thickBot="1" s="40" customFormat="1">
      <c r="C86" s="153" t="s">
        <v>131</v>
      </c>
      <c s="263">
        <f t="shared" si="6" ref="D86:P86">IF(ISERROR(D85/D141),"--",D85/D141*100)</f>
        <v>202.71345406712186</v>
      </c>
      <c s="48">
        <f t="shared" si="6"/>
        <v>203.55877289761764</v>
      </c>
      <c s="48">
        <f t="shared" si="6"/>
        <v>191.56794770076536</v>
      </c>
      <c s="48">
        <f t="shared" si="6"/>
        <v>195.30179766612827</v>
      </c>
      <c s="48">
        <f t="shared" si="6"/>
        <v>200.30166287240246</v>
      </c>
      <c s="48">
        <f t="shared" si="6"/>
        <v>192.3475092210013</v>
      </c>
      <c s="48">
        <f t="shared" si="6"/>
        <v>194.06989218083547</v>
      </c>
      <c s="48">
        <f t="shared" si="6"/>
        <v>185.93557281237796</v>
      </c>
      <c s="48">
        <f t="shared" si="6"/>
        <v>193.32212928973803</v>
      </c>
      <c s="48">
        <f t="shared" si="6"/>
        <v>97.178718367451737</v>
      </c>
      <c s="48">
        <f t="shared" si="6"/>
        <v>105.4004057511476</v>
      </c>
      <c s="193">
        <f t="shared" si="6"/>
        <v>111.29538641304325</v>
      </c>
      <c s="199">
        <f t="shared" si="6"/>
        <v>160.16410098000625</v>
      </c>
    </row>
    <row ht="15" customHeight="1"/>
    <row ht="15" customHeight="1" thickBot="1">
      <c r="C88" s="339" t="s">
        <v>44</v>
      </c>
    </row>
    <row ht="15" customHeight="1" thickBot="1">
      <c s="40"/>
      <c s="40"/>
      <c s="108" t="str">
        <f>分析オプション&amp;"　単位：" &amp; $F$1</f>
        <v xml:space="preserve"> [税抜分析]　単位：千円</v>
      </c>
      <c s="344" t="str">
        <f>INFO!AC$5</f>
        <v>4月</v>
      </c>
      <c s="103" t="str">
        <f>INFO!AD$5</f>
        <v>5月</v>
      </c>
      <c s="103" t="str">
        <f>INFO!AE$5</f>
        <v>6月</v>
      </c>
      <c s="103" t="str">
        <f>INFO!AF$5</f>
        <v>7月</v>
      </c>
      <c s="103" t="str">
        <f>INFO!AG$5</f>
        <v>8月</v>
      </c>
      <c s="103" t="str">
        <f>INFO!AH$5</f>
        <v>9月</v>
      </c>
      <c s="103" t="str">
        <f>INFO!AI$5</f>
        <v>10月</v>
      </c>
      <c s="103" t="str">
        <f>INFO!AJ$5</f>
        <v>11月</v>
      </c>
      <c s="103" t="str">
        <f>INFO!AK$5</f>
        <v>12月</v>
      </c>
      <c s="103" t="str">
        <f>INFO!AL$5</f>
        <v>1月</v>
      </c>
      <c s="103" t="str">
        <f>INFO!AM$5</f>
        <v>2月</v>
      </c>
      <c s="319" t="str">
        <f>INFO!AN$5</f>
        <v>3月</v>
      </c>
      <c s="324" t="s">
        <v>61</v>
      </c>
    </row>
    <row ht="15" customHeight="1">
      <c s="11">
        <v>1</v>
      </c>
      <c s="11"/>
      <c s="341" t="str">
        <f t="shared" si="7" ref="C90:C139">IF(INDEX(項目,$A90,1)="","",INDEX(項目,$A90,1))</f>
        <v>加工食品</v>
      </c>
      <c s="345">
        <f t="shared" si="8" ref="D90:H139">IF(INDEX(累計前年分析データ,$A90,D$32*4+$E$1)="", "--", INDEX(累計前年分析データ,$A90,D$32*4+$E$1)/$G$1)</f>
        <v>3610362.8034871002</v>
      </c>
      <c s="69">
        <f t="shared" si="8"/>
        <v>3687638.0105291</v>
      </c>
      <c s="69">
        <f t="shared" si="8"/>
        <v>3596464.7655322999</v>
      </c>
      <c s="69">
        <f t="shared" si="8"/>
        <v>3675442.1460014</v>
      </c>
      <c s="69">
        <f t="shared" si="8"/>
        <v>3587625.0550473998</v>
      </c>
      <c s="69">
        <f t="shared" si="9" ref="I90:M139">IF(INDEX(累計前年分析データ,$A90,I$32*4+$E$1)="", "--", INDEX(累計前年分析データ,$A90,I$32*4+$E$1)/$G$1)</f>
        <v>3648105.2845593002</v>
      </c>
      <c s="69">
        <f t="shared" si="9"/>
        <v>3751158.0269526001</v>
      </c>
      <c s="69">
        <f t="shared" si="9"/>
        <v>3636182.5329012</v>
      </c>
      <c s="69">
        <f t="shared" si="9"/>
        <v>4569766.4089641999</v>
      </c>
      <c s="69">
        <f t="shared" si="9"/>
        <v>4760629.2329854006</v>
      </c>
      <c s="69">
        <f t="shared" si="10" ref="N90:O139">IF(INDEX(累計前年分析データ,$A90,N$32*4+$E$1)="", "--", INDEX(累計前年分析データ,$A90,N$32*4+$E$1)/$G$1)</f>
        <v>4543541.4452377995</v>
      </c>
      <c s="328">
        <f t="shared" si="10"/>
        <v>4940726.2118316004</v>
      </c>
      <c s="350">
        <f t="shared" si="11" ref="P90:P139">IF(INDEX(合算前年分析データ, $A90, $E$1)="", "--", INDEX(合算前年分析データ, $A90, $E$1)/$G$1)</f>
        <v>48007641.924029402</v>
      </c>
    </row>
    <row ht="15" customHeight="1">
      <c s="11">
        <v>2</v>
      </c>
      <c s="11"/>
      <c s="311" t="str">
        <f t="shared" si="7"/>
        <v>生鮮食品</v>
      </c>
      <c s="243">
        <f t="shared" si="8"/>
        <v>638570.57139160007</v>
      </c>
      <c s="47">
        <f t="shared" si="8"/>
        <v>663038.08606669994</v>
      </c>
      <c s="47">
        <f t="shared" si="8"/>
        <v>668764.89990059996</v>
      </c>
      <c s="47">
        <f t="shared" si="8"/>
        <v>665563.49921430007</v>
      </c>
      <c s="47">
        <f t="shared" si="8"/>
        <v>658299.68848120002</v>
      </c>
      <c s="47">
        <f t="shared" si="9"/>
        <v>700366.51478720002</v>
      </c>
      <c s="47">
        <f t="shared" si="9"/>
        <v>744459.82945900003</v>
      </c>
      <c s="47">
        <f t="shared" si="9"/>
        <v>757639.42481889995</v>
      </c>
      <c s="47">
        <f t="shared" si="9"/>
        <v>784526.78542880004</v>
      </c>
      <c s="47">
        <f t="shared" si="9"/>
        <v>4807331.6670045005</v>
      </c>
      <c s="47">
        <f t="shared" si="10"/>
        <v>4730627.3232156001</v>
      </c>
      <c s="321">
        <f t="shared" si="10"/>
        <v>4862996.2502349</v>
      </c>
      <c s="308">
        <f t="shared" si="11"/>
        <v>20682184.5400033</v>
      </c>
    </row>
    <row ht="15" customHeight="1">
      <c s="11">
        <v>3</v>
      </c>
      <c s="11"/>
      <c s="311" t="str">
        <f t="shared" si="7"/>
        <v>菓子類</v>
      </c>
      <c s="243">
        <f t="shared" si="8"/>
        <v>1151949.8388306999</v>
      </c>
      <c s="47">
        <f t="shared" si="8"/>
        <v>1190263.0765025001</v>
      </c>
      <c s="47">
        <f t="shared" si="8"/>
        <v>1160709.6746791999</v>
      </c>
      <c s="47">
        <f t="shared" si="8"/>
        <v>1219624.6651462</v>
      </c>
      <c s="47">
        <f t="shared" si="8"/>
        <v>1166727.6092999</v>
      </c>
      <c s="47">
        <f t="shared" si="9"/>
        <v>1088398.0517432</v>
      </c>
      <c s="47">
        <f t="shared" si="9"/>
        <v>1105400.6308491002</v>
      </c>
      <c s="47">
        <f t="shared" si="9"/>
        <v>1066933.3087221</v>
      </c>
      <c s="47">
        <f t="shared" si="9"/>
        <v>1212338.8662253001</v>
      </c>
      <c s="47">
        <f t="shared" si="9"/>
        <v>1091597.8272530001</v>
      </c>
      <c s="47">
        <f t="shared" si="10"/>
        <v>1093440.9183747</v>
      </c>
      <c s="321">
        <f t="shared" si="10"/>
        <v>1194568.4094105999</v>
      </c>
      <c s="308">
        <f t="shared" si="11"/>
        <v>13741952.877036501</v>
      </c>
    </row>
    <row ht="15" hidden="1" customHeight="1">
      <c s="11">
        <v>4</v>
      </c>
      <c s="11"/>
      <c s="311" t="str">
        <f t="shared" si="7"/>
        <v>項目4</v>
      </c>
      <c s="243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321" t="str">
        <f t="shared" si="10"/>
        <v>--</v>
      </c>
      <c s="308" t="str">
        <f t="shared" si="11"/>
        <v>--</v>
      </c>
    </row>
    <row ht="15" hidden="1" customHeight="1">
      <c s="11">
        <v>5</v>
      </c>
      <c s="11"/>
      <c s="311" t="str">
        <f t="shared" si="7"/>
        <v>項目5</v>
      </c>
      <c s="243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321" t="str">
        <f t="shared" si="10"/>
        <v>--</v>
      </c>
      <c s="308" t="str">
        <f t="shared" si="11"/>
        <v>--</v>
      </c>
    </row>
    <row ht="15" hidden="1" customHeight="1">
      <c s="11">
        <v>6</v>
      </c>
      <c s="11"/>
      <c s="311" t="str">
        <f t="shared" si="7"/>
        <v>項目6</v>
      </c>
      <c s="243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321" t="str">
        <f t="shared" si="10"/>
        <v>--</v>
      </c>
      <c s="308" t="str">
        <f t="shared" si="11"/>
        <v>--</v>
      </c>
    </row>
    <row ht="15" hidden="1" customHeight="1">
      <c s="11">
        <v>7</v>
      </c>
      <c s="11"/>
      <c s="311" t="str">
        <f t="shared" si="7"/>
        <v>項目7</v>
      </c>
      <c s="243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321" t="str">
        <f t="shared" si="10"/>
        <v>--</v>
      </c>
      <c s="308" t="str">
        <f t="shared" si="11"/>
        <v>--</v>
      </c>
    </row>
    <row ht="15" hidden="1" customHeight="1">
      <c s="11">
        <v>8</v>
      </c>
      <c s="11"/>
      <c s="311" t="str">
        <f t="shared" si="7"/>
        <v>項目8</v>
      </c>
      <c s="243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321" t="str">
        <f t="shared" si="10"/>
        <v>--</v>
      </c>
      <c s="308" t="str">
        <f t="shared" si="11"/>
        <v>--</v>
      </c>
    </row>
    <row ht="15" hidden="1" customHeight="1">
      <c s="11">
        <v>9</v>
      </c>
      <c s="11"/>
      <c s="311" t="str">
        <f t="shared" si="7"/>
        <v>項目9</v>
      </c>
      <c s="243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321" t="str">
        <f t="shared" si="10"/>
        <v>--</v>
      </c>
      <c s="308" t="str">
        <f t="shared" si="11"/>
        <v>--</v>
      </c>
    </row>
    <row ht="15" hidden="1" customHeight="1">
      <c s="11">
        <v>10</v>
      </c>
      <c s="11"/>
      <c s="311" t="str">
        <f t="shared" si="7"/>
        <v>項目10</v>
      </c>
      <c s="243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321" t="str">
        <f t="shared" si="10"/>
        <v>--</v>
      </c>
      <c s="308" t="str">
        <f t="shared" si="11"/>
        <v>--</v>
      </c>
    </row>
    <row ht="15" hidden="1" customHeight="1">
      <c s="11">
        <v>11</v>
      </c>
      <c s="11"/>
      <c s="311" t="str">
        <f t="shared" si="7"/>
        <v>項目11</v>
      </c>
      <c s="243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321" t="str">
        <f t="shared" si="10"/>
        <v>--</v>
      </c>
      <c s="308" t="str">
        <f t="shared" si="11"/>
        <v>--</v>
      </c>
    </row>
    <row ht="15" hidden="1" customHeight="1">
      <c s="11">
        <v>12</v>
      </c>
      <c s="11"/>
      <c s="311" t="str">
        <f t="shared" si="7"/>
        <v>項目12</v>
      </c>
      <c s="243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321" t="str">
        <f t="shared" si="10"/>
        <v>--</v>
      </c>
      <c s="308" t="str">
        <f t="shared" si="11"/>
        <v>--</v>
      </c>
    </row>
    <row ht="15" hidden="1" customHeight="1">
      <c s="11">
        <v>13</v>
      </c>
      <c s="11"/>
      <c s="311" t="str">
        <f t="shared" si="7"/>
        <v>項目13</v>
      </c>
      <c s="243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321" t="str">
        <f t="shared" si="10"/>
        <v>--</v>
      </c>
      <c s="308" t="str">
        <f t="shared" si="11"/>
        <v>--</v>
      </c>
    </row>
    <row ht="15" hidden="1" customHeight="1">
      <c s="11">
        <v>14</v>
      </c>
      <c s="11"/>
      <c s="311" t="str">
        <f t="shared" si="7"/>
        <v>項目14</v>
      </c>
      <c s="243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321" t="str">
        <f t="shared" si="10"/>
        <v>--</v>
      </c>
      <c s="308" t="str">
        <f t="shared" si="11"/>
        <v>--</v>
      </c>
    </row>
    <row ht="15" hidden="1" customHeight="1">
      <c s="11">
        <v>15</v>
      </c>
      <c s="11"/>
      <c s="311" t="str">
        <f t="shared" si="7"/>
        <v>項目15</v>
      </c>
      <c s="243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321" t="str">
        <f t="shared" si="10"/>
        <v>--</v>
      </c>
      <c s="308" t="str">
        <f t="shared" si="11"/>
        <v>--</v>
      </c>
    </row>
    <row ht="15" hidden="1" customHeight="1">
      <c s="11">
        <v>16</v>
      </c>
      <c s="11"/>
      <c s="311" t="str">
        <f t="shared" si="7"/>
        <v>項目16</v>
      </c>
      <c s="243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321" t="str">
        <f t="shared" si="10"/>
        <v>--</v>
      </c>
      <c s="308" t="str">
        <f t="shared" si="11"/>
        <v>--</v>
      </c>
    </row>
    <row ht="15" hidden="1" customHeight="1">
      <c s="11">
        <v>17</v>
      </c>
      <c s="11"/>
      <c s="311" t="str">
        <f t="shared" si="7"/>
        <v>項目17</v>
      </c>
      <c s="243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321" t="str">
        <f t="shared" si="10"/>
        <v>--</v>
      </c>
      <c s="308" t="str">
        <f t="shared" si="11"/>
        <v>--</v>
      </c>
    </row>
    <row ht="15" hidden="1" customHeight="1">
      <c s="11">
        <v>18</v>
      </c>
      <c s="11"/>
      <c s="311" t="str">
        <f t="shared" si="7"/>
        <v>項目18</v>
      </c>
      <c s="243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321" t="str">
        <f t="shared" si="10"/>
        <v>--</v>
      </c>
      <c s="308" t="str">
        <f t="shared" si="11"/>
        <v>--</v>
      </c>
    </row>
    <row ht="15" hidden="1" customHeight="1">
      <c s="11">
        <v>19</v>
      </c>
      <c s="11"/>
      <c s="311" t="str">
        <f t="shared" si="7"/>
        <v>項目19</v>
      </c>
      <c s="243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321" t="str">
        <f t="shared" si="10"/>
        <v>--</v>
      </c>
      <c s="308" t="str">
        <f t="shared" si="11"/>
        <v>--</v>
      </c>
    </row>
    <row ht="15" hidden="1" customHeight="1">
      <c s="11">
        <v>20</v>
      </c>
      <c s="11"/>
      <c s="311" t="str">
        <f t="shared" si="7"/>
        <v>項目20</v>
      </c>
      <c s="243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321" t="str">
        <f t="shared" si="10"/>
        <v>--</v>
      </c>
      <c s="308" t="str">
        <f t="shared" si="11"/>
        <v>--</v>
      </c>
    </row>
    <row ht="15" hidden="1" customHeight="1">
      <c s="11">
        <v>21</v>
      </c>
      <c s="11"/>
      <c s="311" t="str">
        <f t="shared" si="7"/>
        <v>項目21</v>
      </c>
      <c s="243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321" t="str">
        <f t="shared" si="10"/>
        <v>--</v>
      </c>
      <c s="308" t="str">
        <f t="shared" si="11"/>
        <v>--</v>
      </c>
    </row>
    <row ht="15" hidden="1" customHeight="1">
      <c s="11">
        <v>22</v>
      </c>
      <c s="11"/>
      <c s="311" t="str">
        <f t="shared" si="7"/>
        <v>項目22</v>
      </c>
      <c s="243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23</v>
      </c>
      <c s="11"/>
      <c s="355" t="str">
        <f t="shared" si="7"/>
        <v>項目23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24</v>
      </c>
      <c s="11"/>
      <c s="355" t="str">
        <f t="shared" si="7"/>
        <v>項目24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25</v>
      </c>
      <c s="11"/>
      <c s="355" t="str">
        <f t="shared" si="7"/>
        <v>項目25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26</v>
      </c>
      <c s="11"/>
      <c s="355" t="str">
        <f t="shared" si="7"/>
        <v>項目26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27</v>
      </c>
      <c s="11"/>
      <c s="355" t="str">
        <f t="shared" si="7"/>
        <v>項目27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28</v>
      </c>
      <c s="11"/>
      <c s="355" t="str">
        <f t="shared" si="7"/>
        <v>項目28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29</v>
      </c>
      <c s="11"/>
      <c s="355" t="str">
        <f t="shared" si="7"/>
        <v>項目29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30</v>
      </c>
      <c s="11"/>
      <c s="355" t="str">
        <f t="shared" si="7"/>
        <v>項目30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31</v>
      </c>
      <c s="11"/>
      <c s="355" t="str">
        <f t="shared" si="7"/>
        <v>項目31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32</v>
      </c>
      <c s="11"/>
      <c s="355" t="str">
        <f t="shared" si="7"/>
        <v>項目32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33</v>
      </c>
      <c s="11"/>
      <c s="355" t="str">
        <f t="shared" si="7"/>
        <v>項目33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34</v>
      </c>
      <c s="11"/>
      <c s="355" t="str">
        <f t="shared" si="7"/>
        <v>項目34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35</v>
      </c>
      <c s="11"/>
      <c s="355" t="str">
        <f t="shared" si="7"/>
        <v>項目35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36</v>
      </c>
      <c s="11"/>
      <c s="355" t="str">
        <f t="shared" si="7"/>
        <v>項目36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37</v>
      </c>
      <c s="11"/>
      <c s="355" t="str">
        <f t="shared" si="7"/>
        <v>項目37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38</v>
      </c>
      <c s="11"/>
      <c s="355" t="str">
        <f t="shared" si="7"/>
        <v>項目38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39</v>
      </c>
      <c s="11"/>
      <c s="355" t="str">
        <f t="shared" si="7"/>
        <v>項目39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40</v>
      </c>
      <c s="11"/>
      <c s="355" t="str">
        <f t="shared" si="7"/>
        <v>項目40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41</v>
      </c>
      <c s="11"/>
      <c s="355" t="str">
        <f t="shared" si="7"/>
        <v>項目41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42</v>
      </c>
      <c s="11"/>
      <c s="355" t="str">
        <f t="shared" si="7"/>
        <v>項目42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43</v>
      </c>
      <c s="11"/>
      <c s="355" t="str">
        <f t="shared" si="7"/>
        <v>項目43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44</v>
      </c>
      <c s="11"/>
      <c s="355" t="str">
        <f t="shared" si="7"/>
        <v>項目44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45</v>
      </c>
      <c s="11"/>
      <c s="355" t="str">
        <f t="shared" si="7"/>
        <v>項目45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46</v>
      </c>
      <c s="11"/>
      <c s="355" t="str">
        <f t="shared" si="7"/>
        <v>項目46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47</v>
      </c>
      <c s="11"/>
      <c s="355" t="str">
        <f t="shared" si="7"/>
        <v>項目47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48</v>
      </c>
      <c s="11"/>
      <c s="355" t="str">
        <f t="shared" si="7"/>
        <v>項目48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>
      <c s="11">
        <v>49</v>
      </c>
      <c s="11"/>
      <c s="355" t="str">
        <f t="shared" si="7"/>
        <v>項目49</v>
      </c>
      <c s="26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95" t="str">
        <f t="shared" si="10"/>
        <v>--</v>
      </c>
      <c s="308" t="str">
        <f t="shared" si="11"/>
        <v>--</v>
      </c>
    </row>
    <row ht="15" hidden="1" customHeight="1" thickBot="1">
      <c s="11">
        <v>50</v>
      </c>
      <c s="11"/>
      <c s="329" t="str">
        <f t="shared" si="7"/>
        <v>項目50</v>
      </c>
      <c s="257" t="str">
        <f t="shared" si="8"/>
        <v>--</v>
      </c>
      <c s="49" t="str">
        <f t="shared" si="8"/>
        <v>--</v>
      </c>
      <c s="49" t="str">
        <f t="shared" si="8"/>
        <v>--</v>
      </c>
      <c s="49" t="str">
        <f t="shared" si="8"/>
        <v>--</v>
      </c>
      <c s="49" t="str">
        <f t="shared" si="8"/>
        <v>--</v>
      </c>
      <c s="49" t="str">
        <f t="shared" si="9"/>
        <v>--</v>
      </c>
      <c s="49" t="str">
        <f t="shared" si="9"/>
        <v>--</v>
      </c>
      <c s="49" t="str">
        <f t="shared" si="9"/>
        <v>--</v>
      </c>
      <c s="49" t="str">
        <f t="shared" si="9"/>
        <v>--</v>
      </c>
      <c s="49" t="str">
        <f t="shared" si="9"/>
        <v>--</v>
      </c>
      <c s="49" t="str">
        <f t="shared" si="10"/>
        <v>--</v>
      </c>
      <c s="190" t="str">
        <f t="shared" si="10"/>
        <v>--</v>
      </c>
      <c s="351" t="str">
        <f t="shared" si="11"/>
        <v>--</v>
      </c>
    </row>
    <row ht="9.75" customHeight="1" thickBot="1">
      <c s="35"/>
      <c s="35"/>
      <c s="188"/>
      <c s="44"/>
      <c s="44"/>
      <c s="44"/>
      <c s="44"/>
      <c s="44"/>
      <c s="44"/>
      <c s="44"/>
      <c s="44"/>
      <c s="44"/>
      <c s="44"/>
      <c s="44"/>
      <c s="44"/>
      <c s="196"/>
    </row>
    <row ht="15" customHeight="1" thickBot="1">
      <c s="11">
        <v>1</v>
      </c>
      <c s="40"/>
      <c s="153" t="s">
        <v>32</v>
      </c>
      <c s="263">
        <f t="shared" si="12" ref="D141:O141">IF(INDEX(累計前年分析データ期間合計,$A141,D$32*4+$E$1)="", "--", INDEX(累計前年分析データ期間合計,$A141,D$32*4+$E$1)/$G$1)</f>
        <v>5400883.2137094</v>
      </c>
      <c s="48">
        <f t="shared" si="12"/>
        <v>5540939.1730982997</v>
      </c>
      <c s="48">
        <f t="shared" si="12"/>
        <v>5425939.3401120994</v>
      </c>
      <c s="48">
        <f t="shared" si="12"/>
        <v>5560630.3103619004</v>
      </c>
      <c s="48">
        <f t="shared" si="12"/>
        <v>5412652.3528284999</v>
      </c>
      <c s="48">
        <f t="shared" si="12"/>
        <v>5436869.8510897001</v>
      </c>
      <c s="48">
        <f t="shared" si="12"/>
        <v>5601018.4872607002</v>
      </c>
      <c s="48">
        <f t="shared" si="12"/>
        <v>5460755.2664422002</v>
      </c>
      <c s="48">
        <f t="shared" si="12"/>
        <v>6566632.0606183</v>
      </c>
      <c s="48">
        <f t="shared" si="12"/>
        <v>10659558.7272429</v>
      </c>
      <c s="48">
        <f t="shared" si="12"/>
        <v>10367609.686828101</v>
      </c>
      <c s="193">
        <f t="shared" si="12"/>
        <v>10998290.871477101</v>
      </c>
      <c s="199">
        <f>IF(INDEX(合算前年分析データ合計, $A141, $E$1)="", "--", INDEX(合算前年分析データ合計, $A141, $E$1)/$G$1)</f>
        <v>82431779.341069192</v>
      </c>
    </row>
    <row ht="15" customHeight="1"/>
    <row ht="15" customHeight="1"/>
    <row ht="24" customHeight="1" s="87" customFormat="1">
      <c r="C144" s="99" t="str">
        <f>"比較【 " &amp; 分析種別名称 &amp; " 実績推移(" &amp; $D$1 &amp; ") 】" &amp; PI値モード名称</f>
        <v>比較【 カテゴリー別 実績推移(金額) 】</v>
      </c>
      <c s="27"/>
      <c s="27"/>
      <c s="27"/>
      <c s="27"/>
      <c s="27"/>
      <c s="27"/>
      <c s="27"/>
      <c s="27"/>
      <c s="27"/>
      <c s="27"/>
      <c s="27"/>
      <c s="27"/>
      <c s="19"/>
    </row>
    <row ht="12.75" customHeight="1" s="40" customFormat="1">
      <c r="C145" s="94"/>
      <c s="19"/>
      <c s="19"/>
      <c s="19"/>
      <c s="19"/>
      <c s="19"/>
      <c s="19"/>
      <c s="19"/>
      <c s="19"/>
      <c s="19"/>
      <c s="19"/>
      <c s="19"/>
      <c s="19"/>
      <c s="101" t="str">
        <f>IF(比較POS名称="","",比較POS名称) &amp;  " (" &amp; IF(年度開始年月=分析終了年月,年度開始年月,年度開始年月&amp;"～"&amp;分析終了年月) &amp; ")"</f>
        <v>RDS06 スーパー  00 全国 (2019年4月～2020年3月)</v>
      </c>
    </row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 thickBot="1">
      <c r="D174" s="11">
        <v>0</v>
      </c>
      <c s="11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</row>
    <row ht="18" customHeight="1" thickBot="1" s="40" customFormat="1">
      <c r="C175" s="108" t="str">
        <f>分析オプション&amp;"　単位：" &amp; $F$1</f>
        <v xml:space="preserve"> [税抜分析]　単位：千円</v>
      </c>
      <c s="100" t="str">
        <f>INFO!AC$4</f>
        <v>4月</v>
      </c>
      <c s="28" t="str">
        <f>INFO!AD$4</f>
        <v>5月</v>
      </c>
      <c s="28" t="str">
        <f>INFO!AE$4</f>
        <v>6月</v>
      </c>
      <c s="28" t="str">
        <f>INFO!AF$4</f>
        <v>7月</v>
      </c>
      <c s="28" t="str">
        <f>INFO!AG$4</f>
        <v>8月</v>
      </c>
      <c s="28" t="str">
        <f>INFO!AH$4</f>
        <v>9月</v>
      </c>
      <c s="28" t="str">
        <f>INFO!AI$4</f>
        <v>10月</v>
      </c>
      <c s="28" t="str">
        <f>INFO!AJ$4</f>
        <v>11月</v>
      </c>
      <c s="28" t="str">
        <f>INFO!AK$4</f>
        <v>12月</v>
      </c>
      <c s="28" t="str">
        <f>INFO!AL$4</f>
        <v>1月</v>
      </c>
      <c s="28" t="str">
        <f>INFO!AM$4</f>
        <v>2月</v>
      </c>
      <c s="105" t="str">
        <f>INFO!AN$4</f>
        <v>3月</v>
      </c>
      <c s="117" t="str">
        <f>IF(INFO!$D$13=3,"累計","合計")</f>
        <v>合計</v>
      </c>
    </row>
    <row ht="15" customHeight="1" s="40" customFormat="1">
      <c s="11">
        <v>1</v>
      </c>
      <c s="11"/>
      <c s="152" t="str">
        <f t="shared" si="13" ref="C176:C225">IF(INDEX(項目,$A176,1)="","",INDEX(項目,$A176,1))</f>
        <v>加工食品</v>
      </c>
      <c s="276">
        <f t="shared" si="14" ref="D176:H225">IF(INDEX(累計比較データ,$A176,D$174*4+$E$1)="", "--", INDEX(累計比較データ,$A176,D$174*4+$E$1)/$G$1)</f>
        <v>3946504.0868632002</v>
      </c>
      <c s="102">
        <f t="shared" si="14"/>
        <v>3971531.2973945998</v>
      </c>
      <c s="102">
        <f t="shared" si="14"/>
        <v>3871812.8697519</v>
      </c>
      <c s="102">
        <f t="shared" si="14"/>
        <v>3926607.6978435996</v>
      </c>
      <c s="102">
        <f t="shared" si="14"/>
        <v>4098441.4436834003</v>
      </c>
      <c s="102">
        <f t="shared" si="15" ref="I176:M225">IF(INDEX(累計比較データ,$A176,I$174*4+$E$1)="", "--", INDEX(累計比較データ,$A176,I$174*4+$E$1)/$G$1)</f>
        <v>3957499.6168300998</v>
      </c>
      <c s="102">
        <f t="shared" si="15"/>
        <v>4020451.4682773999</v>
      </c>
      <c s="102">
        <f t="shared" si="15"/>
        <v>3878326.8930830001</v>
      </c>
      <c s="102">
        <f t="shared" si="15"/>
        <v>4887963.4468533006</v>
      </c>
      <c s="102">
        <f t="shared" si="15"/>
        <v>3781648.5189918</v>
      </c>
      <c s="102">
        <f t="shared" si="16" ref="N176:O225">IF(INDEX(累計比較データ,$A176,N$174*4+$E$1)="", "--", INDEX(累計比較データ,$A176,N$174*4+$E$1)/$G$1)</f>
        <v>3998841.8733489998</v>
      </c>
      <c s="283">
        <f t="shared" si="16"/>
        <v>4379669.1909587001</v>
      </c>
      <c s="253">
        <f t="shared" si="17" ref="P176:P225">IF(INDEX(合算比較データ, $A176, $E$1)="", "--", INDEX(合算比較データ, $A176, $E$1)/$G$1)</f>
        <v>48719298.40388</v>
      </c>
    </row>
    <row ht="15" customHeight="1" s="40" customFormat="1">
      <c s="11">
        <v>2</v>
      </c>
      <c s="11"/>
      <c s="145" t="str">
        <f t="shared" si="13"/>
        <v>生鮮食品</v>
      </c>
      <c s="243">
        <f t="shared" si="14"/>
        <v>4100224.923682</v>
      </c>
      <c s="47">
        <f t="shared" si="14"/>
        <v>4116517.6695494</v>
      </c>
      <c s="47">
        <f t="shared" si="14"/>
        <v>3979256.4604479</v>
      </c>
      <c s="47">
        <f t="shared" si="14"/>
        <v>3955551.9132472002</v>
      </c>
      <c s="47">
        <f t="shared" si="14"/>
        <v>4311220.4389890004</v>
      </c>
      <c s="47">
        <f t="shared" si="15"/>
        <v>4162987.9128848999</v>
      </c>
      <c s="47">
        <f t="shared" si="15"/>
        <v>4269068.6092112996</v>
      </c>
      <c s="47">
        <f t="shared" si="15"/>
        <v>4017732.1297891997</v>
      </c>
      <c s="47">
        <f t="shared" si="15"/>
        <v>5013957.9985754006</v>
      </c>
      <c s="47">
        <f t="shared" si="15"/>
        <v>4128172.7951278002</v>
      </c>
      <c s="47">
        <f t="shared" si="16"/>
        <v>4011830.9881465998</v>
      </c>
      <c s="195">
        <f t="shared" si="16"/>
        <v>4414592.6837259</v>
      </c>
      <c s="220">
        <f t="shared" si="17"/>
        <v>50481114.523376599</v>
      </c>
    </row>
    <row ht="15" customHeight="1" s="40" customFormat="1">
      <c s="11">
        <v>3</v>
      </c>
      <c s="11"/>
      <c s="145" t="str">
        <f t="shared" si="13"/>
        <v>菓子類</v>
      </c>
      <c s="243">
        <f t="shared" si="14"/>
        <v>981868.21214199997</v>
      </c>
      <c s="47">
        <f t="shared" si="14"/>
        <v>998629.10204320005</v>
      </c>
      <c s="47">
        <f t="shared" si="14"/>
        <v>969685.32399139996</v>
      </c>
      <c s="47">
        <f t="shared" si="14"/>
        <v>993141.7109068</v>
      </c>
      <c s="47">
        <f t="shared" si="14"/>
        <v>1044617.7579622001</v>
      </c>
      <c s="47">
        <f t="shared" si="15"/>
        <v>947113.22803629993</v>
      </c>
      <c s="47">
        <f t="shared" si="15"/>
        <v>942774.54642219993</v>
      </c>
      <c s="47">
        <f t="shared" si="15"/>
        <v>889805.68419149995</v>
      </c>
      <c s="47">
        <f t="shared" si="15"/>
        <v>1062810.8331648998</v>
      </c>
      <c s="47">
        <f t="shared" si="15"/>
        <v>898534.50171760004</v>
      </c>
      <c s="47">
        <f t="shared" si="16"/>
        <v>993338.38227920001</v>
      </c>
      <c s="195">
        <f t="shared" si="16"/>
        <v>1084319.6857103</v>
      </c>
      <c s="220">
        <f t="shared" si="17"/>
        <v>11806638.9685676</v>
      </c>
    </row>
    <row ht="15" hidden="1" customHeight="1" s="40" customFormat="1">
      <c s="11">
        <v>4</v>
      </c>
      <c s="11"/>
      <c s="145" t="str">
        <f t="shared" si="13"/>
        <v>項目4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5</v>
      </c>
      <c s="11"/>
      <c s="145" t="str">
        <f t="shared" si="13"/>
        <v>項目5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6</v>
      </c>
      <c s="11"/>
      <c s="145" t="str">
        <f t="shared" si="13"/>
        <v>項目6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7</v>
      </c>
      <c s="11"/>
      <c s="145" t="str">
        <f t="shared" si="13"/>
        <v>項目7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8</v>
      </c>
      <c s="11"/>
      <c s="145" t="str">
        <f t="shared" si="13"/>
        <v>項目8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9</v>
      </c>
      <c s="11"/>
      <c s="145" t="str">
        <f t="shared" si="13"/>
        <v>項目9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10</v>
      </c>
      <c s="11"/>
      <c s="145" t="str">
        <f t="shared" si="13"/>
        <v>項目10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11</v>
      </c>
      <c s="11"/>
      <c s="145" t="str">
        <f t="shared" si="13"/>
        <v>項目11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12</v>
      </c>
      <c s="11"/>
      <c s="145" t="str">
        <f t="shared" si="13"/>
        <v>項目12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13</v>
      </c>
      <c s="11"/>
      <c s="145" t="str">
        <f t="shared" si="13"/>
        <v>項目13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14</v>
      </c>
      <c s="11"/>
      <c s="145" t="str">
        <f t="shared" si="13"/>
        <v>項目14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15</v>
      </c>
      <c s="11"/>
      <c s="145" t="str">
        <f t="shared" si="13"/>
        <v>項目15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16</v>
      </c>
      <c s="11"/>
      <c s="145" t="str">
        <f t="shared" si="13"/>
        <v>項目16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17</v>
      </c>
      <c s="11"/>
      <c s="145" t="str">
        <f t="shared" si="13"/>
        <v>項目17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18</v>
      </c>
      <c s="11"/>
      <c s="145" t="str">
        <f t="shared" si="13"/>
        <v>項目18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19</v>
      </c>
      <c s="11"/>
      <c s="145" t="str">
        <f t="shared" si="13"/>
        <v>項目19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20</v>
      </c>
      <c s="11"/>
      <c s="145" t="str">
        <f t="shared" si="13"/>
        <v>項目20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21</v>
      </c>
      <c s="11"/>
      <c s="145" t="str">
        <f t="shared" si="13"/>
        <v>項目21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22</v>
      </c>
      <c s="11"/>
      <c s="145" t="str">
        <f t="shared" si="13"/>
        <v>項目22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23</v>
      </c>
      <c s="11"/>
      <c s="145" t="str">
        <f t="shared" si="13"/>
        <v>項目23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24</v>
      </c>
      <c s="11"/>
      <c s="145" t="str">
        <f t="shared" si="13"/>
        <v>項目24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25</v>
      </c>
      <c s="11"/>
      <c s="145" t="str">
        <f t="shared" si="13"/>
        <v>項目25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26</v>
      </c>
      <c s="11"/>
      <c s="145" t="str">
        <f t="shared" si="13"/>
        <v>項目26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27</v>
      </c>
      <c s="11"/>
      <c s="145" t="str">
        <f t="shared" si="13"/>
        <v>項目27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28</v>
      </c>
      <c s="11"/>
      <c s="145" t="str">
        <f t="shared" si="13"/>
        <v>項目28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29</v>
      </c>
      <c s="11"/>
      <c s="145" t="str">
        <f t="shared" si="13"/>
        <v>項目29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30</v>
      </c>
      <c s="11"/>
      <c s="145" t="str">
        <f t="shared" si="13"/>
        <v>項目30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31</v>
      </c>
      <c s="11"/>
      <c s="145" t="str">
        <f t="shared" si="13"/>
        <v>項目31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32</v>
      </c>
      <c s="11"/>
      <c s="145" t="str">
        <f t="shared" si="13"/>
        <v>項目32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33</v>
      </c>
      <c s="11"/>
      <c s="145" t="str">
        <f t="shared" si="13"/>
        <v>項目33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34</v>
      </c>
      <c s="11"/>
      <c s="145" t="str">
        <f t="shared" si="13"/>
        <v>項目34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35</v>
      </c>
      <c s="11"/>
      <c s="145" t="str">
        <f t="shared" si="13"/>
        <v>項目35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36</v>
      </c>
      <c s="11"/>
      <c s="145" t="str">
        <f t="shared" si="13"/>
        <v>項目36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37</v>
      </c>
      <c s="11"/>
      <c s="145" t="str">
        <f t="shared" si="13"/>
        <v>項目37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38</v>
      </c>
      <c s="11"/>
      <c s="145" t="str">
        <f t="shared" si="13"/>
        <v>項目38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39</v>
      </c>
      <c s="11"/>
      <c s="145" t="str">
        <f t="shared" si="13"/>
        <v>項目39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40</v>
      </c>
      <c s="11"/>
      <c s="145" t="str">
        <f t="shared" si="13"/>
        <v>項目40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41</v>
      </c>
      <c s="11"/>
      <c s="145" t="str">
        <f t="shared" si="13"/>
        <v>項目41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42</v>
      </c>
      <c s="11"/>
      <c s="145" t="str">
        <f t="shared" si="13"/>
        <v>項目42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43</v>
      </c>
      <c s="11"/>
      <c s="145" t="str">
        <f t="shared" si="13"/>
        <v>項目43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44</v>
      </c>
      <c s="11"/>
      <c s="145" t="str">
        <f t="shared" si="13"/>
        <v>項目44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45</v>
      </c>
      <c s="11"/>
      <c s="145" t="str">
        <f t="shared" si="13"/>
        <v>項目45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46</v>
      </c>
      <c s="11"/>
      <c s="145" t="str">
        <f t="shared" si="13"/>
        <v>項目46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47</v>
      </c>
      <c s="11"/>
      <c s="145" t="str">
        <f t="shared" si="13"/>
        <v>項目47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48</v>
      </c>
      <c s="11"/>
      <c s="145" t="str">
        <f t="shared" si="13"/>
        <v>項目48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s="40" customFormat="1">
      <c s="11">
        <v>49</v>
      </c>
      <c s="11"/>
      <c s="145" t="str">
        <f t="shared" si="13"/>
        <v>項目49</v>
      </c>
      <c s="243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95" t="str">
        <f t="shared" si="16"/>
        <v>--</v>
      </c>
      <c s="220" t="str">
        <f t="shared" si="17"/>
        <v>--</v>
      </c>
    </row>
    <row ht="15" hidden="1" customHeight="1" thickBot="1" s="40" customFormat="1">
      <c s="11">
        <v>50</v>
      </c>
      <c s="11"/>
      <c s="138" t="str">
        <f t="shared" si="13"/>
        <v>項目50</v>
      </c>
      <c s="305" t="str">
        <f t="shared" si="14"/>
        <v>--</v>
      </c>
      <c s="49" t="str">
        <f t="shared" si="14"/>
        <v>--</v>
      </c>
      <c s="49" t="str">
        <f t="shared" si="14"/>
        <v>--</v>
      </c>
      <c s="49" t="str">
        <f t="shared" si="14"/>
        <v>--</v>
      </c>
      <c s="49" t="str">
        <f t="shared" si="14"/>
        <v>--</v>
      </c>
      <c s="49" t="str">
        <f t="shared" si="15"/>
        <v>--</v>
      </c>
      <c s="49" t="str">
        <f t="shared" si="15"/>
        <v>--</v>
      </c>
      <c s="49" t="str">
        <f t="shared" si="15"/>
        <v>--</v>
      </c>
      <c s="49" t="str">
        <f t="shared" si="15"/>
        <v>--</v>
      </c>
      <c s="49" t="str">
        <f t="shared" si="15"/>
        <v>--</v>
      </c>
      <c s="49" t="str">
        <f t="shared" si="16"/>
        <v>--</v>
      </c>
      <c s="190" t="str">
        <f t="shared" si="16"/>
        <v>--</v>
      </c>
      <c s="254" t="str">
        <f t="shared" si="17"/>
        <v>--</v>
      </c>
    </row>
    <row ht="6.75" customHeight="1" thickBot="1">
      <c s="35"/>
      <c s="35"/>
      <c s="188"/>
      <c s="44"/>
      <c s="44"/>
      <c s="44"/>
      <c s="44"/>
      <c s="44"/>
      <c s="44"/>
      <c s="44"/>
      <c s="44"/>
      <c s="44"/>
      <c s="44"/>
      <c s="44"/>
      <c s="44"/>
      <c s="196"/>
    </row>
    <row ht="19.5" customHeight="1" thickBot="1" s="40" customFormat="1">
      <c s="11">
        <v>1</v>
      </c>
      <c r="C227" s="153" t="s">
        <v>32</v>
      </c>
      <c s="317">
        <f t="shared" si="18" ref="D227:O227">IF(INDEX(累計比較データ期間合計,$A227,D$174*4+$E$1)="", "--", INDEX(累計比較データ期間合計,$A227,D$174*4+$E$1)/$G$1)</f>
        <v>9028597.2226871997</v>
      </c>
      <c s="48">
        <f t="shared" si="18"/>
        <v>9086678.0689872</v>
      </c>
      <c s="48">
        <f t="shared" si="18"/>
        <v>8820754.6541911997</v>
      </c>
      <c s="48">
        <f t="shared" si="18"/>
        <v>8875301.3219975997</v>
      </c>
      <c s="48">
        <f t="shared" si="18"/>
        <v>9454279.6406346001</v>
      </c>
      <c s="48">
        <f t="shared" si="18"/>
        <v>9067600.7577513009</v>
      </c>
      <c s="48">
        <f t="shared" si="18"/>
        <v>9232294.6239109002</v>
      </c>
      <c s="48">
        <f t="shared" si="18"/>
        <v>8785864.7070636991</v>
      </c>
      <c s="48">
        <f t="shared" si="18"/>
        <v>10964732.2785936</v>
      </c>
      <c s="48">
        <f t="shared" si="18"/>
        <v>8808355.8158372007</v>
      </c>
      <c s="48">
        <f t="shared" si="18"/>
        <v>9004011.2437747996</v>
      </c>
      <c s="193">
        <f t="shared" si="18"/>
        <v>9878581.5603948999</v>
      </c>
      <c s="199">
        <f>IF(INDEX(合算比較データ合計, $A227, $E$1)="", "--", INDEX(合算比較データ合計, $A227, $E$1)/$G$1)</f>
        <v>111007051.895824</v>
      </c>
    </row>
    <row ht="9" customHeight="1"/>
    <row ht="12" customHeight="1"/>
  </sheetData>
  <dataValidations count="1">
    <dataValidation type="list" allowBlank="1" showInputMessage="1" showErrorMessage="1" sqref="D1">
      <formula1>リスト用値単位</formula1>
    </dataValidation>
  </dataValidations>
  <printOptions horizontalCentered="1"/>
  <pageMargins left="0.59055118110236215" right="0.59055118110236215" top="0.59055118110236215" bottom="0.59055118110236215" header="0.31496062992125989" footer="0.31496062992125989"/>
  <pageSetup paperSize="9" scale="63" orientation="landscape" verticalDpi="300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278"/>
  <sheetViews>
    <sheetView zoomScale="75" workbookViewId="0">
      <pane xSplit="3" ySplit="0" topLeftCell="D1" activePane="topRight" state="frozen"/>
    </sheetView>
  </sheetViews>
  <sheetFormatPr defaultColWidth="5.625" defaultRowHeight="12"/>
  <cols>
    <col min="1" max="1" width="2.125" style="60" customWidth="1"/>
    <col min="2" max="2" width="1.625" style="60" customWidth="1"/>
    <col min="3" max="3" width="35.5" style="109" customWidth="1"/>
    <col min="4" max="15" width="11.625" style="40" customWidth="1"/>
    <col min="16" max="16" width="15.625" style="40" customWidth="1"/>
    <col min="17" max="17" width="1.625" style="60" customWidth="1"/>
    <col min="18" max="18" width="2.125" style="60" customWidth="1"/>
    <col min="19" max="16384" width="5.625" style="60"/>
  </cols>
  <sheetData>
    <row ht="24" customHeight="1" s="40" customFormat="1">
      <c s="11"/>
      <c r="C1" s="194" t="s">
        <v>136</v>
      </c>
      <c s="149" t="s">
        <v>1</v>
      </c>
      <c s="11">
        <f>VLOOKUP($D$1, 値単位リスト, 2, FALSE)</f>
        <v>2</v>
      </c>
      <c s="11" t="str">
        <f>VLOOKUP($D$1, 値単位リスト, 3, FALSE)</f>
        <v>千円</v>
      </c>
      <c s="11">
        <f>VLOOKUP($D$1, 値単位リスト, 4, FALSE)</f>
        <v>1000</v>
      </c>
      <c s="11"/>
      <c s="11"/>
      <c s="11"/>
      <c s="11"/>
      <c s="11"/>
      <c s="11"/>
      <c s="11"/>
      <c s="11"/>
      <c s="11"/>
      <c s="11"/>
      <c s="11"/>
    </row>
    <row ht="24" customHeight="1" s="87" customFormat="1">
      <c s="126"/>
      <c r="C2" s="99" t="str">
        <f>"【 " &amp; 分析種別名称 &amp; " 構成比推移(" &amp; $D$1 &amp; ") 】" &amp; PI値モード名称</f>
        <v>【 カテゴリー別 構成比推移(金額) 】</v>
      </c>
      <c s="19"/>
      <c s="19"/>
      <c s="19"/>
      <c s="19"/>
      <c s="19"/>
      <c s="19"/>
      <c s="19"/>
      <c s="19"/>
      <c s="19"/>
      <c s="19"/>
      <c s="19"/>
      <c s="19"/>
      <c s="19"/>
    </row>
    <row ht="12.75" customHeight="1" s="40" customFormat="1">
      <c s="11"/>
      <c r="C3" s="94"/>
      <c s="19"/>
      <c s="19"/>
      <c s="19"/>
      <c s="19"/>
      <c s="19"/>
      <c s="19"/>
      <c s="19"/>
      <c s="19"/>
      <c s="19"/>
      <c s="19"/>
      <c s="19"/>
      <c s="19"/>
      <c s="101" t="str">
        <f>IF(分析POS名称="","",分析POS名称) &amp;  " (" &amp; IF(年度開始年月=分析終了年月,年度開始年月,年度開始年月&amp;"～"&amp;分析終了年月) &amp; ")"</f>
        <v>RDS06 スーパー  04 首都圏 (2019年4月～2020年3月)</v>
      </c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 thickBot="1">
      <c s="11"/>
      <c s="40"/>
      <c s="98"/>
      <c s="11">
        <v>0</v>
      </c>
      <c s="11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</row>
    <row ht="18" customHeight="1" thickBot="1" s="40" customFormat="1">
      <c s="11"/>
      <c r="C33" s="108" t="str">
        <f>分析オプション&amp;"　単位：％"</f>
        <v xml:space="preserve"> [税抜分析]　単位：％</v>
      </c>
      <c s="100" t="str">
        <f>INFO!AC$4</f>
        <v>4月</v>
      </c>
      <c s="28" t="str">
        <f>INFO!AD$4</f>
        <v>5月</v>
      </c>
      <c s="28" t="str">
        <f>INFO!AE$4</f>
        <v>6月</v>
      </c>
      <c s="28" t="str">
        <f>INFO!AF$4</f>
        <v>7月</v>
      </c>
      <c s="28" t="str">
        <f>INFO!AG$4</f>
        <v>8月</v>
      </c>
      <c s="28" t="str">
        <f>INFO!AH$4</f>
        <v>9月</v>
      </c>
      <c s="28" t="str">
        <f>INFO!AI$4</f>
        <v>10月</v>
      </c>
      <c s="28" t="str">
        <f>INFO!AJ$4</f>
        <v>11月</v>
      </c>
      <c s="28" t="str">
        <f>INFO!AK$4</f>
        <v>12月</v>
      </c>
      <c s="28" t="str">
        <f>INFO!AL$4</f>
        <v>1月</v>
      </c>
      <c s="28" t="str">
        <f>INFO!AM$4</f>
        <v>2月</v>
      </c>
      <c s="105" t="str">
        <f>INFO!AN$4</f>
        <v>3月</v>
      </c>
      <c s="117" t="s">
        <v>62</v>
      </c>
    </row>
    <row ht="15" customHeight="1" s="40" customFormat="1">
      <c s="11">
        <v>1</v>
      </c>
      <c r="C34" s="187" t="str">
        <f t="shared" si="0" ref="C34:C83">IF(INDEX(項目,$A34,1)="","",INDEX(項目,$A34,1))</f>
        <v>加工食品</v>
      </c>
      <c s="160">
        <f t="shared" si="1" ref="D34:H83">IF(ISERROR(D87/D$138), "--", D87/D$138*100)</f>
        <v>44.356822924018061</v>
      </c>
      <c s="41">
        <f t="shared" si="1"/>
        <v>43.186969783956727</v>
      </c>
      <c s="41">
        <f t="shared" si="1"/>
        <v>44.792371647711455</v>
      </c>
      <c s="41">
        <f t="shared" si="1"/>
        <v>43.583520160978765</v>
      </c>
      <c s="41">
        <f t="shared" si="1"/>
        <v>43.559092691910521</v>
      </c>
      <c s="41">
        <f t="shared" si="2" ref="I34:M83">IF(ISERROR(I87/I$138), "--", I87/I$138*100)</f>
        <v>45.021172911696986</v>
      </c>
      <c s="41">
        <f t="shared" si="2"/>
        <v>44.709082668490787</v>
      </c>
      <c s="41">
        <f t="shared" si="2"/>
        <v>45.998692860493399</v>
      </c>
      <c s="41">
        <f t="shared" si="2"/>
        <v>45.763405626485195</v>
      </c>
      <c s="41">
        <f t="shared" si="2"/>
        <v>44.097327860460808</v>
      </c>
      <c s="41">
        <f t="shared" si="3" ref="N34:O83">IF(ISERROR(N87/N$138), "--", N87/N$138*100)</f>
        <v>44.594912460985377</v>
      </c>
      <c s="186">
        <f t="shared" si="3"/>
        <v>45.883649312940328</v>
      </c>
      <c s="170">
        <f t="shared" si="4" ref="P34:P83">IF(ISERROR(AVERAGE($D34:$O34)), "--", AVERAGE($D34:$O34))</f>
        <v>44.628918409177366</v>
      </c>
    </row>
    <row ht="15" customHeight="1" s="40" customFormat="1">
      <c s="11">
        <v>2</v>
      </c>
      <c r="C35" s="221" t="str">
        <f t="shared" si="0"/>
        <v>生鮮食品</v>
      </c>
      <c s="166">
        <f t="shared" si="1"/>
        <v>45.113616296247983</v>
      </c>
      <c s="34">
        <f t="shared" si="1"/>
        <v>46.447374408560528</v>
      </c>
      <c s="34">
        <f t="shared" si="1"/>
        <v>44.356810142091227</v>
      </c>
      <c s="34">
        <f t="shared" si="1"/>
        <v>45.946739077745391</v>
      </c>
      <c s="34">
        <f t="shared" si="1"/>
        <v>45.937851681636531</v>
      </c>
      <c s="34">
        <f t="shared" si="2"/>
        <v>44.71223942633813</v>
      </c>
      <c s="34">
        <f t="shared" si="2"/>
        <v>45.198755058485666</v>
      </c>
      <c s="34">
        <f t="shared" si="2"/>
        <v>43.928282440230895</v>
      </c>
      <c s="34">
        <f t="shared" si="2"/>
        <v>44.793871723894092</v>
      </c>
      <c s="34">
        <f t="shared" si="2"/>
        <v>45.924294050935103</v>
      </c>
      <c s="34">
        <f t="shared" si="3"/>
        <v>44.812831177086601</v>
      </c>
      <c s="155">
        <f t="shared" si="3"/>
        <v>43.550163100969478</v>
      </c>
      <c s="158">
        <f t="shared" si="4"/>
        <v>45.060235715351801</v>
      </c>
    </row>
    <row ht="15" customHeight="1" s="40" customFormat="1">
      <c s="11">
        <v>3</v>
      </c>
      <c r="C36" s="221" t="str">
        <f t="shared" si="0"/>
        <v>菓子類</v>
      </c>
      <c s="166">
        <f t="shared" si="1"/>
        <v>10.529560779733957</v>
      </c>
      <c s="34">
        <f t="shared" si="1"/>
        <v>10.36565580748276</v>
      </c>
      <c s="34">
        <f t="shared" si="1"/>
        <v>10.850818210197307</v>
      </c>
      <c s="34">
        <f t="shared" si="1"/>
        <v>10.469740761275837</v>
      </c>
      <c s="34">
        <f t="shared" si="1"/>
        <v>10.50305562645295</v>
      </c>
      <c s="34">
        <f t="shared" si="2"/>
        <v>10.266587661964895</v>
      </c>
      <c s="34">
        <f t="shared" si="2"/>
        <v>10.092162273023552</v>
      </c>
      <c s="34">
        <f t="shared" si="2"/>
        <v>10.073024699275699</v>
      </c>
      <c s="34">
        <f t="shared" si="2"/>
        <v>9.4427226496206984</v>
      </c>
      <c s="34">
        <f t="shared" si="2"/>
        <v>9.9783780886040869</v>
      </c>
      <c s="34">
        <f t="shared" si="3"/>
        <v>10.592256361928023</v>
      </c>
      <c s="155">
        <f t="shared" si="3"/>
        <v>10.566187586090198</v>
      </c>
      <c s="158">
        <f t="shared" si="4"/>
        <v>10.310845875470827</v>
      </c>
    </row>
    <row ht="15" hidden="1" customHeight="1" s="40" customFormat="1">
      <c s="11">
        <v>4</v>
      </c>
      <c r="C37" s="221" t="str">
        <f t="shared" si="0"/>
        <v>項目4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5</v>
      </c>
      <c r="C38" s="221" t="str">
        <f t="shared" si="0"/>
        <v>項目5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6</v>
      </c>
      <c r="C39" s="221" t="str">
        <f t="shared" si="0"/>
        <v>項目6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7</v>
      </c>
      <c r="C40" s="221" t="str">
        <f t="shared" si="0"/>
        <v>項目7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8</v>
      </c>
      <c r="C41" s="221" t="str">
        <f t="shared" si="0"/>
        <v>項目8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9</v>
      </c>
      <c r="C42" s="221" t="str">
        <f t="shared" si="0"/>
        <v>項目9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10</v>
      </c>
      <c r="C43" s="221" t="str">
        <f t="shared" si="0"/>
        <v>項目10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11</v>
      </c>
      <c r="C44" s="221" t="str">
        <f t="shared" si="0"/>
        <v>項目11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12</v>
      </c>
      <c r="C45" s="221" t="str">
        <f t="shared" si="0"/>
        <v>項目12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13</v>
      </c>
      <c r="C46" s="221" t="str">
        <f t="shared" si="0"/>
        <v>項目13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14</v>
      </c>
      <c r="C47" s="221" t="str">
        <f t="shared" si="0"/>
        <v>項目14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15</v>
      </c>
      <c r="C48" s="221" t="str">
        <f t="shared" si="0"/>
        <v>項目15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16</v>
      </c>
      <c r="C49" s="221" t="str">
        <f t="shared" si="0"/>
        <v>項目16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17</v>
      </c>
      <c r="C50" s="221" t="str">
        <f t="shared" si="0"/>
        <v>項目17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18</v>
      </c>
      <c r="C51" s="221" t="str">
        <f t="shared" si="0"/>
        <v>項目18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19</v>
      </c>
      <c r="C52" s="221" t="str">
        <f t="shared" si="0"/>
        <v>項目19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20</v>
      </c>
      <c r="C53" s="221" t="str">
        <f t="shared" si="0"/>
        <v>項目20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21</v>
      </c>
      <c r="C54" s="221" t="str">
        <f t="shared" si="0"/>
        <v>項目21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22</v>
      </c>
      <c r="C55" s="221" t="str">
        <f t="shared" si="0"/>
        <v>項目22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23</v>
      </c>
      <c r="C56" s="221" t="str">
        <f t="shared" si="0"/>
        <v>項目23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24</v>
      </c>
      <c r="C57" s="221" t="str">
        <f t="shared" si="0"/>
        <v>項目24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25</v>
      </c>
      <c r="C58" s="221" t="str">
        <f t="shared" si="0"/>
        <v>項目25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26</v>
      </c>
      <c r="C59" s="221" t="str">
        <f t="shared" si="0"/>
        <v>項目26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27</v>
      </c>
      <c r="C60" s="221" t="str">
        <f t="shared" si="0"/>
        <v>項目27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28</v>
      </c>
      <c r="C61" s="221" t="str">
        <f t="shared" si="0"/>
        <v>項目28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29</v>
      </c>
      <c r="C62" s="221" t="str">
        <f t="shared" si="0"/>
        <v>項目29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30</v>
      </c>
      <c r="C63" s="221" t="str">
        <f t="shared" si="0"/>
        <v>項目30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31</v>
      </c>
      <c r="C64" s="221" t="str">
        <f t="shared" si="0"/>
        <v>項目31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32</v>
      </c>
      <c r="C65" s="221" t="str">
        <f t="shared" si="0"/>
        <v>項目32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33</v>
      </c>
      <c r="C66" s="221" t="str">
        <f t="shared" si="0"/>
        <v>項目33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34</v>
      </c>
      <c r="C67" s="221" t="str">
        <f t="shared" si="0"/>
        <v>項目34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35</v>
      </c>
      <c r="C68" s="221" t="str">
        <f t="shared" si="0"/>
        <v>項目35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36</v>
      </c>
      <c r="C69" s="221" t="str">
        <f t="shared" si="0"/>
        <v>項目36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37</v>
      </c>
      <c r="C70" s="221" t="str">
        <f t="shared" si="0"/>
        <v>項目37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38</v>
      </c>
      <c r="C71" s="221" t="str">
        <f t="shared" si="0"/>
        <v>項目38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39</v>
      </c>
      <c r="C72" s="221" t="str">
        <f t="shared" si="0"/>
        <v>項目39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40</v>
      </c>
      <c r="C73" s="221" t="str">
        <f t="shared" si="0"/>
        <v>項目40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41</v>
      </c>
      <c r="C74" s="221" t="str">
        <f t="shared" si="0"/>
        <v>項目41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42</v>
      </c>
      <c r="C75" s="221" t="str">
        <f t="shared" si="0"/>
        <v>項目42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43</v>
      </c>
      <c r="C76" s="221" t="str">
        <f t="shared" si="0"/>
        <v>項目43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44</v>
      </c>
      <c r="C77" s="221" t="str">
        <f t="shared" si="0"/>
        <v>項目44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45</v>
      </c>
      <c r="C78" s="221" t="str">
        <f t="shared" si="0"/>
        <v>項目45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46</v>
      </c>
      <c r="C79" s="221" t="str">
        <f t="shared" si="0"/>
        <v>項目46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47</v>
      </c>
      <c r="C80" s="221" t="str">
        <f t="shared" si="0"/>
        <v>項目47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48</v>
      </c>
      <c r="C81" s="221" t="str">
        <f t="shared" si="0"/>
        <v>項目48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s="40" customFormat="1">
      <c s="11">
        <v>49</v>
      </c>
      <c r="C82" s="221" t="str">
        <f t="shared" si="0"/>
        <v>項目49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4"/>
        <v>--</v>
      </c>
    </row>
    <row ht="15" hidden="1" customHeight="1" thickBot="1" s="40" customFormat="1">
      <c s="11">
        <v>50</v>
      </c>
      <c r="C83" s="138" t="str">
        <f t="shared" si="0"/>
        <v>項目50</v>
      </c>
      <c s="171" t="str">
        <f t="shared" si="1"/>
        <v>--</v>
      </c>
      <c s="36" t="str">
        <f t="shared" si="1"/>
        <v>--</v>
      </c>
      <c s="36" t="str">
        <f t="shared" si="1"/>
        <v>--</v>
      </c>
      <c s="36" t="str">
        <f t="shared" si="1"/>
        <v>--</v>
      </c>
      <c s="36" t="str">
        <f t="shared" si="1"/>
        <v>--</v>
      </c>
      <c s="36" t="str">
        <f t="shared" si="2"/>
        <v>--</v>
      </c>
      <c s="36" t="str">
        <f t="shared" si="2"/>
        <v>--</v>
      </c>
      <c s="36" t="str">
        <f t="shared" si="2"/>
        <v>--</v>
      </c>
      <c s="36" t="str">
        <f t="shared" si="2"/>
        <v>--</v>
      </c>
      <c s="36" t="str">
        <f t="shared" si="2"/>
        <v>--</v>
      </c>
      <c s="36" t="str">
        <f t="shared" si="3"/>
        <v>--</v>
      </c>
      <c s="167" t="str">
        <f t="shared" si="3"/>
        <v>--</v>
      </c>
      <c s="198" t="str">
        <f t="shared" si="4"/>
        <v>--</v>
      </c>
    </row>
    <row ht="9" customHeight="1">
      <c s="35"/>
      <c r="C84" s="132"/>
      <c s="33"/>
      <c s="33"/>
      <c s="33"/>
      <c s="33"/>
      <c s="33"/>
      <c s="33"/>
      <c s="33"/>
      <c s="33"/>
      <c s="33"/>
      <c s="33"/>
      <c s="33"/>
      <c s="33"/>
      <c s="33"/>
    </row>
    <row ht="12" customHeight="1">
      <c s="35"/>
    </row>
    <row ht="12" hidden="1" customHeight="1" s="40" customFormat="1">
      <c s="11"/>
      <c r="C86" s="98"/>
      <c s="24" t="str">
        <f t="shared" si="5" ref="D86:O86">D$33</f>
        <v>4月</v>
      </c>
      <c s="24" t="str">
        <f t="shared" si="5"/>
        <v>5月</v>
      </c>
      <c s="24" t="str">
        <f t="shared" si="5"/>
        <v>6月</v>
      </c>
      <c s="24" t="str">
        <f t="shared" si="5"/>
        <v>7月</v>
      </c>
      <c s="24" t="str">
        <f t="shared" si="5"/>
        <v>8月</v>
      </c>
      <c s="24" t="str">
        <f t="shared" si="5"/>
        <v>9月</v>
      </c>
      <c s="24" t="str">
        <f t="shared" si="5"/>
        <v>10月</v>
      </c>
      <c s="24" t="str">
        <f t="shared" si="5"/>
        <v>11月</v>
      </c>
      <c s="24" t="str">
        <f t="shared" si="5"/>
        <v>12月</v>
      </c>
      <c s="24" t="str">
        <f t="shared" si="5"/>
        <v>1月</v>
      </c>
      <c s="24" t="str">
        <f t="shared" si="5"/>
        <v>2月</v>
      </c>
      <c s="24" t="str">
        <f t="shared" si="5"/>
        <v>3月</v>
      </c>
      <c s="24" t="s">
        <v>61</v>
      </c>
    </row>
    <row ht="12" hidden="1" customHeight="1" s="40" customFormat="1">
      <c s="11">
        <v>1</v>
      </c>
      <c r="C87" s="113" t="str">
        <f t="shared" si="6" ref="C87:C136">$C34</f>
        <v>加工食品</v>
      </c>
      <c s="18">
        <f t="shared" si="7" ref="D87:H136">IF(INDEX(累計分析データ,$A87,D$32*4+$E$1)="", "--", INDEX(累計分析データ,$A87,D$32*4+$E$1)/$G$1)</f>
        <v>4856325.5461007999</v>
      </c>
      <c s="18">
        <f t="shared" si="7"/>
        <v>4871087.5974129001</v>
      </c>
      <c s="18">
        <f t="shared" si="7"/>
        <v>4655880.6470812997</v>
      </c>
      <c s="18">
        <f t="shared" si="7"/>
        <v>4733175.0652356008</v>
      </c>
      <c s="18">
        <f t="shared" si="7"/>
        <v>4722516.8232653998</v>
      </c>
      <c s="18">
        <f t="shared" si="8" ref="I87:M136">IF(INDEX(累計分析データ,$A87,I$32*4+$E$1)="", "--", INDEX(累計分析データ,$A87,I$32*4+$E$1)/$G$1)</f>
        <v>4708171.8783148006</v>
      </c>
      <c s="18">
        <f t="shared" si="8"/>
        <v>4859828.3471702002</v>
      </c>
      <c s="18">
        <f t="shared" si="8"/>
        <v>4670471.1086546006</v>
      </c>
      <c s="18">
        <f t="shared" si="8"/>
        <v>5809551.2730710004</v>
      </c>
      <c s="18">
        <f t="shared" si="8"/>
        <v>4567963.9444561005</v>
      </c>
      <c s="18">
        <f t="shared" si="9" ref="N87:O136">IF(INDEX(累計分析データ,$A87,N$32*4+$E$1)="", "--", INDEX(累計分析データ,$A87,N$32*4+$E$1)/$G$1)</f>
        <v>4873110.2528069997</v>
      </c>
      <c s="18">
        <f t="shared" si="9"/>
        <v>5616429.5382083999</v>
      </c>
      <c s="110">
        <f t="shared" si="10" ref="P87:P136">IF(COUNTIF($D87:$O87, "--")=12, "--", SUM($D87:$O87))</f>
        <v>58944512.021778099</v>
      </c>
    </row>
    <row ht="12" hidden="1" customHeight="1" s="40" customFormat="1">
      <c s="11">
        <v>2</v>
      </c>
      <c r="C88" s="113" t="str">
        <f t="shared" si="6"/>
        <v>生鮮食品</v>
      </c>
      <c s="18">
        <f t="shared" si="7"/>
        <v>4939181.6828664001</v>
      </c>
      <c s="18">
        <f t="shared" si="7"/>
        <v>5238830.8451773003</v>
      </c>
      <c s="18">
        <f t="shared" si="7"/>
        <v>4610606.8133896999</v>
      </c>
      <c s="18">
        <f t="shared" si="7"/>
        <v>4989820.8985509994</v>
      </c>
      <c s="18">
        <f t="shared" si="7"/>
        <v>4980413.1349937003</v>
      </c>
      <c s="18">
        <f t="shared" si="8"/>
        <v>4675864.5914547006</v>
      </c>
      <c s="18">
        <f t="shared" si="8"/>
        <v>4913055.1999636004</v>
      </c>
      <c s="18">
        <f t="shared" si="8"/>
        <v>4460252.2643882995</v>
      </c>
      <c s="18">
        <f t="shared" si="8"/>
        <v>5686471.3396399999</v>
      </c>
      <c s="18">
        <f t="shared" si="8"/>
        <v>4757216.1302628005</v>
      </c>
      <c s="18">
        <f t="shared" si="9"/>
        <v>4896923.3263417995</v>
      </c>
      <c s="18">
        <f t="shared" si="9"/>
        <v>5330797.0507284002</v>
      </c>
      <c s="110">
        <f t="shared" si="10"/>
        <v>59479433.277757704</v>
      </c>
    </row>
    <row ht="12" hidden="1" customHeight="1" s="40" customFormat="1">
      <c s="11">
        <v>3</v>
      </c>
      <c r="C89" s="113" t="str">
        <f t="shared" si="6"/>
        <v>菓子類</v>
      </c>
      <c s="18">
        <f t="shared" si="7"/>
        <v>1152809.6836745001</v>
      </c>
      <c s="18">
        <f t="shared" si="7"/>
        <v>1169149.3451721</v>
      </c>
      <c s="18">
        <f t="shared" si="7"/>
        <v>1127873.1768701999</v>
      </c>
      <c s="18">
        <f t="shared" si="7"/>
        <v>1137014.9939178</v>
      </c>
      <c s="18">
        <f t="shared" si="7"/>
        <v>1138702.7099586001</v>
      </c>
      <c s="18">
        <f t="shared" si="8"/>
        <v>1073647.2683891</v>
      </c>
      <c s="18">
        <f t="shared" si="8"/>
        <v>1097006.9921217</v>
      </c>
      <c s="18">
        <f t="shared" si="8"/>
        <v>1022763.2114985</v>
      </c>
      <c s="18">
        <f t="shared" si="8"/>
        <v>1198730.3094988998</v>
      </c>
      <c s="18">
        <f t="shared" si="8"/>
        <v>1033642.4800415999</v>
      </c>
      <c s="18">
        <f t="shared" si="9"/>
        <v>1157469.0974633</v>
      </c>
      <c s="18">
        <f t="shared" si="9"/>
        <v>1293363.7353041</v>
      </c>
      <c s="110">
        <f t="shared" si="10"/>
        <v>13602173.003910404</v>
      </c>
    </row>
    <row ht="12" hidden="1" customHeight="1" s="40" customFormat="1">
      <c s="11">
        <v>4</v>
      </c>
      <c r="C90" s="113" t="str">
        <f t="shared" si="6"/>
        <v>項目4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5</v>
      </c>
      <c r="C91" s="113" t="str">
        <f t="shared" si="6"/>
        <v>項目5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6</v>
      </c>
      <c r="C92" s="113" t="str">
        <f t="shared" si="6"/>
        <v>項目6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7</v>
      </c>
      <c r="C93" s="113" t="str">
        <f t="shared" si="6"/>
        <v>項目7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8</v>
      </c>
      <c r="C94" s="113" t="str">
        <f t="shared" si="6"/>
        <v>項目8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9</v>
      </c>
      <c r="C95" s="113" t="str">
        <f t="shared" si="6"/>
        <v>項目9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10</v>
      </c>
      <c r="C96" s="113" t="str">
        <f t="shared" si="6"/>
        <v>項目10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11</v>
      </c>
      <c r="C97" s="113" t="str">
        <f t="shared" si="6"/>
        <v>項目11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12</v>
      </c>
      <c r="C98" s="113" t="str">
        <f t="shared" si="6"/>
        <v>項目12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13</v>
      </c>
      <c r="C99" s="113" t="str">
        <f t="shared" si="6"/>
        <v>項目13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14</v>
      </c>
      <c r="C100" s="113" t="str">
        <f t="shared" si="6"/>
        <v>項目14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15</v>
      </c>
      <c r="C101" s="113" t="str">
        <f t="shared" si="6"/>
        <v>項目15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16</v>
      </c>
      <c r="C102" s="113" t="str">
        <f t="shared" si="6"/>
        <v>項目16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17</v>
      </c>
      <c r="C103" s="113" t="str">
        <f t="shared" si="6"/>
        <v>項目17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18</v>
      </c>
      <c r="C104" s="113" t="str">
        <f t="shared" si="6"/>
        <v>項目18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19</v>
      </c>
      <c r="C105" s="113" t="str">
        <f t="shared" si="6"/>
        <v>項目19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20</v>
      </c>
      <c r="C106" s="113" t="str">
        <f t="shared" si="6"/>
        <v>項目20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21</v>
      </c>
      <c r="C107" s="113" t="str">
        <f t="shared" si="6"/>
        <v>項目21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22</v>
      </c>
      <c r="C108" s="113" t="str">
        <f t="shared" si="6"/>
        <v>項目22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23</v>
      </c>
      <c r="C109" s="113" t="str">
        <f t="shared" si="6"/>
        <v>項目23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24</v>
      </c>
      <c r="C110" s="113" t="str">
        <f t="shared" si="6"/>
        <v>項目24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25</v>
      </c>
      <c r="C111" s="113" t="str">
        <f t="shared" si="6"/>
        <v>項目25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26</v>
      </c>
      <c r="C112" s="113" t="str">
        <f t="shared" si="6"/>
        <v>項目26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27</v>
      </c>
      <c r="C113" s="113" t="str">
        <f t="shared" si="6"/>
        <v>項目27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28</v>
      </c>
      <c r="C114" s="113" t="str">
        <f t="shared" si="6"/>
        <v>項目28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29</v>
      </c>
      <c r="C115" s="113" t="str">
        <f t="shared" si="6"/>
        <v>項目29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30</v>
      </c>
      <c r="C116" s="113" t="str">
        <f t="shared" si="6"/>
        <v>項目30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31</v>
      </c>
      <c r="C117" s="113" t="str">
        <f t="shared" si="6"/>
        <v>項目31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32</v>
      </c>
      <c r="C118" s="113" t="str">
        <f t="shared" si="6"/>
        <v>項目32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33</v>
      </c>
      <c r="C119" s="113" t="str">
        <f t="shared" si="6"/>
        <v>項目33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34</v>
      </c>
      <c r="C120" s="113" t="str">
        <f t="shared" si="6"/>
        <v>項目34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35</v>
      </c>
      <c r="C121" s="113" t="str">
        <f t="shared" si="6"/>
        <v>項目35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36</v>
      </c>
      <c r="C122" s="113" t="str">
        <f t="shared" si="6"/>
        <v>項目36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37</v>
      </c>
      <c r="C123" s="113" t="str">
        <f t="shared" si="6"/>
        <v>項目37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38</v>
      </c>
      <c r="C124" s="113" t="str">
        <f t="shared" si="6"/>
        <v>項目38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39</v>
      </c>
      <c r="C125" s="113" t="str">
        <f t="shared" si="6"/>
        <v>項目39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40</v>
      </c>
      <c r="C126" s="113" t="str">
        <f t="shared" si="6"/>
        <v>項目40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41</v>
      </c>
      <c r="C127" s="113" t="str">
        <f t="shared" si="6"/>
        <v>項目41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42</v>
      </c>
      <c r="C128" s="113" t="str">
        <f t="shared" si="6"/>
        <v>項目42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43</v>
      </c>
      <c r="C129" s="113" t="str">
        <f t="shared" si="6"/>
        <v>項目43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44</v>
      </c>
      <c r="C130" s="113" t="str">
        <f t="shared" si="6"/>
        <v>項目44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45</v>
      </c>
      <c r="C131" s="113" t="str">
        <f t="shared" si="6"/>
        <v>項目45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46</v>
      </c>
      <c r="C132" s="113" t="str">
        <f t="shared" si="6"/>
        <v>項目46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47</v>
      </c>
      <c r="C133" s="113" t="str">
        <f t="shared" si="6"/>
        <v>項目47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48</v>
      </c>
      <c r="C134" s="113" t="str">
        <f t="shared" si="6"/>
        <v>項目48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49</v>
      </c>
      <c r="C135" s="113" t="str">
        <f t="shared" si="6"/>
        <v>項目49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50</v>
      </c>
      <c r="C136" s="113" t="str">
        <f t="shared" si="6"/>
        <v>項目50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3" hidden="1" customHeight="1" s="40" customFormat="1">
      <c s="11"/>
      <c r="C137" s="241"/>
      <c s="267"/>
      <c s="65"/>
      <c s="65"/>
      <c s="65"/>
      <c s="65"/>
      <c s="65"/>
      <c s="65"/>
      <c s="65"/>
      <c s="65"/>
      <c s="65"/>
      <c s="65"/>
      <c s="211"/>
      <c s="210"/>
    </row>
    <row ht="14.25" hidden="1" customHeight="1" s="40" customFormat="1">
      <c s="11"/>
      <c r="C138" s="24" t="s">
        <v>32</v>
      </c>
      <c s="18">
        <f t="shared" si="11" ref="D138:P138">IF(COUNTIF(D$87:D$136, "--")=50, "--", SUM(D$87:D$136))</f>
        <v>10948316.9126417</v>
      </c>
      <c s="18">
        <f t="shared" si="11"/>
        <v>11279067.787762299</v>
      </c>
      <c s="18">
        <f t="shared" si="11"/>
        <v>10394360.637341201</v>
      </c>
      <c s="18">
        <f t="shared" si="11"/>
        <v>10860010.957704401</v>
      </c>
      <c s="18">
        <f t="shared" si="11"/>
        <v>10841632.6682177</v>
      </c>
      <c s="18">
        <f t="shared" si="11"/>
        <v>10457683.7381586</v>
      </c>
      <c s="18">
        <f t="shared" si="11"/>
        <v>10869890.5392555</v>
      </c>
      <c s="18">
        <f t="shared" si="11"/>
        <v>10153486.584541401</v>
      </c>
      <c s="18">
        <f t="shared" si="11"/>
        <v>12694752.922209902</v>
      </c>
      <c s="18">
        <f t="shared" si="11"/>
        <v>10358822.554760501</v>
      </c>
      <c s="18">
        <f t="shared" si="11"/>
        <v>10927502.6766121</v>
      </c>
      <c s="18">
        <f t="shared" si="11"/>
        <v>12240590.324240901</v>
      </c>
      <c s="18">
        <f t="shared" si="11"/>
        <v>132026118.30344622</v>
      </c>
    </row>
    <row ht="12" customHeight="1">
      <c s="35"/>
    </row>
    <row ht="15" customHeight="1"/>
    <row ht="15" customHeight="1"/>
    <row ht="24" customHeight="1" s="87" customFormat="1">
      <c s="126"/>
      <c r="C142" s="99" t="str">
        <f>"比較【 " &amp; 分析種別名称 &amp; " 構成比推移(" &amp; $D$1 &amp; ") 】" &amp; PI値モード名称</f>
        <v>比較【 カテゴリー別 構成比推移(金額) 】</v>
      </c>
      <c s="19"/>
      <c s="19"/>
      <c s="19"/>
      <c s="19"/>
      <c s="19"/>
      <c s="19"/>
      <c s="19"/>
      <c s="19"/>
      <c s="19"/>
      <c s="19"/>
      <c s="19"/>
      <c s="19"/>
      <c s="19"/>
    </row>
    <row ht="12.75" customHeight="1" s="40" customFormat="1">
      <c s="11"/>
      <c r="C143" s="94"/>
      <c s="19"/>
      <c s="19"/>
      <c s="19"/>
      <c s="19"/>
      <c s="19"/>
      <c s="19"/>
      <c s="19"/>
      <c s="19"/>
      <c s="19"/>
      <c s="19"/>
      <c s="19"/>
      <c s="19"/>
      <c s="101" t="str">
        <f>IF(比較POS名称="","",比較POS名称) &amp;  " (" &amp; IF(年度開始年月=分析終了年月,年度開始年月,年度開始年月&amp;"～"&amp;分析終了年月) &amp; ")"</f>
        <v>RDS06 スーパー  00 全国 (2019年4月～2020年3月)</v>
      </c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 thickBot="1">
      <c s="11"/>
      <c s="40"/>
      <c s="98"/>
      <c s="11">
        <v>0</v>
      </c>
      <c s="11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</row>
    <row ht="18" customHeight="1" thickBot="1" s="40" customFormat="1">
      <c s="11"/>
      <c r="C173" s="108" t="str">
        <f>分析オプション&amp;"　単位：％"</f>
        <v xml:space="preserve"> [税抜分析]　単位：％</v>
      </c>
      <c s="100" t="str">
        <f>INFO!AC$4</f>
        <v>4月</v>
      </c>
      <c s="28" t="str">
        <f>INFO!AD$4</f>
        <v>5月</v>
      </c>
      <c s="28" t="str">
        <f>INFO!AE$4</f>
        <v>6月</v>
      </c>
      <c s="28" t="str">
        <f>INFO!AF$4</f>
        <v>7月</v>
      </c>
      <c s="28" t="str">
        <f>INFO!AG$4</f>
        <v>8月</v>
      </c>
      <c s="28" t="str">
        <f>INFO!AH$4</f>
        <v>9月</v>
      </c>
      <c s="28" t="str">
        <f>INFO!AI$4</f>
        <v>10月</v>
      </c>
      <c s="28" t="str">
        <f>INFO!AJ$4</f>
        <v>11月</v>
      </c>
      <c s="28" t="str">
        <f>INFO!AK$4</f>
        <v>12月</v>
      </c>
      <c s="28" t="str">
        <f>INFO!AL$4</f>
        <v>1月</v>
      </c>
      <c s="28" t="str">
        <f>INFO!AM$4</f>
        <v>2月</v>
      </c>
      <c s="105" t="str">
        <f>INFO!AN$4</f>
        <v>3月</v>
      </c>
      <c s="117" t="s">
        <v>62</v>
      </c>
    </row>
    <row ht="15" customHeight="1" s="40" customFormat="1">
      <c s="11">
        <v>1</v>
      </c>
      <c r="C174" s="187" t="str">
        <f t="shared" si="12" ref="C174:C223">IF(INDEX(項目,$A174,1)="","",INDEX(項目,$A174,1))</f>
        <v>加工食品</v>
      </c>
      <c s="306">
        <f t="shared" si="13" ref="D174:H223">IF(ISERROR(D227/D$278), "--", D227/D$278*100)</f>
        <v>43.711154562819168</v>
      </c>
      <c s="70">
        <f t="shared" si="13"/>
        <v>43.707186138237056</v>
      </c>
      <c s="70">
        <f t="shared" si="13"/>
        <v>43.894349424084709</v>
      </c>
      <c s="70">
        <f t="shared" si="13"/>
        <v>44.241964924744913</v>
      </c>
      <c s="70">
        <f t="shared" si="13"/>
        <v>43.350118670789598</v>
      </c>
      <c s="70">
        <f t="shared" si="14" ref="I174:M223">IF(ISERROR(I227/I$278), "--", I227/I$278*100)</f>
        <v>43.644396379572534</v>
      </c>
      <c s="70">
        <f t="shared" si="14"/>
        <v>43.547694609580098</v>
      </c>
      <c s="70">
        <f t="shared" si="14"/>
        <v>44.142802358029535</v>
      </c>
      <c s="70">
        <f t="shared" si="14"/>
        <v>44.578958452054955</v>
      </c>
      <c s="70">
        <f t="shared" si="14"/>
        <v>42.932513150666459</v>
      </c>
      <c s="70">
        <f t="shared" si="15" ref="N174:O223">IF(ISERROR(N227/N$278), "--", N227/N$278*100)</f>
        <v>44.411782316617185</v>
      </c>
      <c s="346">
        <f t="shared" si="15"/>
        <v>44.335000568478591</v>
      </c>
      <c s="170">
        <f t="shared" si="16" ref="P174:P223">IF(ISERROR(AVERAGE($D174:$O174)), "--", AVERAGE($D174:$O174))</f>
        <v>43.87482679630623</v>
      </c>
    </row>
    <row ht="15" customHeight="1" s="40" customFormat="1">
      <c s="11">
        <v>2</v>
      </c>
      <c r="C175" s="221" t="str">
        <f t="shared" si="12"/>
        <v>生鮮食品</v>
      </c>
      <c s="166">
        <f t="shared" si="13"/>
        <v>45.413753903861064</v>
      </c>
      <c s="34">
        <f t="shared" si="13"/>
        <v>45.302778840587081</v>
      </c>
      <c s="34">
        <f t="shared" si="13"/>
        <v>45.112426503747592</v>
      </c>
      <c s="34">
        <f t="shared" si="13"/>
        <v>44.568085856908219</v>
      </c>
      <c s="34">
        <f t="shared" si="13"/>
        <v>45.600729012280595</v>
      </c>
      <c s="34">
        <f t="shared" si="14"/>
        <v>45.910577936795839</v>
      </c>
      <c s="34">
        <f t="shared" si="14"/>
        <v>46.240601964269587</v>
      </c>
      <c s="34">
        <f t="shared" si="14"/>
        <v>45.729501463401832</v>
      </c>
      <c s="34">
        <f t="shared" si="14"/>
        <v>45.728047627429341</v>
      </c>
      <c s="34">
        <f t="shared" si="14"/>
        <v>46.866553548000979</v>
      </c>
      <c s="34">
        <f t="shared" si="15"/>
        <v>44.556041518943047</v>
      </c>
      <c s="155">
        <f t="shared" si="15"/>
        <v>44.688527970704179</v>
      </c>
      <c s="158">
        <f t="shared" si="16"/>
        <v>45.47646884557745</v>
      </c>
    </row>
    <row ht="15" customHeight="1" s="40" customFormat="1">
      <c s="11">
        <v>3</v>
      </c>
      <c r="C176" s="221" t="str">
        <f t="shared" si="12"/>
        <v>菓子類</v>
      </c>
      <c s="166">
        <f t="shared" si="13"/>
        <v>10.875091533319775</v>
      </c>
      <c s="34">
        <f t="shared" si="13"/>
        <v>10.990035021175865</v>
      </c>
      <c s="34">
        <f t="shared" si="13"/>
        <v>10.993224072167703</v>
      </c>
      <c s="34">
        <f t="shared" si="13"/>
        <v>11.189949218346872</v>
      </c>
      <c s="34">
        <f t="shared" si="13"/>
        <v>11.049152316929796</v>
      </c>
      <c s="34">
        <f t="shared" si="14"/>
        <v>10.445025683631636</v>
      </c>
      <c s="34">
        <f t="shared" si="14"/>
        <v>10.211703426150306</v>
      </c>
      <c s="34">
        <f t="shared" si="14"/>
        <v>10.127696178568625</v>
      </c>
      <c s="34">
        <f t="shared" si="14"/>
        <v>9.6929939205156952</v>
      </c>
      <c s="34">
        <f t="shared" si="14"/>
        <v>10.200933301332556</v>
      </c>
      <c s="34">
        <f t="shared" si="15"/>
        <v>11.032176164439766</v>
      </c>
      <c s="155">
        <f t="shared" si="15"/>
        <v>10.976471460817235</v>
      </c>
      <c s="158">
        <f t="shared" si="16"/>
        <v>10.648704358116317</v>
      </c>
    </row>
    <row ht="15" hidden="1" customHeight="1" s="40" customFormat="1">
      <c s="11">
        <v>4</v>
      </c>
      <c r="C177" s="221" t="str">
        <f t="shared" si="12"/>
        <v>項目4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5</v>
      </c>
      <c r="C178" s="221" t="str">
        <f t="shared" si="12"/>
        <v>項目5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6</v>
      </c>
      <c r="C179" s="221" t="str">
        <f t="shared" si="12"/>
        <v>項目6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7</v>
      </c>
      <c r="C180" s="221" t="str">
        <f t="shared" si="12"/>
        <v>項目7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8</v>
      </c>
      <c r="C181" s="221" t="str">
        <f t="shared" si="12"/>
        <v>項目8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9</v>
      </c>
      <c r="C182" s="221" t="str">
        <f t="shared" si="12"/>
        <v>項目9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10</v>
      </c>
      <c r="C183" s="221" t="str">
        <f t="shared" si="12"/>
        <v>項目10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11</v>
      </c>
      <c r="C184" s="221" t="str">
        <f t="shared" si="12"/>
        <v>項目11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12</v>
      </c>
      <c r="C185" s="221" t="str">
        <f t="shared" si="12"/>
        <v>項目12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13</v>
      </c>
      <c r="C186" s="221" t="str">
        <f t="shared" si="12"/>
        <v>項目13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14</v>
      </c>
      <c r="C187" s="221" t="str">
        <f t="shared" si="12"/>
        <v>項目14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15</v>
      </c>
      <c r="C188" s="221" t="str">
        <f t="shared" si="12"/>
        <v>項目15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16</v>
      </c>
      <c r="C189" s="221" t="str">
        <f t="shared" si="12"/>
        <v>項目16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17</v>
      </c>
      <c r="C190" s="221" t="str">
        <f t="shared" si="12"/>
        <v>項目17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18</v>
      </c>
      <c r="C191" s="221" t="str">
        <f t="shared" si="12"/>
        <v>項目18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19</v>
      </c>
      <c r="C192" s="221" t="str">
        <f t="shared" si="12"/>
        <v>項目19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20</v>
      </c>
      <c r="C193" s="221" t="str">
        <f t="shared" si="12"/>
        <v>項目20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21</v>
      </c>
      <c r="C194" s="221" t="str">
        <f t="shared" si="12"/>
        <v>項目21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22</v>
      </c>
      <c r="C195" s="221" t="str">
        <f t="shared" si="12"/>
        <v>項目22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23</v>
      </c>
      <c r="C196" s="221" t="str">
        <f t="shared" si="12"/>
        <v>項目23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24</v>
      </c>
      <c r="C197" s="221" t="str">
        <f t="shared" si="12"/>
        <v>項目24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25</v>
      </c>
      <c r="C198" s="221" t="str">
        <f t="shared" si="12"/>
        <v>項目25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26</v>
      </c>
      <c r="C199" s="221" t="str">
        <f t="shared" si="12"/>
        <v>項目26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27</v>
      </c>
      <c r="C200" s="221" t="str">
        <f t="shared" si="12"/>
        <v>項目27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28</v>
      </c>
      <c r="C201" s="221" t="str">
        <f t="shared" si="12"/>
        <v>項目28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29</v>
      </c>
      <c r="C202" s="221" t="str">
        <f t="shared" si="12"/>
        <v>項目29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30</v>
      </c>
      <c r="C203" s="221" t="str">
        <f t="shared" si="12"/>
        <v>項目30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31</v>
      </c>
      <c r="C204" s="221" t="str">
        <f t="shared" si="12"/>
        <v>項目31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32</v>
      </c>
      <c r="C205" s="221" t="str">
        <f t="shared" si="12"/>
        <v>項目32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33</v>
      </c>
      <c r="C206" s="221" t="str">
        <f t="shared" si="12"/>
        <v>項目33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34</v>
      </c>
      <c r="C207" s="221" t="str">
        <f t="shared" si="12"/>
        <v>項目34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35</v>
      </c>
      <c r="C208" s="221" t="str">
        <f t="shared" si="12"/>
        <v>項目35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36</v>
      </c>
      <c r="C209" s="221" t="str">
        <f t="shared" si="12"/>
        <v>項目36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37</v>
      </c>
      <c r="C210" s="221" t="str">
        <f t="shared" si="12"/>
        <v>項目37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38</v>
      </c>
      <c r="C211" s="221" t="str">
        <f t="shared" si="12"/>
        <v>項目38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39</v>
      </c>
      <c r="C212" s="221" t="str">
        <f t="shared" si="12"/>
        <v>項目39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40</v>
      </c>
      <c r="C213" s="221" t="str">
        <f t="shared" si="12"/>
        <v>項目40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41</v>
      </c>
      <c r="C214" s="221" t="str">
        <f t="shared" si="12"/>
        <v>項目41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42</v>
      </c>
      <c r="C215" s="221" t="str">
        <f t="shared" si="12"/>
        <v>項目42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43</v>
      </c>
      <c r="C216" s="221" t="str">
        <f t="shared" si="12"/>
        <v>項目43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44</v>
      </c>
      <c r="C217" s="221" t="str">
        <f t="shared" si="12"/>
        <v>項目44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45</v>
      </c>
      <c r="C218" s="221" t="str">
        <f t="shared" si="12"/>
        <v>項目45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46</v>
      </c>
      <c r="C219" s="221" t="str">
        <f t="shared" si="12"/>
        <v>項目46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47</v>
      </c>
      <c r="C220" s="221" t="str">
        <f t="shared" si="12"/>
        <v>項目47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48</v>
      </c>
      <c r="C221" s="221" t="str">
        <f t="shared" si="12"/>
        <v>項目48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s="40" customFormat="1">
      <c s="11">
        <v>49</v>
      </c>
      <c r="C222" s="221" t="str">
        <f t="shared" si="12"/>
        <v>項目49</v>
      </c>
      <c s="166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58" t="str">
        <f t="shared" si="16"/>
        <v>--</v>
      </c>
    </row>
    <row ht="15" hidden="1" customHeight="1" thickBot="1" s="40" customFormat="1">
      <c s="11">
        <v>50</v>
      </c>
      <c r="C223" s="138" t="str">
        <f t="shared" si="12"/>
        <v>項目50</v>
      </c>
      <c s="171" t="str">
        <f t="shared" si="13"/>
        <v>--</v>
      </c>
      <c s="36" t="str">
        <f t="shared" si="13"/>
        <v>--</v>
      </c>
      <c s="36" t="str">
        <f t="shared" si="13"/>
        <v>--</v>
      </c>
      <c s="36" t="str">
        <f t="shared" si="13"/>
        <v>--</v>
      </c>
      <c s="36" t="str">
        <f t="shared" si="13"/>
        <v>--</v>
      </c>
      <c s="36" t="str">
        <f t="shared" si="14"/>
        <v>--</v>
      </c>
      <c s="36" t="str">
        <f t="shared" si="14"/>
        <v>--</v>
      </c>
      <c s="36" t="str">
        <f t="shared" si="14"/>
        <v>--</v>
      </c>
      <c s="36" t="str">
        <f t="shared" si="14"/>
        <v>--</v>
      </c>
      <c s="36" t="str">
        <f t="shared" si="14"/>
        <v>--</v>
      </c>
      <c s="36" t="str">
        <f t="shared" si="15"/>
        <v>--</v>
      </c>
      <c s="167" t="str">
        <f t="shared" si="15"/>
        <v>--</v>
      </c>
      <c s="198" t="str">
        <f t="shared" si="16"/>
        <v>--</v>
      </c>
    </row>
    <row ht="9" customHeight="1">
      <c s="35"/>
      <c r="C224" s="132"/>
      <c s="33"/>
      <c s="33"/>
      <c s="33"/>
      <c s="33"/>
      <c s="33"/>
      <c s="33"/>
      <c s="33"/>
      <c s="33"/>
      <c s="33"/>
      <c s="33"/>
      <c s="33"/>
      <c s="33"/>
      <c s="33"/>
    </row>
    <row ht="12" customHeight="1">
      <c s="35"/>
    </row>
    <row ht="12" hidden="1" customHeight="1" s="40" customFormat="1">
      <c s="11"/>
      <c r="C226" s="98"/>
      <c s="24" t="str">
        <f t="shared" si="17" ref="D226:O226">D$173</f>
        <v>4月</v>
      </c>
      <c s="24" t="str">
        <f t="shared" si="17"/>
        <v>5月</v>
      </c>
      <c s="24" t="str">
        <f t="shared" si="17"/>
        <v>6月</v>
      </c>
      <c s="24" t="str">
        <f t="shared" si="17"/>
        <v>7月</v>
      </c>
      <c s="24" t="str">
        <f t="shared" si="17"/>
        <v>8月</v>
      </c>
      <c s="24" t="str">
        <f t="shared" si="17"/>
        <v>9月</v>
      </c>
      <c s="24" t="str">
        <f t="shared" si="17"/>
        <v>10月</v>
      </c>
      <c s="24" t="str">
        <f t="shared" si="17"/>
        <v>11月</v>
      </c>
      <c s="24" t="str">
        <f t="shared" si="17"/>
        <v>12月</v>
      </c>
      <c s="24" t="str">
        <f t="shared" si="17"/>
        <v>1月</v>
      </c>
      <c s="24" t="str">
        <f t="shared" si="17"/>
        <v>2月</v>
      </c>
      <c s="24" t="str">
        <f t="shared" si="17"/>
        <v>3月</v>
      </c>
      <c s="24" t="s">
        <v>61</v>
      </c>
    </row>
    <row ht="12" hidden="1" customHeight="1" s="40" customFormat="1">
      <c s="11">
        <v>1</v>
      </c>
      <c r="C227" s="113" t="str">
        <f t="shared" si="18" ref="C227:C276">$C174</f>
        <v>加工食品</v>
      </c>
      <c s="18">
        <f t="shared" si="19" ref="D227:H276">IF(INDEX(累計比較データ,$A227,D$172*4+$E$1)="", "--", INDEX(累計比較データ,$A227,D$172*4+$E$1)/$G$1)</f>
        <v>3946504.0868632002</v>
      </c>
      <c s="18">
        <f t="shared" si="19"/>
        <v>3971531.2973945998</v>
      </c>
      <c s="18">
        <f t="shared" si="19"/>
        <v>3871812.8697519</v>
      </c>
      <c s="18">
        <f t="shared" si="19"/>
        <v>3926607.6978435996</v>
      </c>
      <c s="18">
        <f t="shared" si="19"/>
        <v>4098441.4436834003</v>
      </c>
      <c s="18">
        <f t="shared" si="20" ref="I227:M276">IF(INDEX(累計比較データ,$A227,I$172*4+$E$1)="", "--", INDEX(累計比較データ,$A227,I$172*4+$E$1)/$G$1)</f>
        <v>3957499.6168300998</v>
      </c>
      <c s="18">
        <f t="shared" si="20"/>
        <v>4020451.4682773999</v>
      </c>
      <c s="18">
        <f t="shared" si="20"/>
        <v>3878326.8930830001</v>
      </c>
      <c s="18">
        <f t="shared" si="20"/>
        <v>4887963.4468533006</v>
      </c>
      <c s="18">
        <f t="shared" si="20"/>
        <v>3781648.5189918</v>
      </c>
      <c s="18">
        <f t="shared" si="21" ref="N227:O276">IF(INDEX(累計比較データ,$A227,N$172*4+$E$1)="", "--", INDEX(累計比較データ,$A227,N$172*4+$E$1)/$G$1)</f>
        <v>3998841.8733489998</v>
      </c>
      <c s="18">
        <f t="shared" si="21"/>
        <v>4379669.1909587001</v>
      </c>
      <c s="110">
        <f t="shared" si="22" ref="P227:P276">IF(COUNTIF($D227:$O227, "--")=12, "--", SUM($D227:$O227))</f>
        <v>48719298.403879993</v>
      </c>
    </row>
    <row ht="12" hidden="1" customHeight="1" s="40" customFormat="1">
      <c s="11">
        <v>2</v>
      </c>
      <c r="C228" s="113" t="str">
        <f t="shared" si="18"/>
        <v>生鮮食品</v>
      </c>
      <c s="18">
        <f t="shared" si="19"/>
        <v>4100224.923682</v>
      </c>
      <c s="18">
        <f t="shared" si="19"/>
        <v>4116517.6695494</v>
      </c>
      <c s="18">
        <f t="shared" si="19"/>
        <v>3979256.4604479</v>
      </c>
      <c s="18">
        <f t="shared" si="19"/>
        <v>3955551.9132472002</v>
      </c>
      <c s="18">
        <f t="shared" si="19"/>
        <v>4311220.4389890004</v>
      </c>
      <c s="18">
        <f t="shared" si="20"/>
        <v>4162987.9128848999</v>
      </c>
      <c s="18">
        <f t="shared" si="20"/>
        <v>4269068.6092112996</v>
      </c>
      <c s="18">
        <f t="shared" si="20"/>
        <v>4017732.1297891997</v>
      </c>
      <c s="18">
        <f t="shared" si="20"/>
        <v>5013957.9985754006</v>
      </c>
      <c s="18">
        <f t="shared" si="20"/>
        <v>4128172.7951278002</v>
      </c>
      <c s="18">
        <f t="shared" si="21"/>
        <v>4011830.9881465998</v>
      </c>
      <c s="18">
        <f t="shared" si="21"/>
        <v>4414592.6837259</v>
      </c>
      <c s="110">
        <f t="shared" si="22"/>
        <v>50481114.523376599</v>
      </c>
    </row>
    <row ht="12" hidden="1" customHeight="1" s="40" customFormat="1">
      <c s="11">
        <v>3</v>
      </c>
      <c r="C229" s="113" t="str">
        <f t="shared" si="18"/>
        <v>菓子類</v>
      </c>
      <c s="18">
        <f t="shared" si="19"/>
        <v>981868.21214199997</v>
      </c>
      <c s="18">
        <f t="shared" si="19"/>
        <v>998629.10204320005</v>
      </c>
      <c s="18">
        <f t="shared" si="19"/>
        <v>969685.32399139996</v>
      </c>
      <c s="18">
        <f t="shared" si="19"/>
        <v>993141.7109068</v>
      </c>
      <c s="18">
        <f t="shared" si="19"/>
        <v>1044617.7579622001</v>
      </c>
      <c s="18">
        <f t="shared" si="20"/>
        <v>947113.22803629993</v>
      </c>
      <c s="18">
        <f t="shared" si="20"/>
        <v>942774.54642219993</v>
      </c>
      <c s="18">
        <f t="shared" si="20"/>
        <v>889805.68419149995</v>
      </c>
      <c s="18">
        <f t="shared" si="20"/>
        <v>1062810.8331648998</v>
      </c>
      <c s="18">
        <f t="shared" si="20"/>
        <v>898534.50171760004</v>
      </c>
      <c s="18">
        <f t="shared" si="21"/>
        <v>993338.38227920001</v>
      </c>
      <c s="18">
        <f t="shared" si="21"/>
        <v>1084319.6857103</v>
      </c>
      <c s="110">
        <f t="shared" si="22"/>
        <v>11806638.9685676</v>
      </c>
    </row>
    <row ht="12" hidden="1" customHeight="1" s="40" customFormat="1">
      <c s="11">
        <v>4</v>
      </c>
      <c r="C230" s="113" t="str">
        <f t="shared" si="18"/>
        <v>項目4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5</v>
      </c>
      <c r="C231" s="113" t="str">
        <f t="shared" si="18"/>
        <v>項目5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6</v>
      </c>
      <c r="C232" s="113" t="str">
        <f t="shared" si="18"/>
        <v>項目6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7</v>
      </c>
      <c r="C233" s="113" t="str">
        <f t="shared" si="18"/>
        <v>項目7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8</v>
      </c>
      <c r="C234" s="113" t="str">
        <f t="shared" si="18"/>
        <v>項目8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9</v>
      </c>
      <c r="C235" s="113" t="str">
        <f t="shared" si="18"/>
        <v>項目9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10</v>
      </c>
      <c r="C236" s="113" t="str">
        <f t="shared" si="18"/>
        <v>項目10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11</v>
      </c>
      <c r="C237" s="113" t="str">
        <f t="shared" si="18"/>
        <v>項目11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12</v>
      </c>
      <c r="C238" s="113" t="str">
        <f t="shared" si="18"/>
        <v>項目12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13</v>
      </c>
      <c r="C239" s="113" t="str">
        <f t="shared" si="18"/>
        <v>項目13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14</v>
      </c>
      <c r="C240" s="113" t="str">
        <f t="shared" si="18"/>
        <v>項目14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15</v>
      </c>
      <c r="C241" s="113" t="str">
        <f t="shared" si="18"/>
        <v>項目15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16</v>
      </c>
      <c r="C242" s="113" t="str">
        <f t="shared" si="18"/>
        <v>項目16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17</v>
      </c>
      <c r="C243" s="113" t="str">
        <f t="shared" si="18"/>
        <v>項目17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18</v>
      </c>
      <c r="C244" s="113" t="str">
        <f t="shared" si="18"/>
        <v>項目18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19</v>
      </c>
      <c r="C245" s="113" t="str">
        <f t="shared" si="18"/>
        <v>項目19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20</v>
      </c>
      <c r="C246" s="113" t="str">
        <f t="shared" si="18"/>
        <v>項目20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21</v>
      </c>
      <c r="C247" s="113" t="str">
        <f t="shared" si="18"/>
        <v>項目21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22</v>
      </c>
      <c r="C248" s="113" t="str">
        <f t="shared" si="18"/>
        <v>項目22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23</v>
      </c>
      <c r="C249" s="113" t="str">
        <f t="shared" si="18"/>
        <v>項目23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24</v>
      </c>
      <c r="C250" s="113" t="str">
        <f t="shared" si="18"/>
        <v>項目24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25</v>
      </c>
      <c r="C251" s="113" t="str">
        <f t="shared" si="18"/>
        <v>項目25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26</v>
      </c>
      <c r="C252" s="113" t="str">
        <f t="shared" si="18"/>
        <v>項目26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27</v>
      </c>
      <c r="C253" s="113" t="str">
        <f t="shared" si="18"/>
        <v>項目27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28</v>
      </c>
      <c r="C254" s="113" t="str">
        <f t="shared" si="18"/>
        <v>項目28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29</v>
      </c>
      <c r="C255" s="113" t="str">
        <f t="shared" si="18"/>
        <v>項目29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30</v>
      </c>
      <c r="C256" s="113" t="str">
        <f t="shared" si="18"/>
        <v>項目30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31</v>
      </c>
      <c r="C257" s="113" t="str">
        <f t="shared" si="18"/>
        <v>項目31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32</v>
      </c>
      <c r="C258" s="113" t="str">
        <f t="shared" si="18"/>
        <v>項目32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33</v>
      </c>
      <c r="C259" s="113" t="str">
        <f t="shared" si="18"/>
        <v>項目33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34</v>
      </c>
      <c r="C260" s="113" t="str">
        <f t="shared" si="18"/>
        <v>項目34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35</v>
      </c>
      <c r="C261" s="113" t="str">
        <f t="shared" si="18"/>
        <v>項目35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36</v>
      </c>
      <c r="C262" s="113" t="str">
        <f t="shared" si="18"/>
        <v>項目36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37</v>
      </c>
      <c r="C263" s="113" t="str">
        <f t="shared" si="18"/>
        <v>項目37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38</v>
      </c>
      <c r="C264" s="113" t="str">
        <f t="shared" si="18"/>
        <v>項目38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39</v>
      </c>
      <c r="C265" s="113" t="str">
        <f t="shared" si="18"/>
        <v>項目39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40</v>
      </c>
      <c r="C266" s="113" t="str">
        <f t="shared" si="18"/>
        <v>項目40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41</v>
      </c>
      <c r="C267" s="113" t="str">
        <f t="shared" si="18"/>
        <v>項目41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42</v>
      </c>
      <c r="C268" s="113" t="str">
        <f t="shared" si="18"/>
        <v>項目42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43</v>
      </c>
      <c r="C269" s="113" t="str">
        <f t="shared" si="18"/>
        <v>項目43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44</v>
      </c>
      <c r="C270" s="113" t="str">
        <f t="shared" si="18"/>
        <v>項目44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45</v>
      </c>
      <c r="C271" s="113" t="str">
        <f t="shared" si="18"/>
        <v>項目45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46</v>
      </c>
      <c r="C272" s="113" t="str">
        <f t="shared" si="18"/>
        <v>項目46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47</v>
      </c>
      <c r="C273" s="113" t="str">
        <f t="shared" si="18"/>
        <v>項目47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48</v>
      </c>
      <c r="C274" s="113" t="str">
        <f t="shared" si="18"/>
        <v>項目48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49</v>
      </c>
      <c r="C275" s="113" t="str">
        <f t="shared" si="18"/>
        <v>項目49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50</v>
      </c>
      <c r="C276" s="113" t="str">
        <f t="shared" si="18"/>
        <v>項目50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3" hidden="1" customHeight="1" s="40" customFormat="1">
      <c s="11"/>
      <c r="C277" s="241"/>
      <c s="267"/>
      <c s="65"/>
      <c s="65"/>
      <c s="65"/>
      <c s="65"/>
      <c s="65"/>
      <c s="65"/>
      <c s="65"/>
      <c s="65"/>
      <c s="65"/>
      <c s="65"/>
      <c s="211"/>
      <c s="210"/>
    </row>
    <row ht="14.25" hidden="1" customHeight="1" s="40" customFormat="1">
      <c s="11"/>
      <c r="C278" s="24" t="s">
        <v>32</v>
      </c>
      <c s="18">
        <f t="shared" si="23" ref="D278:P278">IF(COUNTIF(D$227:D$276, "--")=50, "--", SUM(D$227:D$276))</f>
        <v>9028597.2226871997</v>
      </c>
      <c s="18">
        <f t="shared" si="23"/>
        <v>9086678.0689872</v>
      </c>
      <c s="18">
        <f t="shared" si="23"/>
        <v>8820754.6541911997</v>
      </c>
      <c s="18">
        <f t="shared" si="23"/>
        <v>8875301.3219975997</v>
      </c>
      <c s="18">
        <f t="shared" si="23"/>
        <v>9454279.6406346019</v>
      </c>
      <c s="18">
        <f t="shared" si="23"/>
        <v>9067600.7577512991</v>
      </c>
      <c s="18">
        <f t="shared" si="23"/>
        <v>9232294.6239109002</v>
      </c>
      <c s="18">
        <f t="shared" si="23"/>
        <v>8785864.707063701</v>
      </c>
      <c s="18">
        <f t="shared" si="23"/>
        <v>10964732.278593602</v>
      </c>
      <c s="18">
        <f t="shared" si="23"/>
        <v>8808355.8158372007</v>
      </c>
      <c s="18">
        <f t="shared" si="23"/>
        <v>9004011.2437747996</v>
      </c>
      <c s="18">
        <f t="shared" si="23"/>
        <v>9878581.5603948999</v>
      </c>
      <c s="18">
        <f t="shared" si="23"/>
        <v>111007051.89582418</v>
      </c>
    </row>
  </sheetData>
  <dataValidations count="1">
    <dataValidation type="list" allowBlank="1" showInputMessage="1" showErrorMessage="1" sqref="D1">
      <formula1>リスト用値単位</formula1>
    </dataValidation>
  </dataValidations>
  <printOptions horizontalCentered="1"/>
  <pageMargins left="0.59055118110236215" right="0.59055118110236215" top="0.59055118110236215" bottom="0.59055118110236215" header="0.31496062992125989" footer="0.31496062992125989"/>
  <pageSetup paperSize="9" orientation="landscape" verticalDpi="300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90"/>
  <sheetViews>
    <sheetView zoomScale="75" workbookViewId="0">
      <pane xSplit="3" ySplit="0" topLeftCell="D1" activePane="topRight" state="frozen"/>
    </sheetView>
  </sheetViews>
  <sheetFormatPr defaultColWidth="5.625" defaultRowHeight="12"/>
  <cols>
    <col min="1" max="1" width="2.125" style="60" customWidth="1"/>
    <col min="2" max="2" width="1.625" style="60" customWidth="1"/>
    <col min="3" max="3" width="35.5" style="109" customWidth="1"/>
    <col min="4" max="15" width="11.625" style="40" customWidth="1"/>
    <col min="16" max="16" width="15.625" style="40" customWidth="1"/>
    <col min="17" max="17" width="1.625" style="60" customWidth="1"/>
    <col min="18" max="18" width="2.125" style="60" customWidth="1"/>
    <col min="19" max="16384" width="5.625" style="60"/>
  </cols>
  <sheetData>
    <row ht="24" customHeight="1">
      <c s="35"/>
      <c s="35"/>
      <c s="296"/>
      <c s="11" t="s">
        <v>0</v>
      </c>
      <c s="11">
        <f>VLOOKUP($D$1, 値単位リスト, 2, FALSE)</f>
        <v>1</v>
      </c>
      <c s="11" t="s">
        <v>1</v>
      </c>
      <c s="11">
        <f>VLOOKUP($F$1, 値単位リスト, 2, FALSE)</f>
        <v>2</v>
      </c>
      <c s="11"/>
      <c s="11"/>
      <c s="11"/>
      <c s="11"/>
      <c s="11"/>
      <c s="11"/>
      <c s="11"/>
      <c s="11"/>
      <c s="11"/>
      <c s="35"/>
      <c s="35"/>
    </row>
    <row ht="24" customHeight="1" s="87" customFormat="1">
      <c s="126"/>
      <c r="C2" s="99" t="str">
        <f>"【 " &amp; 分析種別名称 &amp; " 平均売価推移 】" &amp; PI値モード名称</f>
        <v>【 カテゴリー別 平均売価推移 】</v>
      </c>
      <c s="27"/>
      <c s="27"/>
      <c s="27"/>
      <c s="27"/>
      <c s="27"/>
      <c s="27"/>
      <c s="27"/>
      <c s="27"/>
      <c s="27"/>
      <c s="27"/>
      <c s="27"/>
      <c s="27"/>
      <c s="27"/>
    </row>
    <row ht="12.75" customHeight="1" s="40" customFormat="1">
      <c s="11"/>
      <c r="C3" s="94"/>
      <c s="19"/>
      <c s="19"/>
      <c s="19"/>
      <c s="19"/>
      <c s="19"/>
      <c s="19"/>
      <c s="19"/>
      <c s="19"/>
      <c s="19"/>
      <c s="19"/>
      <c s="19"/>
      <c s="19"/>
      <c s="101" t="str">
        <f>IF(分析POS名称="","",分析POS名称) &amp;  " (" &amp; IF(年度開始年月=分析終了年月,年度開始年月,年度開始年月&amp;"～"&amp;分析終了年月) &amp; ")"</f>
        <v>RDS06 スーパー  04 首都圏 (2019年4月～2020年3月)</v>
      </c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 thickBot="1">
      <c s="35"/>
      <c r="D32" s="11">
        <v>0</v>
      </c>
      <c s="11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</row>
    <row ht="18" customHeight="1" thickBot="1" s="40" customFormat="1">
      <c s="11"/>
      <c r="C33" s="108" t="str">
        <f>分析オプション&amp;"　単位：円"</f>
        <v xml:space="preserve"> [税抜分析]　単位：円</v>
      </c>
      <c s="100" t="str">
        <f>INFO!AC$4</f>
        <v>4月</v>
      </c>
      <c s="28" t="str">
        <f>INFO!AD$4</f>
        <v>5月</v>
      </c>
      <c s="28" t="str">
        <f>INFO!AE$4</f>
        <v>6月</v>
      </c>
      <c s="28" t="str">
        <f>INFO!AF$4</f>
        <v>7月</v>
      </c>
      <c s="28" t="str">
        <f>INFO!AG$4</f>
        <v>8月</v>
      </c>
      <c s="28" t="str">
        <f>INFO!AH$4</f>
        <v>9月</v>
      </c>
      <c s="28" t="str">
        <f>INFO!AI$4</f>
        <v>10月</v>
      </c>
      <c s="28" t="str">
        <f>INFO!AJ$4</f>
        <v>11月</v>
      </c>
      <c s="28" t="str">
        <f>INFO!AK$4</f>
        <v>12月</v>
      </c>
      <c s="28" t="str">
        <f>INFO!AL$4</f>
        <v>1月</v>
      </c>
      <c s="28" t="str">
        <f>INFO!AM$4</f>
        <v>2月</v>
      </c>
      <c s="105" t="str">
        <f>INFO!AN$4</f>
        <v>3月</v>
      </c>
      <c s="117" t="s">
        <v>62</v>
      </c>
    </row>
    <row ht="15" customHeight="1" s="40" customFormat="1">
      <c s="11">
        <v>1</v>
      </c>
      <c r="C34" s="152" t="str">
        <f t="shared" si="0" ref="C34:C83">IF(INDEX(項目,$A34,1)="","",INDEX(項目,$A34,1))</f>
        <v>加工食品</v>
      </c>
      <c s="160">
        <f t="shared" si="1" ref="D34:H83">IF(ISERROR(D143/D89), "--", D143/D89)</f>
        <v>195.55577651674369</v>
      </c>
      <c s="70">
        <f t="shared" si="1"/>
        <v>194.98017175542313</v>
      </c>
      <c s="70">
        <f t="shared" si="1"/>
        <v>196.66457916041389</v>
      </c>
      <c s="41">
        <f t="shared" si="1"/>
        <v>198.71180311758414</v>
      </c>
      <c s="41">
        <f t="shared" si="1"/>
        <v>201.26787983531278</v>
      </c>
      <c s="41">
        <f t="shared" si="2" ref="I34:M83">IF(ISERROR(I143/I89), "--", I143/I89)</f>
        <v>201.01750118840349</v>
      </c>
      <c s="41">
        <f t="shared" si="2"/>
        <v>197.27949278655601</v>
      </c>
      <c s="41">
        <f t="shared" si="2"/>
        <v>197.55498109053306</v>
      </c>
      <c s="41">
        <f t="shared" si="2"/>
        <v>219.54077442919549</v>
      </c>
      <c s="41">
        <f t="shared" si="2"/>
        <v>200.21709323821506</v>
      </c>
      <c s="41">
        <f t="shared" si="3" ref="N34:P83">IF(ISERROR(N143/N89), "--", N143/N89)</f>
        <v>201.6531781696637</v>
      </c>
      <c s="186">
        <f t="shared" si="3"/>
        <v>203.46897719122276</v>
      </c>
      <c s="170">
        <f t="shared" si="3"/>
        <v>200.82138849130715</v>
      </c>
    </row>
    <row ht="15" customHeight="1" s="40" customFormat="1">
      <c s="11">
        <v>2</v>
      </c>
      <c r="C35" s="145" t="str">
        <f t="shared" si="0"/>
        <v>生鮮食品</v>
      </c>
      <c s="242">
        <f t="shared" si="1"/>
        <v>223.33516401363872</v>
      </c>
      <c s="34">
        <f t="shared" si="1"/>
        <v>213.05690409793971</v>
      </c>
      <c s="34">
        <f t="shared" si="1"/>
        <v>228.26545165471688</v>
      </c>
      <c s="34">
        <f t="shared" si="1"/>
        <v>230.4107270684197</v>
      </c>
      <c s="34">
        <f t="shared" si="1"/>
        <v>239.87324544016863</v>
      </c>
      <c s="34">
        <f t="shared" si="2"/>
        <v>236.48291409738329</v>
      </c>
      <c s="34">
        <f t="shared" si="2"/>
        <v>225.49143786823842</v>
      </c>
      <c s="34">
        <f t="shared" si="2"/>
        <v>225.62350171824119</v>
      </c>
      <c s="34">
        <f t="shared" si="2"/>
        <v>263.02260849045035</v>
      </c>
      <c s="34">
        <f t="shared" si="2"/>
        <v>241.44801305309247</v>
      </c>
      <c s="34">
        <f t="shared" si="3"/>
        <v>232.94232846538171</v>
      </c>
      <c s="155">
        <f t="shared" si="3"/>
        <v>236.66188178603423</v>
      </c>
      <c s="158">
        <f t="shared" si="3"/>
        <v>232.77742490443416</v>
      </c>
    </row>
    <row ht="15" customHeight="1" s="40" customFormat="1">
      <c s="11">
        <v>3</v>
      </c>
      <c r="C36" s="145" t="str">
        <f t="shared" si="0"/>
        <v>菓子類</v>
      </c>
      <c s="242">
        <f t="shared" si="1"/>
        <v>140.26352128046258</v>
      </c>
      <c s="34">
        <f t="shared" si="1"/>
        <v>139.33465363312047</v>
      </c>
      <c s="34">
        <f t="shared" si="1"/>
        <v>138.99504163071032</v>
      </c>
      <c s="34">
        <f t="shared" si="1"/>
        <v>138.12651556398683</v>
      </c>
      <c s="34">
        <f t="shared" si="1"/>
        <v>138.23142278438328</v>
      </c>
      <c s="34">
        <f t="shared" si="2"/>
        <v>140.77993002270213</v>
      </c>
      <c s="34">
        <f t="shared" si="2"/>
        <v>140.65401357670044</v>
      </c>
      <c s="34">
        <f t="shared" si="2"/>
        <v>142.77612187806142</v>
      </c>
      <c s="34">
        <f t="shared" si="2"/>
        <v>155.78525633567509</v>
      </c>
      <c s="34">
        <f t="shared" si="2"/>
        <v>145.57921986665667</v>
      </c>
      <c s="34">
        <f t="shared" si="3"/>
        <v>144.24964871216645</v>
      </c>
      <c s="155">
        <f t="shared" si="3"/>
        <v>145.03275156305423</v>
      </c>
      <c s="158">
        <f t="shared" si="3"/>
        <v>142.40191993703712</v>
      </c>
    </row>
    <row ht="15" hidden="1" customHeight="1" s="40" customFormat="1">
      <c s="11">
        <v>4</v>
      </c>
      <c r="C37" s="145" t="str">
        <f t="shared" si="0"/>
        <v>項目4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5</v>
      </c>
      <c r="C38" s="145" t="str">
        <f t="shared" si="0"/>
        <v>項目5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6</v>
      </c>
      <c r="C39" s="145" t="str">
        <f t="shared" si="0"/>
        <v>項目6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7</v>
      </c>
      <c r="C40" s="145" t="str">
        <f t="shared" si="0"/>
        <v>項目7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8</v>
      </c>
      <c r="C41" s="145" t="str">
        <f t="shared" si="0"/>
        <v>項目8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9</v>
      </c>
      <c r="C42" s="145" t="str">
        <f t="shared" si="0"/>
        <v>項目9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10</v>
      </c>
      <c r="C43" s="145" t="str">
        <f t="shared" si="0"/>
        <v>項目10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11</v>
      </c>
      <c r="C44" s="145" t="str">
        <f t="shared" si="0"/>
        <v>項目11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12</v>
      </c>
      <c r="C45" s="145" t="str">
        <f t="shared" si="0"/>
        <v>項目12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13</v>
      </c>
      <c r="C46" s="145" t="str">
        <f t="shared" si="0"/>
        <v>項目13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14</v>
      </c>
      <c r="C47" s="145" t="str">
        <f t="shared" si="0"/>
        <v>項目14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15</v>
      </c>
      <c r="C48" s="145" t="str">
        <f t="shared" si="0"/>
        <v>項目15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16</v>
      </c>
      <c r="C49" s="145" t="str">
        <f t="shared" si="0"/>
        <v>項目16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17</v>
      </c>
      <c r="C50" s="145" t="str">
        <f t="shared" si="0"/>
        <v>項目17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18</v>
      </c>
      <c r="C51" s="145" t="str">
        <f t="shared" si="0"/>
        <v>項目18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19</v>
      </c>
      <c r="C52" s="145" t="str">
        <f t="shared" si="0"/>
        <v>項目19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20</v>
      </c>
      <c r="C53" s="145" t="str">
        <f t="shared" si="0"/>
        <v>項目20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21</v>
      </c>
      <c r="C54" s="145" t="str">
        <f t="shared" si="0"/>
        <v>項目21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22</v>
      </c>
      <c r="C55" s="145" t="str">
        <f t="shared" si="0"/>
        <v>項目22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23</v>
      </c>
      <c r="C56" s="145" t="str">
        <f t="shared" si="0"/>
        <v>項目23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24</v>
      </c>
      <c r="C57" s="145" t="str">
        <f t="shared" si="0"/>
        <v>項目24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25</v>
      </c>
      <c r="C58" s="145" t="str">
        <f t="shared" si="0"/>
        <v>項目25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26</v>
      </c>
      <c r="C59" s="145" t="str">
        <f t="shared" si="0"/>
        <v>項目26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27</v>
      </c>
      <c r="C60" s="145" t="str">
        <f t="shared" si="0"/>
        <v>項目27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28</v>
      </c>
      <c r="C61" s="145" t="str">
        <f t="shared" si="0"/>
        <v>項目28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29</v>
      </c>
      <c r="C62" s="145" t="str">
        <f t="shared" si="0"/>
        <v>項目29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30</v>
      </c>
      <c r="C63" s="145" t="str">
        <f t="shared" si="0"/>
        <v>項目30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31</v>
      </c>
      <c r="C64" s="145" t="str">
        <f t="shared" si="0"/>
        <v>項目31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32</v>
      </c>
      <c r="C65" s="145" t="str">
        <f t="shared" si="0"/>
        <v>項目32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33</v>
      </c>
      <c r="C66" s="145" t="str">
        <f t="shared" si="0"/>
        <v>項目33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34</v>
      </c>
      <c r="C67" s="145" t="str">
        <f t="shared" si="0"/>
        <v>項目34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35</v>
      </c>
      <c r="C68" s="145" t="str">
        <f t="shared" si="0"/>
        <v>項目35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36</v>
      </c>
      <c r="C69" s="145" t="str">
        <f t="shared" si="0"/>
        <v>項目36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37</v>
      </c>
      <c r="C70" s="145" t="str">
        <f t="shared" si="0"/>
        <v>項目37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38</v>
      </c>
      <c r="C71" s="145" t="str">
        <f t="shared" si="0"/>
        <v>項目38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39</v>
      </c>
      <c r="C72" s="145" t="str">
        <f t="shared" si="0"/>
        <v>項目39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40</v>
      </c>
      <c r="C73" s="145" t="str">
        <f t="shared" si="0"/>
        <v>項目40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41</v>
      </c>
      <c r="C74" s="145" t="str">
        <f t="shared" si="0"/>
        <v>項目41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42</v>
      </c>
      <c r="C75" s="145" t="str">
        <f t="shared" si="0"/>
        <v>項目42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43</v>
      </c>
      <c r="C76" s="145" t="str">
        <f t="shared" si="0"/>
        <v>項目43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44</v>
      </c>
      <c r="C77" s="145" t="str">
        <f t="shared" si="0"/>
        <v>項目44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45</v>
      </c>
      <c r="C78" s="145" t="str">
        <f t="shared" si="0"/>
        <v>項目45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46</v>
      </c>
      <c r="C79" s="145" t="str">
        <f t="shared" si="0"/>
        <v>項目46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47</v>
      </c>
      <c r="C80" s="145" t="str">
        <f t="shared" si="0"/>
        <v>項目47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48</v>
      </c>
      <c r="C81" s="145" t="str">
        <f t="shared" si="0"/>
        <v>項目48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s="40" customFormat="1">
      <c s="11">
        <v>49</v>
      </c>
      <c r="C82" s="145" t="str">
        <f t="shared" si="0"/>
        <v>項目49</v>
      </c>
      <c s="242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58" t="str">
        <f t="shared" si="3"/>
        <v>--</v>
      </c>
    </row>
    <row ht="15" hidden="1" customHeight="1" thickBot="1" s="40" customFormat="1">
      <c s="11">
        <v>50</v>
      </c>
      <c r="C83" s="138" t="str">
        <f t="shared" si="0"/>
        <v>項目50</v>
      </c>
      <c s="354" t="str">
        <f t="shared" si="1"/>
        <v>--</v>
      </c>
      <c s="36" t="str">
        <f t="shared" si="1"/>
        <v>--</v>
      </c>
      <c s="36" t="str">
        <f t="shared" si="1"/>
        <v>--</v>
      </c>
      <c s="36" t="str">
        <f t="shared" si="1"/>
        <v>--</v>
      </c>
      <c s="36" t="str">
        <f t="shared" si="1"/>
        <v>--</v>
      </c>
      <c s="36" t="str">
        <f t="shared" si="2"/>
        <v>--</v>
      </c>
      <c s="36" t="str">
        <f t="shared" si="2"/>
        <v>--</v>
      </c>
      <c s="36" t="str">
        <f t="shared" si="2"/>
        <v>--</v>
      </c>
      <c s="36" t="str">
        <f t="shared" si="2"/>
        <v>--</v>
      </c>
      <c s="36" t="str">
        <f t="shared" si="2"/>
        <v>--</v>
      </c>
      <c s="36" t="str">
        <f t="shared" si="3"/>
        <v>--</v>
      </c>
      <c s="167" t="str">
        <f t="shared" si="3"/>
        <v>--</v>
      </c>
      <c s="198" t="str">
        <f t="shared" si="3"/>
        <v>--</v>
      </c>
    </row>
    <row ht="6.75" customHeight="1" thickBot="1">
      <c s="35"/>
      <c r="C84" s="132"/>
      <c s="33"/>
      <c s="33"/>
      <c s="33"/>
      <c s="33"/>
      <c s="33"/>
      <c s="33"/>
      <c s="33"/>
      <c s="33"/>
      <c s="33"/>
      <c s="33"/>
      <c s="33"/>
      <c s="33"/>
      <c s="33"/>
    </row>
    <row ht="20.25" customHeight="1" thickBot="1">
      <c s="35"/>
      <c r="C85" s="153" t="s">
        <v>109</v>
      </c>
      <c s="213">
        <f t="shared" si="4" ref="D85:P85">IF(ISERROR(D194/D140), "--", D194/D140)</f>
        <v>198.45449102948484</v>
      </c>
      <c s="67">
        <f t="shared" si="4"/>
        <v>194.59316443906494</v>
      </c>
      <c s="67">
        <f t="shared" si="4"/>
        <v>199.94096270458147</v>
      </c>
      <c s="67">
        <f t="shared" si="4"/>
        <v>202.20777462081543</v>
      </c>
      <c s="67">
        <f t="shared" si="4"/>
        <v>206.64828552897706</v>
      </c>
      <c s="67">
        <f t="shared" si="4"/>
        <v>205.77626785047241</v>
      </c>
      <c s="67">
        <f t="shared" si="4"/>
        <v>200.4709611283705</v>
      </c>
      <c s="67">
        <f t="shared" si="4"/>
        <v>200.76756568310404</v>
      </c>
      <c s="67">
        <f t="shared" si="4"/>
        <v>227.59934609120981</v>
      </c>
      <c s="67">
        <f t="shared" si="4"/>
        <v>208.77096083411928</v>
      </c>
      <c s="67">
        <f t="shared" si="4"/>
        <v>205.3582125205989</v>
      </c>
      <c s="272">
        <f t="shared" si="4"/>
        <v>207.30580762881351</v>
      </c>
      <c s="205">
        <f t="shared" si="4"/>
        <v>204.83223852204395</v>
      </c>
    </row>
    <row ht="9" customHeight="1">
      <c s="35"/>
      <c r="C86" s="316"/>
      <c s="86"/>
      <c s="86"/>
      <c s="86"/>
      <c s="86"/>
      <c s="86"/>
      <c s="86"/>
      <c s="86"/>
      <c s="86"/>
      <c s="86"/>
      <c s="86"/>
      <c s="86"/>
      <c s="86"/>
      <c s="86"/>
    </row>
    <row ht="12" customHeight="1">
      <c s="35"/>
    </row>
    <row ht="12" hidden="1" customHeight="1" s="40" customFormat="1">
      <c s="11"/>
      <c r="C88" s="98"/>
      <c s="24" t="str">
        <f t="shared" si="5" ref="D88:O88">D$33</f>
        <v>4月</v>
      </c>
      <c s="24" t="str">
        <f t="shared" si="5"/>
        <v>5月</v>
      </c>
      <c s="24" t="str">
        <f t="shared" si="5"/>
        <v>6月</v>
      </c>
      <c s="24" t="str">
        <f t="shared" si="5"/>
        <v>7月</v>
      </c>
      <c s="24" t="str">
        <f t="shared" si="5"/>
        <v>8月</v>
      </c>
      <c s="24" t="str">
        <f t="shared" si="5"/>
        <v>9月</v>
      </c>
      <c s="24" t="str">
        <f t="shared" si="5"/>
        <v>10月</v>
      </c>
      <c s="24" t="str">
        <f t="shared" si="5"/>
        <v>11月</v>
      </c>
      <c s="24" t="str">
        <f t="shared" si="5"/>
        <v>12月</v>
      </c>
      <c s="24" t="str">
        <f t="shared" si="5"/>
        <v>1月</v>
      </c>
      <c s="24" t="str">
        <f t="shared" si="5"/>
        <v>2月</v>
      </c>
      <c s="24" t="str">
        <f t="shared" si="5"/>
        <v>3月</v>
      </c>
      <c s="24" t="s">
        <v>61</v>
      </c>
    </row>
    <row ht="12" hidden="1" customHeight="1" s="40" customFormat="1">
      <c s="11">
        <v>1</v>
      </c>
      <c r="C89" s="113" t="str">
        <f t="shared" si="6" ref="C89:C138">$C34</f>
        <v>加工食品</v>
      </c>
      <c s="18">
        <f t="shared" si="7" ref="D89:H138">IF(INDEX(累計分析データ,$A89,D$32*4+$E$1)="", "--", INDEX(累計分析データ,$A89,D$32*4+$E$1))</f>
        <v>24833454.846500002</v>
      </c>
      <c s="18">
        <f t="shared" si="7"/>
        <v>24982476.697799999</v>
      </c>
      <c s="18">
        <f t="shared" si="7"/>
        <v>23674220.680500001</v>
      </c>
      <c s="18">
        <f t="shared" si="7"/>
        <v>23819295.034200002</v>
      </c>
      <c s="18">
        <f t="shared" si="7"/>
        <v>23463837.484299999</v>
      </c>
      <c s="18">
        <f t="shared" si="8" ref="I89:M138">IF(INDEX(累計分析データ,$A89,I$32*4+$E$1)="", "--", INDEX(累計分析データ,$A89,I$32*4+$E$1))</f>
        <v>23421701.346799999</v>
      </c>
      <c s="18">
        <f t="shared" si="8"/>
        <v>24634229.734299999</v>
      </c>
      <c s="18">
        <f t="shared" si="8"/>
        <v>23641373.5704</v>
      </c>
      <c s="18">
        <f t="shared" si="8"/>
        <v>26462288.329700001</v>
      </c>
      <c s="18">
        <f t="shared" si="8"/>
        <v>22815054.751699999</v>
      </c>
      <c s="18">
        <f t="shared" si="9" ref="N89:O138">IF(INDEX(累計分析データ,$A89,N$32*4+$E$1)="", "--", INDEX(累計分析データ,$A89,N$32*4+$E$1))</f>
        <v>24165799.403900001</v>
      </c>
      <c s="18">
        <f t="shared" si="9"/>
        <v>27603370.379799999</v>
      </c>
      <c s="110">
        <f t="shared" si="10" ref="P89:P138">IF(INDEX(合算分析データ,$A89,P$32*4+$E$1)="", "--", INDEX(合算分析データ,$A89,P$32*4+$E$1))</f>
        <v>293517102.25989997</v>
      </c>
    </row>
    <row ht="12" hidden="1" customHeight="1" s="40" customFormat="1">
      <c s="11">
        <v>2</v>
      </c>
      <c r="C90" s="113" t="str">
        <f t="shared" si="6"/>
        <v>生鮮食品</v>
      </c>
      <c s="18">
        <f t="shared" si="7"/>
        <v>22115557.595600002</v>
      </c>
      <c s="18">
        <f t="shared" si="7"/>
        <v>24588880.925299998</v>
      </c>
      <c s="18">
        <f t="shared" si="7"/>
        <v>20198443.434900001</v>
      </c>
      <c s="18">
        <f t="shared" si="7"/>
        <v>21656200.481800001</v>
      </c>
      <c s="18">
        <f t="shared" si="7"/>
        <v>20762687.084399998</v>
      </c>
      <c s="18">
        <f t="shared" si="8"/>
        <v>19772526.101100001</v>
      </c>
      <c s="18">
        <f t="shared" si="8"/>
        <v>21788211.767200001</v>
      </c>
      <c s="18">
        <f t="shared" si="8"/>
        <v>19768562.363499999</v>
      </c>
      <c s="18">
        <f t="shared" si="8"/>
        <v>21619705.516100001</v>
      </c>
      <c s="18">
        <f t="shared" si="8"/>
        <v>19702858.889199998</v>
      </c>
      <c s="18">
        <f t="shared" si="9"/>
        <v>21022041.629799999</v>
      </c>
      <c s="18">
        <f t="shared" si="9"/>
        <v>22524949.985599998</v>
      </c>
      <c s="110">
        <f t="shared" si="10"/>
        <v>255520625.77450001</v>
      </c>
    </row>
    <row ht="12" hidden="1" customHeight="1" s="40" customFormat="1">
      <c s="11">
        <v>3</v>
      </c>
      <c r="C91" s="113" t="str">
        <f t="shared" si="6"/>
        <v>菓子類</v>
      </c>
      <c s="18">
        <f t="shared" si="7"/>
        <v>8218884.5192999998</v>
      </c>
      <c s="18">
        <f t="shared" si="7"/>
        <v>8390944.4971999992</v>
      </c>
      <c s="18">
        <f t="shared" si="7"/>
        <v>8114484.9747000001</v>
      </c>
      <c s="18">
        <f t="shared" si="7"/>
        <v>8231692.4398999996</v>
      </c>
      <c s="18">
        <f t="shared" si="7"/>
        <v>8237654.5580000002</v>
      </c>
      <c s="18">
        <f t="shared" si="8"/>
        <v>7626422.8020000001</v>
      </c>
      <c s="18">
        <f t="shared" si="8"/>
        <v>7799329.4626000002</v>
      </c>
      <c s="18">
        <f t="shared" si="8"/>
        <v>7163405.1831999999</v>
      </c>
      <c s="18">
        <f t="shared" si="8"/>
        <v>7694760.9658000004</v>
      </c>
      <c s="18">
        <f t="shared" si="8"/>
        <v>7100206.2038000003</v>
      </c>
      <c s="18">
        <f t="shared" si="9"/>
        <v>8024068.7433000002</v>
      </c>
      <c s="18">
        <f t="shared" si="9"/>
        <v>8917735.6242999993</v>
      </c>
      <c s="110">
        <f t="shared" si="10"/>
        <v>95519589.974099994</v>
      </c>
    </row>
    <row ht="12" hidden="1" customHeight="1" s="40" customFormat="1">
      <c s="11">
        <v>4</v>
      </c>
      <c r="C92" s="113" t="str">
        <f t="shared" si="6"/>
        <v>項目4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5</v>
      </c>
      <c r="C93" s="113" t="str">
        <f t="shared" si="6"/>
        <v>項目5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6</v>
      </c>
      <c r="C94" s="113" t="str">
        <f t="shared" si="6"/>
        <v>項目6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7</v>
      </c>
      <c r="C95" s="113" t="str">
        <f t="shared" si="6"/>
        <v>項目7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8</v>
      </c>
      <c r="C96" s="113" t="str">
        <f t="shared" si="6"/>
        <v>項目8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9</v>
      </c>
      <c r="C97" s="113" t="str">
        <f t="shared" si="6"/>
        <v>項目9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10</v>
      </c>
      <c r="C98" s="113" t="str">
        <f t="shared" si="6"/>
        <v>項目10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11</v>
      </c>
      <c r="C99" s="113" t="str">
        <f t="shared" si="6"/>
        <v>項目11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12</v>
      </c>
      <c r="C100" s="113" t="str">
        <f t="shared" si="6"/>
        <v>項目12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13</v>
      </c>
      <c r="C101" s="113" t="str">
        <f t="shared" si="6"/>
        <v>項目13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14</v>
      </c>
      <c r="C102" s="113" t="str">
        <f t="shared" si="6"/>
        <v>項目14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15</v>
      </c>
      <c r="C103" s="113" t="str">
        <f t="shared" si="6"/>
        <v>項目15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16</v>
      </c>
      <c r="C104" s="113" t="str">
        <f t="shared" si="6"/>
        <v>項目16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17</v>
      </c>
      <c r="C105" s="113" t="str">
        <f t="shared" si="6"/>
        <v>項目17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18</v>
      </c>
      <c r="C106" s="113" t="str">
        <f t="shared" si="6"/>
        <v>項目18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19</v>
      </c>
      <c r="C107" s="113" t="str">
        <f t="shared" si="6"/>
        <v>項目19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20</v>
      </c>
      <c r="C108" s="113" t="str">
        <f t="shared" si="6"/>
        <v>項目20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21</v>
      </c>
      <c r="C109" s="113" t="str">
        <f t="shared" si="6"/>
        <v>項目21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22</v>
      </c>
      <c r="C110" s="113" t="str">
        <f t="shared" si="6"/>
        <v>項目22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23</v>
      </c>
      <c r="C111" s="113" t="str">
        <f t="shared" si="6"/>
        <v>項目23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24</v>
      </c>
      <c r="C112" s="113" t="str">
        <f t="shared" si="6"/>
        <v>項目24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25</v>
      </c>
      <c r="C113" s="113" t="str">
        <f t="shared" si="6"/>
        <v>項目25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26</v>
      </c>
      <c r="C114" s="113" t="str">
        <f t="shared" si="6"/>
        <v>項目26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27</v>
      </c>
      <c r="C115" s="113" t="str">
        <f t="shared" si="6"/>
        <v>項目27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28</v>
      </c>
      <c r="C116" s="113" t="str">
        <f t="shared" si="6"/>
        <v>項目28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29</v>
      </c>
      <c r="C117" s="113" t="str">
        <f t="shared" si="6"/>
        <v>項目29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30</v>
      </c>
      <c r="C118" s="113" t="str">
        <f t="shared" si="6"/>
        <v>項目30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31</v>
      </c>
      <c r="C119" s="113" t="str">
        <f t="shared" si="6"/>
        <v>項目31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32</v>
      </c>
      <c r="C120" s="113" t="str">
        <f t="shared" si="6"/>
        <v>項目32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33</v>
      </c>
      <c r="C121" s="113" t="str">
        <f t="shared" si="6"/>
        <v>項目33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34</v>
      </c>
      <c r="C122" s="113" t="str">
        <f t="shared" si="6"/>
        <v>項目34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35</v>
      </c>
      <c r="C123" s="113" t="str">
        <f t="shared" si="6"/>
        <v>項目35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36</v>
      </c>
      <c r="C124" s="113" t="str">
        <f t="shared" si="6"/>
        <v>項目36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37</v>
      </c>
      <c r="C125" s="113" t="str">
        <f t="shared" si="6"/>
        <v>項目37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38</v>
      </c>
      <c r="C126" s="113" t="str">
        <f t="shared" si="6"/>
        <v>項目38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39</v>
      </c>
      <c r="C127" s="113" t="str">
        <f t="shared" si="6"/>
        <v>項目39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40</v>
      </c>
      <c r="C128" s="113" t="str">
        <f t="shared" si="6"/>
        <v>項目40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41</v>
      </c>
      <c r="C129" s="113" t="str">
        <f t="shared" si="6"/>
        <v>項目41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42</v>
      </c>
      <c r="C130" s="113" t="str">
        <f t="shared" si="6"/>
        <v>項目42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43</v>
      </c>
      <c r="C131" s="113" t="str">
        <f t="shared" si="6"/>
        <v>項目43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44</v>
      </c>
      <c r="C132" s="113" t="str">
        <f t="shared" si="6"/>
        <v>項目44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45</v>
      </c>
      <c r="C133" s="113" t="str">
        <f t="shared" si="6"/>
        <v>項目45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46</v>
      </c>
      <c r="C134" s="113" t="str">
        <f t="shared" si="6"/>
        <v>項目46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47</v>
      </c>
      <c r="C135" s="113" t="str">
        <f t="shared" si="6"/>
        <v>項目47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48</v>
      </c>
      <c r="C136" s="113" t="str">
        <f t="shared" si="6"/>
        <v>項目48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49</v>
      </c>
      <c r="C137" s="113" t="str">
        <f t="shared" si="6"/>
        <v>項目49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50</v>
      </c>
      <c r="C138" s="113" t="str">
        <f t="shared" si="6"/>
        <v>項目50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6" hidden="1" customHeight="1" s="40" customFormat="1">
      <c s="11"/>
      <c r="C139" s="113"/>
      <c s="18"/>
      <c s="18"/>
      <c s="18"/>
      <c s="18"/>
      <c s="18"/>
      <c s="18"/>
      <c s="18"/>
      <c s="18"/>
      <c s="18"/>
      <c s="18"/>
      <c s="18"/>
      <c s="18"/>
      <c s="110"/>
    </row>
    <row ht="12" hidden="1" customHeight="1" s="40" customFormat="1">
      <c s="11">
        <v>1</v>
      </c>
      <c r="C140" s="113" t="s">
        <v>109</v>
      </c>
      <c s="18">
        <f t="shared" si="11" ref="D140:O140">IF(INDEX(累計分析データ期間合計,$A140,D$32*4+$E$1)="", "--", INDEX(累計分析データ期間合計,$A140,D$32*4+$E$1))</f>
        <v>55167896.961400002</v>
      </c>
      <c s="18">
        <f t="shared" si="11"/>
        <v>57962302.120300002</v>
      </c>
      <c s="18">
        <f t="shared" si="11"/>
        <v>51987149.090099998</v>
      </c>
      <c s="18">
        <f t="shared" si="11"/>
        <v>53707187.955899999</v>
      </c>
      <c s="18">
        <f t="shared" si="11"/>
        <v>52464179.126699999</v>
      </c>
      <c s="18">
        <f t="shared" si="11"/>
        <v>50820650.249899998</v>
      </c>
      <c s="18">
        <f t="shared" si="11"/>
        <v>54221770.964100003</v>
      </c>
      <c s="18">
        <f t="shared" si="11"/>
        <v>50573341.1171</v>
      </c>
      <c s="18">
        <f t="shared" si="11"/>
        <v>55776754.8116</v>
      </c>
      <c s="18">
        <f t="shared" si="11"/>
        <v>49618119.844700001</v>
      </c>
      <c s="18">
        <f t="shared" si="11"/>
        <v>53211909.777000003</v>
      </c>
      <c s="18">
        <f t="shared" si="11"/>
        <v>59046055.989699997</v>
      </c>
      <c s="110">
        <f>IF(INDEX(合算分析データ合計,$A140,P$32*4+$E$1)="", "--", INDEX(合算分析データ合計,$A140,P$32*4+$E$1))</f>
        <v>644557318.00849998</v>
      </c>
    </row>
    <row ht="12" hidden="1" customHeight="1">
      <c s="35"/>
    </row>
    <row ht="12" hidden="1" customHeight="1" s="40" customFormat="1">
      <c s="11"/>
      <c r="C142" s="98"/>
      <c s="24" t="str">
        <f t="shared" si="12" ref="D142:O142">D$33</f>
        <v>4月</v>
      </c>
      <c s="24" t="str">
        <f t="shared" si="12"/>
        <v>5月</v>
      </c>
      <c s="24" t="str">
        <f t="shared" si="12"/>
        <v>6月</v>
      </c>
      <c s="24" t="str">
        <f t="shared" si="12"/>
        <v>7月</v>
      </c>
      <c s="24" t="str">
        <f t="shared" si="12"/>
        <v>8月</v>
      </c>
      <c s="24" t="str">
        <f t="shared" si="12"/>
        <v>9月</v>
      </c>
      <c s="24" t="str">
        <f t="shared" si="12"/>
        <v>10月</v>
      </c>
      <c s="24" t="str">
        <f t="shared" si="12"/>
        <v>11月</v>
      </c>
      <c s="24" t="str">
        <f t="shared" si="12"/>
        <v>12月</v>
      </c>
      <c s="24" t="str">
        <f t="shared" si="12"/>
        <v>1月</v>
      </c>
      <c s="24" t="str">
        <f t="shared" si="12"/>
        <v>2月</v>
      </c>
      <c s="24" t="str">
        <f t="shared" si="12"/>
        <v>3月</v>
      </c>
      <c s="24" t="s">
        <v>61</v>
      </c>
    </row>
    <row ht="12" hidden="1" customHeight="1" s="40" customFormat="1">
      <c s="11">
        <v>1</v>
      </c>
      <c r="C143" s="113" t="str">
        <f t="shared" si="13" ref="C143:C192">$C34</f>
        <v>加工食品</v>
      </c>
      <c s="18">
        <f t="shared" si="14" ref="D143:H192">IF(INDEX(累計分析データ,$A143,D$32*4+$G$1)="", "--", INDEX(累計分析データ,$A143,D$32*4+$G$1))</f>
        <v>4856325546.1007996</v>
      </c>
      <c s="18">
        <f t="shared" si="14"/>
        <v>4871087597.4129</v>
      </c>
      <c s="18">
        <f t="shared" si="14"/>
        <v>4655880647.0812998</v>
      </c>
      <c s="18">
        <f t="shared" si="14"/>
        <v>4733175065.2356005</v>
      </c>
      <c s="18">
        <f t="shared" si="14"/>
        <v>4722516823.2653999</v>
      </c>
      <c s="18">
        <f t="shared" si="15" ref="I143:M192">IF(INDEX(累計分析データ,$A143,I$32*4+$G$1)="", "--", INDEX(累計分析データ,$A143,I$32*4+$G$1))</f>
        <v>4708171878.3148003</v>
      </c>
      <c s="18">
        <f t="shared" si="15"/>
        <v>4859828347.1702003</v>
      </c>
      <c s="18">
        <f t="shared" si="15"/>
        <v>4670471108.6546001</v>
      </c>
      <c s="18">
        <f t="shared" si="15"/>
        <v>5809551273.0710001</v>
      </c>
      <c s="18">
        <f t="shared" si="15"/>
        <v>4567963944.4561005</v>
      </c>
      <c s="18">
        <f t="shared" si="16" ref="N143:O192">IF(INDEX(累計分析データ,$A143,N$32*4+$G$1)="", "--", INDEX(累計分析データ,$A143,N$32*4+$G$1))</f>
        <v>4873110252.8070002</v>
      </c>
      <c s="18">
        <f t="shared" si="16"/>
        <v>5616429538.2083998</v>
      </c>
      <c s="110">
        <f t="shared" si="17" ref="P143:P192">IF(INDEX(合算分析データ,$A143,P$32*4+$G$1)="", "--", INDEX(合算分析データ,$A143,P$32*4+$G$1))</f>
        <v>58944512021.778099</v>
      </c>
    </row>
    <row ht="12" hidden="1" customHeight="1" s="40" customFormat="1">
      <c s="11">
        <v>2</v>
      </c>
      <c r="C144" s="113" t="str">
        <f t="shared" si="13"/>
        <v>生鮮食品</v>
      </c>
      <c s="18">
        <f t="shared" si="14"/>
        <v>4939181682.8663998</v>
      </c>
      <c s="18">
        <f t="shared" si="14"/>
        <v>5238830845.1773005</v>
      </c>
      <c s="18">
        <f t="shared" si="14"/>
        <v>4610606813.3896999</v>
      </c>
      <c s="18">
        <f t="shared" si="14"/>
        <v>4989820898.5509996</v>
      </c>
      <c s="18">
        <f t="shared" si="14"/>
        <v>4980413134.9937</v>
      </c>
      <c s="18">
        <f t="shared" si="15"/>
        <v>4675864591.4547005</v>
      </c>
      <c s="18">
        <f t="shared" si="15"/>
        <v>4913055199.9636002</v>
      </c>
      <c s="18">
        <f t="shared" si="15"/>
        <v>4460252264.3882999</v>
      </c>
      <c s="18">
        <f t="shared" si="15"/>
        <v>5686471339.6400003</v>
      </c>
      <c s="18">
        <f t="shared" si="15"/>
        <v>4757216130.2628002</v>
      </c>
      <c s="18">
        <f t="shared" si="16"/>
        <v>4896923326.3417997</v>
      </c>
      <c s="18">
        <f t="shared" si="16"/>
        <v>5330797050.7284002</v>
      </c>
      <c s="110">
        <f t="shared" si="17"/>
        <v>59479433277.757698</v>
      </c>
    </row>
    <row ht="12" hidden="1" customHeight="1" s="40" customFormat="1">
      <c s="11">
        <v>3</v>
      </c>
      <c r="C145" s="113" t="str">
        <f t="shared" si="13"/>
        <v>菓子類</v>
      </c>
      <c s="18">
        <f t="shared" si="14"/>
        <v>1152809683.6745</v>
      </c>
      <c s="18">
        <f t="shared" si="14"/>
        <v>1169149345.1721001</v>
      </c>
      <c s="18">
        <f t="shared" si="14"/>
        <v>1127873176.8701999</v>
      </c>
      <c s="18">
        <f t="shared" si="14"/>
        <v>1137014993.9177999</v>
      </c>
      <c s="18">
        <f t="shared" si="14"/>
        <v>1138702709.9586</v>
      </c>
      <c s="18">
        <f t="shared" si="15"/>
        <v>1073647268.3891</v>
      </c>
      <c s="18">
        <f t="shared" si="15"/>
        <v>1097006992.1217</v>
      </c>
      <c s="18">
        <f t="shared" si="15"/>
        <v>1022763211.4985</v>
      </c>
      <c s="18">
        <f t="shared" si="15"/>
        <v>1198730309.4988999</v>
      </c>
      <c s="18">
        <f t="shared" si="15"/>
        <v>1033642480.0416</v>
      </c>
      <c s="18">
        <f t="shared" si="16"/>
        <v>1157469097.4633</v>
      </c>
      <c s="18">
        <f t="shared" si="16"/>
        <v>1293363735.3041</v>
      </c>
      <c s="110">
        <f t="shared" si="17"/>
        <v>13602173003.9104</v>
      </c>
    </row>
    <row ht="12" hidden="1" customHeight="1" s="40" customFormat="1">
      <c s="11">
        <v>4</v>
      </c>
      <c r="C146" s="113" t="str">
        <f t="shared" si="13"/>
        <v>項目4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5</v>
      </c>
      <c r="C147" s="113" t="str">
        <f t="shared" si="13"/>
        <v>項目5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6</v>
      </c>
      <c r="C148" s="113" t="str">
        <f t="shared" si="13"/>
        <v>項目6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7</v>
      </c>
      <c r="C149" s="113" t="str">
        <f t="shared" si="13"/>
        <v>項目7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8</v>
      </c>
      <c r="C150" s="113" t="str">
        <f t="shared" si="13"/>
        <v>項目8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9</v>
      </c>
      <c r="C151" s="113" t="str">
        <f t="shared" si="13"/>
        <v>項目9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10</v>
      </c>
      <c r="C152" s="113" t="str">
        <f t="shared" si="13"/>
        <v>項目10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11</v>
      </c>
      <c r="C153" s="113" t="str">
        <f t="shared" si="13"/>
        <v>項目11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12</v>
      </c>
      <c r="C154" s="113" t="str">
        <f t="shared" si="13"/>
        <v>項目12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13</v>
      </c>
      <c r="C155" s="113" t="str">
        <f t="shared" si="13"/>
        <v>項目13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14</v>
      </c>
      <c r="C156" s="113" t="str">
        <f t="shared" si="13"/>
        <v>項目14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15</v>
      </c>
      <c r="C157" s="113" t="str">
        <f t="shared" si="13"/>
        <v>項目15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16</v>
      </c>
      <c r="C158" s="113" t="str">
        <f t="shared" si="13"/>
        <v>項目16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17</v>
      </c>
      <c r="C159" s="113" t="str">
        <f t="shared" si="13"/>
        <v>項目17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18</v>
      </c>
      <c r="C160" s="113" t="str">
        <f t="shared" si="13"/>
        <v>項目18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19</v>
      </c>
      <c r="C161" s="113" t="str">
        <f t="shared" si="13"/>
        <v>項目19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20</v>
      </c>
      <c r="C162" s="113" t="str">
        <f t="shared" si="13"/>
        <v>項目20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21</v>
      </c>
      <c r="C163" s="113" t="str">
        <f t="shared" si="13"/>
        <v>項目21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22</v>
      </c>
      <c r="C164" s="113" t="str">
        <f t="shared" si="13"/>
        <v>項目22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23</v>
      </c>
      <c r="C165" s="113" t="str">
        <f t="shared" si="13"/>
        <v>項目23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24</v>
      </c>
      <c r="C166" s="113" t="str">
        <f t="shared" si="13"/>
        <v>項目24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25</v>
      </c>
      <c r="C167" s="113" t="str">
        <f t="shared" si="13"/>
        <v>項目25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26</v>
      </c>
      <c r="C168" s="113" t="str">
        <f t="shared" si="13"/>
        <v>項目26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27</v>
      </c>
      <c r="C169" s="113" t="str">
        <f t="shared" si="13"/>
        <v>項目27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28</v>
      </c>
      <c r="C170" s="113" t="str">
        <f t="shared" si="13"/>
        <v>項目28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29</v>
      </c>
      <c r="C171" s="113" t="str">
        <f t="shared" si="13"/>
        <v>項目29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30</v>
      </c>
      <c r="C172" s="113" t="str">
        <f t="shared" si="13"/>
        <v>項目30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31</v>
      </c>
      <c r="C173" s="113" t="str">
        <f t="shared" si="13"/>
        <v>項目31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32</v>
      </c>
      <c r="C174" s="113" t="str">
        <f t="shared" si="13"/>
        <v>項目32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33</v>
      </c>
      <c r="C175" s="113" t="str">
        <f t="shared" si="13"/>
        <v>項目33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34</v>
      </c>
      <c r="C176" s="113" t="str">
        <f t="shared" si="13"/>
        <v>項目34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35</v>
      </c>
      <c r="C177" s="113" t="str">
        <f t="shared" si="13"/>
        <v>項目35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36</v>
      </c>
      <c r="C178" s="113" t="str">
        <f t="shared" si="13"/>
        <v>項目36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37</v>
      </c>
      <c r="C179" s="113" t="str">
        <f t="shared" si="13"/>
        <v>項目37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38</v>
      </c>
      <c r="C180" s="113" t="str">
        <f t="shared" si="13"/>
        <v>項目38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39</v>
      </c>
      <c r="C181" s="113" t="str">
        <f t="shared" si="13"/>
        <v>項目39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40</v>
      </c>
      <c r="C182" s="113" t="str">
        <f t="shared" si="13"/>
        <v>項目40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41</v>
      </c>
      <c r="C183" s="113" t="str">
        <f t="shared" si="13"/>
        <v>項目41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42</v>
      </c>
      <c r="C184" s="113" t="str">
        <f t="shared" si="13"/>
        <v>項目42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43</v>
      </c>
      <c r="C185" s="113" t="str">
        <f t="shared" si="13"/>
        <v>項目43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44</v>
      </c>
      <c r="C186" s="113" t="str">
        <f t="shared" si="13"/>
        <v>項目44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45</v>
      </c>
      <c r="C187" s="113" t="str">
        <f t="shared" si="13"/>
        <v>項目45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46</v>
      </c>
      <c r="C188" s="113" t="str">
        <f t="shared" si="13"/>
        <v>項目46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47</v>
      </c>
      <c r="C189" s="113" t="str">
        <f t="shared" si="13"/>
        <v>項目47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48</v>
      </c>
      <c r="C190" s="113" t="str">
        <f t="shared" si="13"/>
        <v>項目48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49</v>
      </c>
      <c r="C191" s="113" t="str">
        <f t="shared" si="13"/>
        <v>項目49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50</v>
      </c>
      <c r="C192" s="113" t="str">
        <f t="shared" si="13"/>
        <v>項目50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6" hidden="1" customHeight="1" s="40" customFormat="1">
      <c s="11"/>
      <c r="C193" s="113"/>
      <c s="18"/>
      <c s="18"/>
      <c s="18"/>
      <c s="18"/>
      <c s="18"/>
      <c s="18"/>
      <c s="18"/>
      <c s="18"/>
      <c s="18"/>
      <c s="18"/>
      <c s="18"/>
      <c s="18"/>
      <c s="110"/>
    </row>
    <row ht="12" hidden="1" customHeight="1" s="40" customFormat="1">
      <c s="11">
        <v>1</v>
      </c>
      <c r="C194" s="113" t="s">
        <v>109</v>
      </c>
      <c s="18">
        <f t="shared" si="18" ref="D194:O194">IF(INDEX(累計分析データ期間合計,$A194,D$32*4+$G$1)="", "--", INDEX(累計分析データ期間合計,$A194,D$32*4+$G$1))</f>
        <v>10948316912.641701</v>
      </c>
      <c s="18">
        <f t="shared" si="18"/>
        <v>11279067787.7623</v>
      </c>
      <c s="18">
        <f t="shared" si="18"/>
        <v>10394360637.3412</v>
      </c>
      <c s="18">
        <f t="shared" si="18"/>
        <v>10860010957.704399</v>
      </c>
      <c s="18">
        <f t="shared" si="18"/>
        <v>10841632668.217699</v>
      </c>
      <c s="18">
        <f t="shared" si="18"/>
        <v>10457683738.1586</v>
      </c>
      <c s="18">
        <f t="shared" si="18"/>
        <v>10869890539.255501</v>
      </c>
      <c s="18">
        <f t="shared" si="18"/>
        <v>10153486584.541401</v>
      </c>
      <c s="18">
        <f t="shared" si="18"/>
        <v>12694752922.2099</v>
      </c>
      <c s="18">
        <f t="shared" si="18"/>
        <v>10358822554.7605</v>
      </c>
      <c s="18">
        <f t="shared" si="18"/>
        <v>10927502676.612101</v>
      </c>
      <c s="18">
        <f t="shared" si="18"/>
        <v>12240590324.2409</v>
      </c>
      <c s="110">
        <f>IF(INDEX(合算分析データ合計,$A194,P$32*4+$G$1)="", "--", INDEX(合算分析データ合計,$A194,P$32*4+$G$1))</f>
        <v>132026118303.446</v>
      </c>
    </row>
    <row ht="12" customHeight="1">
      <c s="35"/>
    </row>
    <row ht="15" customHeight="1"/>
    <row ht="15" customHeight="1"/>
    <row ht="24" customHeight="1" s="87" customFormat="1">
      <c s="126"/>
      <c r="C198" s="99" t="str">
        <f>"比較【 " &amp; 分析種別名称 &amp; " 平均売価推移 】" &amp; PI値モード名称</f>
        <v>比較【 カテゴリー別 平均売価推移 】</v>
      </c>
      <c s="27"/>
      <c s="27"/>
      <c s="27"/>
      <c s="27"/>
      <c s="27"/>
      <c s="27"/>
      <c s="27"/>
      <c s="27"/>
      <c s="27"/>
      <c s="27"/>
      <c s="27"/>
      <c s="27"/>
      <c s="27"/>
    </row>
    <row ht="12.75" customHeight="1" s="40" customFormat="1">
      <c s="11"/>
      <c r="C199" s="94"/>
      <c s="19"/>
      <c s="19"/>
      <c s="19"/>
      <c s="19"/>
      <c s="19"/>
      <c s="19"/>
      <c s="19"/>
      <c s="19"/>
      <c s="19"/>
      <c s="19"/>
      <c s="19"/>
      <c s="19"/>
      <c s="101" t="str">
        <f>IF(比較POS名称="","",比較POS名称) &amp;  " (" &amp; IF(年度開始年月=分析終了年月,年度開始年月,年度開始年月&amp;"～"&amp;分析終了年月) &amp; ")"</f>
        <v>RDS06 スーパー  00 全国 (2019年4月～2020年3月)</v>
      </c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 thickBot="1">
      <c s="35"/>
      <c r="D228" s="11">
        <v>0</v>
      </c>
      <c s="11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</row>
    <row ht="18" customHeight="1" thickBot="1" s="40" customFormat="1">
      <c s="11"/>
      <c r="C229" s="108" t="str">
        <f>分析オプション&amp;"　単位：円"</f>
        <v xml:space="preserve"> [税抜分析]　単位：円</v>
      </c>
      <c s="100" t="str">
        <f>INFO!AC$4</f>
        <v>4月</v>
      </c>
      <c s="28" t="str">
        <f>INFO!AD$4</f>
        <v>5月</v>
      </c>
      <c s="28" t="str">
        <f>INFO!AE$4</f>
        <v>6月</v>
      </c>
      <c s="28" t="str">
        <f>INFO!AF$4</f>
        <v>7月</v>
      </c>
      <c s="28" t="str">
        <f>INFO!AG$4</f>
        <v>8月</v>
      </c>
      <c s="28" t="str">
        <f>INFO!AH$4</f>
        <v>9月</v>
      </c>
      <c s="28" t="str">
        <f>INFO!AI$4</f>
        <v>10月</v>
      </c>
      <c s="28" t="str">
        <f>INFO!AJ$4</f>
        <v>11月</v>
      </c>
      <c s="28" t="str">
        <f>INFO!AK$4</f>
        <v>12月</v>
      </c>
      <c s="28" t="str">
        <f>INFO!AL$4</f>
        <v>1月</v>
      </c>
      <c s="28" t="str">
        <f>INFO!AM$4</f>
        <v>2月</v>
      </c>
      <c s="105" t="str">
        <f>INFO!AN$4</f>
        <v>3月</v>
      </c>
      <c s="117" t="s">
        <v>62</v>
      </c>
    </row>
    <row ht="15" customHeight="1" s="40" customFormat="1">
      <c s="11">
        <v>1</v>
      </c>
      <c r="C230" s="152" t="str">
        <f t="shared" si="19" ref="C230:C279">IF(INDEX(項目,$A230,1)="","",INDEX(項目,$A230,1))</f>
        <v>加工食品</v>
      </c>
      <c s="160">
        <f t="shared" si="20" ref="D230:H279">IF(ISERROR(D339/D285), "--", D339/D285)</f>
        <v>183.85177231498679</v>
      </c>
      <c s="70">
        <f t="shared" si="20"/>
        <v>184.49709604594671</v>
      </c>
      <c s="70">
        <f t="shared" si="20"/>
        <v>185.22871168241721</v>
      </c>
      <c s="41">
        <f t="shared" si="20"/>
        <v>185.87343385719637</v>
      </c>
      <c s="41">
        <f t="shared" si="20"/>
        <v>192.39794023373113</v>
      </c>
      <c s="41">
        <f t="shared" si="21" ref="I230:M279">IF(ISERROR(I339/I285), "--", I339/I285)</f>
        <v>187.37964122500475</v>
      </c>
      <c s="41">
        <f t="shared" si="21"/>
        <v>185.03465991423391</v>
      </c>
      <c s="41">
        <f t="shared" si="21"/>
        <v>185.61050473629152</v>
      </c>
      <c s="41">
        <f t="shared" si="21"/>
        <v>207.58157794835716</v>
      </c>
      <c s="41">
        <f t="shared" si="21"/>
        <v>187.77365440075133</v>
      </c>
      <c s="41">
        <f t="shared" si="22" ref="N230:P279">IF(ISERROR(N339/N285), "--", N339/N285)</f>
        <v>188.13962415960063</v>
      </c>
      <c s="186">
        <f t="shared" si="22"/>
        <v>189.36832398965632</v>
      </c>
      <c s="170">
        <f t="shared" si="22"/>
        <v>188.73631657725113</v>
      </c>
    </row>
    <row ht="15" customHeight="1" s="40" customFormat="1">
      <c s="11">
        <v>2</v>
      </c>
      <c r="C231" s="145" t="str">
        <f t="shared" si="19"/>
        <v>生鮮食品</v>
      </c>
      <c s="242">
        <f t="shared" si="20"/>
        <v>215.84661254305519</v>
      </c>
      <c s="34">
        <f t="shared" si="20"/>
        <v>215.59334590929043</v>
      </c>
      <c s="34">
        <f t="shared" si="20"/>
        <v>217.86764009464747</v>
      </c>
      <c s="34">
        <f t="shared" si="20"/>
        <v>221.44104694356048</v>
      </c>
      <c s="34">
        <f t="shared" si="20"/>
        <v>234.15608772101527</v>
      </c>
      <c s="34">
        <f t="shared" si="21"/>
        <v>224.92062826584663</v>
      </c>
      <c s="34">
        <f t="shared" si="21"/>
        <v>216.87893377072288</v>
      </c>
      <c s="34">
        <f t="shared" si="21"/>
        <v>216.33578847984694</v>
      </c>
      <c s="34">
        <f t="shared" si="21"/>
        <v>251.7929374755841</v>
      </c>
      <c s="34">
        <f t="shared" si="21"/>
        <v>231.45660747436068</v>
      </c>
      <c s="34">
        <f t="shared" si="22"/>
        <v>221.51895627158282</v>
      </c>
      <c s="155">
        <f t="shared" si="22"/>
        <v>223.08355749610718</v>
      </c>
      <c s="158">
        <f t="shared" si="22"/>
        <v>224.31894001303777</v>
      </c>
    </row>
    <row ht="15" customHeight="1" s="40" customFormat="1">
      <c s="11">
        <v>3</v>
      </c>
      <c r="C232" s="145" t="str">
        <f t="shared" si="19"/>
        <v>菓子類</v>
      </c>
      <c s="242">
        <f t="shared" si="20"/>
        <v>137.57879452192086</v>
      </c>
      <c s="34">
        <f t="shared" si="20"/>
        <v>136.61275031117182</v>
      </c>
      <c s="34">
        <f t="shared" si="20"/>
        <v>135.81862068345299</v>
      </c>
      <c s="34">
        <f t="shared" si="20"/>
        <v>135.18034042979008</v>
      </c>
      <c s="34">
        <f t="shared" si="20"/>
        <v>138.23896286262379</v>
      </c>
      <c s="34">
        <f t="shared" si="21"/>
        <v>138.12994617894628</v>
      </c>
      <c s="34">
        <f t="shared" si="21"/>
        <v>138.34132914228005</v>
      </c>
      <c s="34">
        <f t="shared" si="21"/>
        <v>141.06140882790206</v>
      </c>
      <c s="34">
        <f t="shared" si="21"/>
        <v>155.81981480642963</v>
      </c>
      <c s="34">
        <f t="shared" si="21"/>
        <v>143.60671873825945</v>
      </c>
      <c s="34">
        <f t="shared" si="22"/>
        <v>143.95650445475312</v>
      </c>
      <c s="155">
        <f t="shared" si="22"/>
        <v>142.67798962042056</v>
      </c>
      <c s="158">
        <f t="shared" si="22"/>
        <v>140.47690971301503</v>
      </c>
    </row>
    <row ht="15" hidden="1" customHeight="1" s="40" customFormat="1">
      <c s="11">
        <v>4</v>
      </c>
      <c r="C233" s="145" t="str">
        <f t="shared" si="19"/>
        <v>項目4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5</v>
      </c>
      <c r="C234" s="145" t="str">
        <f t="shared" si="19"/>
        <v>項目5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6</v>
      </c>
      <c r="C235" s="145" t="str">
        <f t="shared" si="19"/>
        <v>項目6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7</v>
      </c>
      <c r="C236" s="145" t="str">
        <f t="shared" si="19"/>
        <v>項目7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8</v>
      </c>
      <c r="C237" s="145" t="str">
        <f t="shared" si="19"/>
        <v>項目8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9</v>
      </c>
      <c r="C238" s="145" t="str">
        <f t="shared" si="19"/>
        <v>項目9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10</v>
      </c>
      <c r="C239" s="145" t="str">
        <f t="shared" si="19"/>
        <v>項目10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11</v>
      </c>
      <c r="C240" s="145" t="str">
        <f t="shared" si="19"/>
        <v>項目11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12</v>
      </c>
      <c r="C241" s="145" t="str">
        <f t="shared" si="19"/>
        <v>項目12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13</v>
      </c>
      <c r="C242" s="145" t="str">
        <f t="shared" si="19"/>
        <v>項目13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14</v>
      </c>
      <c r="C243" s="145" t="str">
        <f t="shared" si="19"/>
        <v>項目14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15</v>
      </c>
      <c r="C244" s="145" t="str">
        <f t="shared" si="19"/>
        <v>項目15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16</v>
      </c>
      <c r="C245" s="145" t="str">
        <f t="shared" si="19"/>
        <v>項目16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17</v>
      </c>
      <c r="C246" s="145" t="str">
        <f t="shared" si="19"/>
        <v>項目17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18</v>
      </c>
      <c r="C247" s="145" t="str">
        <f t="shared" si="19"/>
        <v>項目18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19</v>
      </c>
      <c r="C248" s="145" t="str">
        <f t="shared" si="19"/>
        <v>項目19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20</v>
      </c>
      <c r="C249" s="145" t="str">
        <f t="shared" si="19"/>
        <v>項目20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21</v>
      </c>
      <c r="C250" s="145" t="str">
        <f t="shared" si="19"/>
        <v>項目21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22</v>
      </c>
      <c r="C251" s="145" t="str">
        <f t="shared" si="19"/>
        <v>項目22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23</v>
      </c>
      <c r="C252" s="145" t="str">
        <f t="shared" si="19"/>
        <v>項目23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24</v>
      </c>
      <c r="C253" s="145" t="str">
        <f t="shared" si="19"/>
        <v>項目24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25</v>
      </c>
      <c r="C254" s="145" t="str">
        <f t="shared" si="19"/>
        <v>項目25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26</v>
      </c>
      <c r="C255" s="145" t="str">
        <f t="shared" si="19"/>
        <v>項目26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27</v>
      </c>
      <c r="C256" s="145" t="str">
        <f t="shared" si="19"/>
        <v>項目27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28</v>
      </c>
      <c r="C257" s="145" t="str">
        <f t="shared" si="19"/>
        <v>項目28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29</v>
      </c>
      <c r="C258" s="145" t="str">
        <f t="shared" si="19"/>
        <v>項目29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30</v>
      </c>
      <c r="C259" s="145" t="str">
        <f t="shared" si="19"/>
        <v>項目30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31</v>
      </c>
      <c r="C260" s="145" t="str">
        <f t="shared" si="19"/>
        <v>項目31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32</v>
      </c>
      <c r="C261" s="145" t="str">
        <f t="shared" si="19"/>
        <v>項目32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33</v>
      </c>
      <c r="C262" s="145" t="str">
        <f t="shared" si="19"/>
        <v>項目33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34</v>
      </c>
      <c r="C263" s="145" t="str">
        <f t="shared" si="19"/>
        <v>項目34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35</v>
      </c>
      <c r="C264" s="145" t="str">
        <f t="shared" si="19"/>
        <v>項目35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36</v>
      </c>
      <c r="C265" s="145" t="str">
        <f t="shared" si="19"/>
        <v>項目36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37</v>
      </c>
      <c r="C266" s="145" t="str">
        <f t="shared" si="19"/>
        <v>項目37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38</v>
      </c>
      <c r="C267" s="145" t="str">
        <f t="shared" si="19"/>
        <v>項目38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39</v>
      </c>
      <c r="C268" s="145" t="str">
        <f t="shared" si="19"/>
        <v>項目39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40</v>
      </c>
      <c r="C269" s="145" t="str">
        <f t="shared" si="19"/>
        <v>項目40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41</v>
      </c>
      <c r="C270" s="145" t="str">
        <f t="shared" si="19"/>
        <v>項目41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42</v>
      </c>
      <c r="C271" s="145" t="str">
        <f t="shared" si="19"/>
        <v>項目42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43</v>
      </c>
      <c r="C272" s="145" t="str">
        <f t="shared" si="19"/>
        <v>項目43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44</v>
      </c>
      <c r="C273" s="145" t="str">
        <f t="shared" si="19"/>
        <v>項目44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45</v>
      </c>
      <c r="C274" s="145" t="str">
        <f t="shared" si="19"/>
        <v>項目45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46</v>
      </c>
      <c r="C275" s="145" t="str">
        <f t="shared" si="19"/>
        <v>項目46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47</v>
      </c>
      <c r="C276" s="145" t="str">
        <f t="shared" si="19"/>
        <v>項目47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48</v>
      </c>
      <c r="C277" s="145" t="str">
        <f t="shared" si="19"/>
        <v>項目48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s="40" customFormat="1">
      <c s="11">
        <v>49</v>
      </c>
      <c r="C278" s="145" t="str">
        <f t="shared" si="19"/>
        <v>項目49</v>
      </c>
      <c s="242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58" t="str">
        <f t="shared" si="22"/>
        <v>--</v>
      </c>
    </row>
    <row ht="15" hidden="1" customHeight="1" thickBot="1" s="40" customFormat="1">
      <c s="11">
        <v>50</v>
      </c>
      <c r="C279" s="331" t="str">
        <f t="shared" si="19"/>
        <v>項目50</v>
      </c>
      <c s="318" t="str">
        <f t="shared" si="20"/>
        <v>--</v>
      </c>
      <c s="95" t="str">
        <f t="shared" si="20"/>
        <v>--</v>
      </c>
      <c s="95" t="str">
        <f t="shared" si="20"/>
        <v>--</v>
      </c>
      <c s="95" t="str">
        <f t="shared" si="20"/>
        <v>--</v>
      </c>
      <c s="95" t="str">
        <f t="shared" si="20"/>
        <v>--</v>
      </c>
      <c s="95" t="str">
        <f t="shared" si="21"/>
        <v>--</v>
      </c>
      <c s="95" t="str">
        <f t="shared" si="21"/>
        <v>--</v>
      </c>
      <c s="95" t="str">
        <f t="shared" si="21"/>
        <v>--</v>
      </c>
      <c s="95" t="str">
        <f t="shared" si="21"/>
        <v>--</v>
      </c>
      <c s="95" t="str">
        <f t="shared" si="21"/>
        <v>--</v>
      </c>
      <c s="95" t="str">
        <f t="shared" si="22"/>
        <v>--</v>
      </c>
      <c s="315" t="str">
        <f t="shared" si="22"/>
        <v>--</v>
      </c>
      <c s="299" t="str">
        <f t="shared" si="22"/>
        <v>--</v>
      </c>
    </row>
    <row ht="6.75" customHeight="1" thickBot="1" s="40" customFormat="1">
      <c s="11"/>
      <c r="C280" s="289"/>
      <c s="90"/>
      <c s="90"/>
      <c s="90"/>
      <c s="90"/>
      <c s="90"/>
      <c s="90"/>
      <c s="90"/>
      <c s="90"/>
      <c s="90"/>
      <c s="90"/>
      <c s="90"/>
      <c s="90"/>
      <c s="352"/>
    </row>
    <row ht="20.25" customHeight="1" thickBot="1" s="40" customFormat="1">
      <c s="11"/>
      <c r="C281" s="153" t="s">
        <v>109</v>
      </c>
      <c s="213">
        <f t="shared" si="23" ref="D281:P281">IF(ISERROR(D390/D336), "--", D390/D336)</f>
        <v>189.68252279127378</v>
      </c>
      <c s="67">
        <f t="shared" si="23"/>
        <v>189.58195394926625</v>
      </c>
      <c s="67">
        <f t="shared" si="23"/>
        <v>190.48427362576467</v>
      </c>
      <c s="67">
        <f t="shared" si="23"/>
        <v>191.54746542487607</v>
      </c>
      <c s="67">
        <f t="shared" si="23"/>
        <v>200.00487879667523</v>
      </c>
      <c s="67">
        <f t="shared" si="23"/>
        <v>195.06256289230456</v>
      </c>
      <c s="67">
        <f t="shared" si="23"/>
        <v>191.43393985666597</v>
      </c>
      <c s="67">
        <f t="shared" si="23"/>
        <v>191.93735544132102</v>
      </c>
      <c s="67">
        <f t="shared" si="23"/>
        <v>218.06917616114481</v>
      </c>
      <c s="67">
        <f t="shared" si="23"/>
        <v>199.14019545424884</v>
      </c>
      <c s="67">
        <f t="shared" si="23"/>
        <v>194.61622193868675</v>
      </c>
      <c s="272">
        <f t="shared" si="23"/>
        <v>195.55152651257956</v>
      </c>
      <c s="205">
        <f t="shared" si="23"/>
        <v>195.70275769132263</v>
      </c>
    </row>
    <row ht="9" customHeight="1">
      <c s="35"/>
      <c r="C282" s="132"/>
      <c s="33"/>
      <c s="33"/>
      <c s="33"/>
      <c s="33"/>
      <c s="33"/>
      <c s="33"/>
      <c s="33"/>
      <c s="33"/>
      <c s="33"/>
      <c s="33"/>
      <c s="33"/>
      <c s="33"/>
      <c s="33"/>
    </row>
    <row ht="12" customHeight="1">
      <c s="35"/>
    </row>
    <row ht="12" hidden="1" customHeight="1" s="40" customFormat="1">
      <c s="11"/>
      <c r="C284" s="98"/>
      <c s="24" t="str">
        <f t="shared" si="24" ref="D284:O284">D$229</f>
        <v>4月</v>
      </c>
      <c s="24" t="str">
        <f t="shared" si="24"/>
        <v>5月</v>
      </c>
      <c s="24" t="str">
        <f t="shared" si="24"/>
        <v>6月</v>
      </c>
      <c s="24" t="str">
        <f t="shared" si="24"/>
        <v>7月</v>
      </c>
      <c s="24" t="str">
        <f t="shared" si="24"/>
        <v>8月</v>
      </c>
      <c s="24" t="str">
        <f t="shared" si="24"/>
        <v>9月</v>
      </c>
      <c s="24" t="str">
        <f t="shared" si="24"/>
        <v>10月</v>
      </c>
      <c s="24" t="str">
        <f t="shared" si="24"/>
        <v>11月</v>
      </c>
      <c s="24" t="str">
        <f t="shared" si="24"/>
        <v>12月</v>
      </c>
      <c s="24" t="str">
        <f t="shared" si="24"/>
        <v>1月</v>
      </c>
      <c s="24" t="str">
        <f t="shared" si="24"/>
        <v>2月</v>
      </c>
      <c s="24" t="str">
        <f t="shared" si="24"/>
        <v>3月</v>
      </c>
      <c s="24" t="s">
        <v>61</v>
      </c>
    </row>
    <row ht="12" hidden="1" customHeight="1" s="40" customFormat="1">
      <c s="11">
        <v>1</v>
      </c>
      <c r="C285" s="113" t="str">
        <f t="shared" si="25" ref="C285:C334">$C230</f>
        <v>加工食品</v>
      </c>
      <c s="18">
        <f t="shared" si="26" ref="D285:H334">IF(INDEX(累計比較データ,$A285,D$228*4+$E$1)="", "--", INDEX(累計比較データ,$A285,D$228*4+$E$1))</f>
        <v>21465684.214899998</v>
      </c>
      <c s="18">
        <f t="shared" si="26"/>
        <v>21526253.705400001</v>
      </c>
      <c s="18">
        <f t="shared" si="26"/>
        <v>20902876.4201</v>
      </c>
      <c s="18">
        <f t="shared" si="26"/>
        <v>21125168.973099999</v>
      </c>
      <c s="18">
        <f t="shared" si="26"/>
        <v>21301898.755800001</v>
      </c>
      <c s="18">
        <f t="shared" si="27" ref="I285:M334">IF(INDEX(累計比較データ,$A285,I$228*4+$E$1)="", "--", INDEX(累計比較データ,$A285,I$228*4+$E$1))</f>
        <v>21120221.978</v>
      </c>
      <c s="18">
        <f t="shared" si="27"/>
        <v>21728099.320099998</v>
      </c>
      <c s="18">
        <f t="shared" si="27"/>
        <v>20894975.1987</v>
      </c>
      <c s="18">
        <f t="shared" si="27"/>
        <v>23547192.8442</v>
      </c>
      <c s="18">
        <f t="shared" si="27"/>
        <v>20139398.8473</v>
      </c>
      <c s="18">
        <f t="shared" si="28" ref="N285:O334">IF(INDEX(累計比較データ,$A285,N$228*4+$E$1)="", "--", INDEX(累計比較データ,$A285,N$228*4+$E$1))</f>
        <v>21254650.056899998</v>
      </c>
      <c s="18">
        <f t="shared" si="28"/>
        <v>23127781.3453</v>
      </c>
      <c s="110">
        <f t="shared" si="29" ref="P285:P334">IF(INDEX(合算比較データ,$A285,P$228*4+$E$1)="", "--", INDEX(合算比較データ,$A285,P$228*4+$E$1))</f>
        <v>258134201.65979999</v>
      </c>
    </row>
    <row ht="12" hidden="1" customHeight="1" s="40" customFormat="1">
      <c s="11">
        <v>2</v>
      </c>
      <c r="C286" s="113" t="str">
        <f t="shared" si="25"/>
        <v>生鮮食品</v>
      </c>
      <c s="18">
        <f t="shared" si="26"/>
        <v>18996012.3783</v>
      </c>
      <c s="18">
        <f t="shared" si="26"/>
        <v>19093899.4531</v>
      </c>
      <c s="18">
        <f t="shared" si="26"/>
        <v>18264559.430300001</v>
      </c>
      <c s="18">
        <f t="shared" si="26"/>
        <v>17862776.4267</v>
      </c>
      <c s="18">
        <f t="shared" si="26"/>
        <v>18411737.576200001</v>
      </c>
      <c s="18">
        <f t="shared" si="27"/>
        <v>18508697.690299999</v>
      </c>
      <c s="18">
        <f t="shared" si="27"/>
        <v>19684109.170899998</v>
      </c>
      <c s="18">
        <f t="shared" si="27"/>
        <v>18571740.5244</v>
      </c>
      <c s="18">
        <f t="shared" si="27"/>
        <v>19913020.7894</v>
      </c>
      <c s="18">
        <f t="shared" si="27"/>
        <v>17835623.0145</v>
      </c>
      <c s="18">
        <f t="shared" si="28"/>
        <v>18110553.858100001</v>
      </c>
      <c s="18">
        <f t="shared" si="28"/>
        <v>19788964.8761</v>
      </c>
      <c s="110">
        <f t="shared" si="29"/>
        <v>225041695.18830001</v>
      </c>
    </row>
    <row ht="12" hidden="1" customHeight="1" s="40" customFormat="1">
      <c s="11">
        <v>3</v>
      </c>
      <c r="C287" s="113" t="str">
        <f t="shared" si="25"/>
        <v>菓子類</v>
      </c>
      <c s="18">
        <f t="shared" si="26"/>
        <v>7136769.9910000004</v>
      </c>
      <c s="18">
        <f t="shared" si="26"/>
        <v>7309926.0483999997</v>
      </c>
      <c s="18">
        <f t="shared" si="26"/>
        <v>7139560.9755999995</v>
      </c>
      <c s="18">
        <f t="shared" si="26"/>
        <v>7346791.0181999998</v>
      </c>
      <c s="18">
        <f t="shared" si="26"/>
        <v>7556608.7615999999</v>
      </c>
      <c s="18">
        <f t="shared" si="27"/>
        <v>6856682.8137999997</v>
      </c>
      <c s="18">
        <f t="shared" si="27"/>
        <v>6814843.7800000003</v>
      </c>
      <c s="18">
        <f t="shared" si="27"/>
        <v>6307931.3583000004</v>
      </c>
      <c s="18">
        <f t="shared" si="27"/>
        <v>6820768.1705</v>
      </c>
      <c s="18">
        <f t="shared" si="27"/>
        <v>6256911.3033999996</v>
      </c>
      <c s="18">
        <f t="shared" si="28"/>
        <v>6900267.4526000004</v>
      </c>
      <c s="18">
        <f t="shared" si="28"/>
        <v>7599768.4617999997</v>
      </c>
      <c s="110">
        <f t="shared" si="29"/>
        <v>84046830.135199994</v>
      </c>
    </row>
    <row ht="12" hidden="1" customHeight="1" s="40" customFormat="1">
      <c s="11">
        <v>4</v>
      </c>
      <c r="C288" s="113" t="str">
        <f t="shared" si="25"/>
        <v>項目4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5</v>
      </c>
      <c r="C289" s="113" t="str">
        <f t="shared" si="25"/>
        <v>項目5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6</v>
      </c>
      <c r="C290" s="113" t="str">
        <f t="shared" si="25"/>
        <v>項目6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7</v>
      </c>
      <c r="C291" s="113" t="str">
        <f t="shared" si="25"/>
        <v>項目7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8</v>
      </c>
      <c r="C292" s="113" t="str">
        <f t="shared" si="25"/>
        <v>項目8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9</v>
      </c>
      <c r="C293" s="113" t="str">
        <f t="shared" si="25"/>
        <v>項目9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10</v>
      </c>
      <c r="C294" s="113" t="str">
        <f t="shared" si="25"/>
        <v>項目10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11</v>
      </c>
      <c r="C295" s="113" t="str">
        <f t="shared" si="25"/>
        <v>項目11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12</v>
      </c>
      <c r="C296" s="113" t="str">
        <f t="shared" si="25"/>
        <v>項目12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13</v>
      </c>
      <c r="C297" s="113" t="str">
        <f t="shared" si="25"/>
        <v>項目13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14</v>
      </c>
      <c r="C298" s="113" t="str">
        <f t="shared" si="25"/>
        <v>項目14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15</v>
      </c>
      <c r="C299" s="113" t="str">
        <f t="shared" si="25"/>
        <v>項目15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16</v>
      </c>
      <c r="C300" s="113" t="str">
        <f t="shared" si="25"/>
        <v>項目16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17</v>
      </c>
      <c r="C301" s="113" t="str">
        <f t="shared" si="25"/>
        <v>項目17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18</v>
      </c>
      <c r="C302" s="113" t="str">
        <f t="shared" si="25"/>
        <v>項目18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19</v>
      </c>
      <c r="C303" s="113" t="str">
        <f t="shared" si="25"/>
        <v>項目19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20</v>
      </c>
      <c r="C304" s="113" t="str">
        <f t="shared" si="25"/>
        <v>項目20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21</v>
      </c>
      <c r="C305" s="113" t="str">
        <f t="shared" si="25"/>
        <v>項目21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22</v>
      </c>
      <c r="C306" s="113" t="str">
        <f t="shared" si="25"/>
        <v>項目22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23</v>
      </c>
      <c r="C307" s="113" t="str">
        <f t="shared" si="25"/>
        <v>項目23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24</v>
      </c>
      <c r="C308" s="113" t="str">
        <f t="shared" si="25"/>
        <v>項目24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25</v>
      </c>
      <c r="C309" s="113" t="str">
        <f t="shared" si="25"/>
        <v>項目25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26</v>
      </c>
      <c r="C310" s="113" t="str">
        <f t="shared" si="25"/>
        <v>項目26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27</v>
      </c>
      <c r="C311" s="113" t="str">
        <f t="shared" si="25"/>
        <v>項目27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28</v>
      </c>
      <c r="C312" s="113" t="str">
        <f t="shared" si="25"/>
        <v>項目28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29</v>
      </c>
      <c r="C313" s="113" t="str">
        <f t="shared" si="25"/>
        <v>項目29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30</v>
      </c>
      <c r="C314" s="113" t="str">
        <f t="shared" si="25"/>
        <v>項目30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31</v>
      </c>
      <c r="C315" s="113" t="str">
        <f t="shared" si="25"/>
        <v>項目31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32</v>
      </c>
      <c r="C316" s="113" t="str">
        <f t="shared" si="25"/>
        <v>項目32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33</v>
      </c>
      <c r="C317" s="113" t="str">
        <f t="shared" si="25"/>
        <v>項目33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34</v>
      </c>
      <c r="C318" s="113" t="str">
        <f t="shared" si="25"/>
        <v>項目34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35</v>
      </c>
      <c r="C319" s="113" t="str">
        <f t="shared" si="25"/>
        <v>項目35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36</v>
      </c>
      <c r="C320" s="113" t="str">
        <f t="shared" si="25"/>
        <v>項目36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37</v>
      </c>
      <c r="C321" s="113" t="str">
        <f t="shared" si="25"/>
        <v>項目37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38</v>
      </c>
      <c r="C322" s="113" t="str">
        <f t="shared" si="25"/>
        <v>項目38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39</v>
      </c>
      <c r="C323" s="113" t="str">
        <f t="shared" si="25"/>
        <v>項目39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40</v>
      </c>
      <c r="C324" s="113" t="str">
        <f t="shared" si="25"/>
        <v>項目40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41</v>
      </c>
      <c r="C325" s="113" t="str">
        <f t="shared" si="25"/>
        <v>項目41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42</v>
      </c>
      <c r="C326" s="113" t="str">
        <f t="shared" si="25"/>
        <v>項目42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43</v>
      </c>
      <c r="C327" s="113" t="str">
        <f t="shared" si="25"/>
        <v>項目43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44</v>
      </c>
      <c r="C328" s="113" t="str">
        <f t="shared" si="25"/>
        <v>項目44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45</v>
      </c>
      <c r="C329" s="113" t="str">
        <f t="shared" si="25"/>
        <v>項目45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46</v>
      </c>
      <c r="C330" s="113" t="str">
        <f t="shared" si="25"/>
        <v>項目46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47</v>
      </c>
      <c r="C331" s="113" t="str">
        <f t="shared" si="25"/>
        <v>項目47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48</v>
      </c>
      <c r="C332" s="113" t="str">
        <f t="shared" si="25"/>
        <v>項目48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49</v>
      </c>
      <c r="C333" s="113" t="str">
        <f t="shared" si="25"/>
        <v>項目49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50</v>
      </c>
      <c r="C334" s="113" t="str">
        <f t="shared" si="25"/>
        <v>項目50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6" hidden="1" customHeight="1" s="40" customFormat="1">
      <c s="11"/>
      <c r="C335" s="113"/>
      <c s="18"/>
      <c s="18"/>
      <c s="18"/>
      <c s="18"/>
      <c s="18"/>
      <c s="18"/>
      <c s="18"/>
      <c s="18"/>
      <c s="18"/>
      <c s="18"/>
      <c s="18"/>
      <c s="18"/>
      <c s="110"/>
    </row>
    <row ht="12" hidden="1" customHeight="1" s="40" customFormat="1">
      <c s="11">
        <v>1</v>
      </c>
      <c r="C336" s="113" t="s">
        <v>109</v>
      </c>
      <c s="18">
        <f t="shared" si="30" ref="D336:O336">IF(INDEX(累計比較データ期間合計,$A336,D$228*4+$E$1)="", "--", INDEX(累計比較データ期間合計,$A336,D$228*4+$E$1))</f>
        <v>47598466.584200002</v>
      </c>
      <c s="18">
        <f t="shared" si="30"/>
        <v>47930079.206900001</v>
      </c>
      <c s="18">
        <f t="shared" si="30"/>
        <v>46306996.825999998</v>
      </c>
      <c s="18">
        <f t="shared" si="30"/>
        <v>46334736.417999998</v>
      </c>
      <c s="18">
        <f t="shared" si="30"/>
        <v>47270245.093599997</v>
      </c>
      <c s="18">
        <f t="shared" si="30"/>
        <v>46485602.482100002</v>
      </c>
      <c s="18">
        <f t="shared" si="30"/>
        <v>48227052.270999998</v>
      </c>
      <c s="18">
        <f t="shared" si="30"/>
        <v>45774647.0814</v>
      </c>
      <c s="18">
        <f t="shared" si="30"/>
        <v>50280981.804099999</v>
      </c>
      <c s="18">
        <f t="shared" si="30"/>
        <v>44231933.165200002</v>
      </c>
      <c s="18">
        <f t="shared" si="30"/>
        <v>46265471.367600001</v>
      </c>
      <c s="18">
        <f t="shared" si="30"/>
        <v>50516514.683200002</v>
      </c>
      <c s="110">
        <f>IF(INDEX(合算比較データ合計,$A336,P$228*4+$E$1)="", "--", INDEX(合算比較データ合計,$A336,P$228*4+$E$1))</f>
        <v>567222726.98329997</v>
      </c>
    </row>
    <row ht="12" hidden="1" customHeight="1">
      <c s="35"/>
    </row>
    <row ht="12" hidden="1" customHeight="1" s="40" customFormat="1">
      <c s="11"/>
      <c r="C338" s="98"/>
      <c s="24" t="str">
        <f t="shared" si="31" ref="D338:O338">D$229</f>
        <v>4月</v>
      </c>
      <c s="24" t="str">
        <f t="shared" si="31"/>
        <v>5月</v>
      </c>
      <c s="24" t="str">
        <f t="shared" si="31"/>
        <v>6月</v>
      </c>
      <c s="24" t="str">
        <f t="shared" si="31"/>
        <v>7月</v>
      </c>
      <c s="24" t="str">
        <f t="shared" si="31"/>
        <v>8月</v>
      </c>
      <c s="24" t="str">
        <f t="shared" si="31"/>
        <v>9月</v>
      </c>
      <c s="24" t="str">
        <f t="shared" si="31"/>
        <v>10月</v>
      </c>
      <c s="24" t="str">
        <f t="shared" si="31"/>
        <v>11月</v>
      </c>
      <c s="24" t="str">
        <f t="shared" si="31"/>
        <v>12月</v>
      </c>
      <c s="24" t="str">
        <f t="shared" si="31"/>
        <v>1月</v>
      </c>
      <c s="24" t="str">
        <f t="shared" si="31"/>
        <v>2月</v>
      </c>
      <c s="24" t="str">
        <f t="shared" si="31"/>
        <v>3月</v>
      </c>
      <c s="24" t="s">
        <v>61</v>
      </c>
    </row>
    <row ht="12" hidden="1" customHeight="1" s="40" customFormat="1">
      <c s="11">
        <v>1</v>
      </c>
      <c r="C339" s="113" t="str">
        <f t="shared" si="32" ref="C339:C388">$C230</f>
        <v>加工食品</v>
      </c>
      <c s="18">
        <f t="shared" si="33" ref="D339:H388">IF(INDEX(累計比較データ,$A339,D$228*4+$G$1)="", "--", INDEX(累計比較データ,$A339,D$228*4+$G$1))</f>
        <v>3946504086.8632002</v>
      </c>
      <c s="18">
        <f t="shared" si="33"/>
        <v>3971531297.3945999</v>
      </c>
      <c s="18">
        <f t="shared" si="33"/>
        <v>3871812869.7519002</v>
      </c>
      <c s="18">
        <f t="shared" si="33"/>
        <v>3926607697.8435998</v>
      </c>
      <c s="18">
        <f t="shared" si="33"/>
        <v>4098441443.6834002</v>
      </c>
      <c s="18">
        <f t="shared" si="34" ref="I339:M388">IF(INDEX(累計比較データ,$A339,I$228*4+$G$1)="", "--", INDEX(累計比較データ,$A339,I$228*4+$G$1))</f>
        <v>3957499616.8301001</v>
      </c>
      <c s="18">
        <f t="shared" si="34"/>
        <v>4020451468.2774</v>
      </c>
      <c s="18">
        <f t="shared" si="34"/>
        <v>3878326893.0830002</v>
      </c>
      <c s="18">
        <f t="shared" si="34"/>
        <v>4887963446.8533001</v>
      </c>
      <c s="18">
        <f t="shared" si="34"/>
        <v>3781648518.9917998</v>
      </c>
      <c s="18">
        <f t="shared" si="35" ref="N339:O388">IF(INDEX(累計比較データ,$A339,N$228*4+$G$1)="", "--", INDEX(累計比較データ,$A339,N$228*4+$G$1))</f>
        <v>3998841873.349</v>
      </c>
      <c s="18">
        <f t="shared" si="35"/>
        <v>4379669190.9587002</v>
      </c>
      <c s="110">
        <f t="shared" si="36" ref="P339:P388">IF(INDEX(合算比較データ,$A339,P$228*4+$G$1)="", "--", INDEX(合算比較データ,$A339,P$228*4+$G$1))</f>
        <v>48719298403.879997</v>
      </c>
    </row>
    <row ht="12" hidden="1" customHeight="1" s="40" customFormat="1">
      <c s="11">
        <v>2</v>
      </c>
      <c r="C340" s="113" t="str">
        <f t="shared" si="32"/>
        <v>生鮮食品</v>
      </c>
      <c s="18">
        <f t="shared" si="33"/>
        <v>4100224923.6820002</v>
      </c>
      <c s="18">
        <f t="shared" si="33"/>
        <v>4116517669.5493999</v>
      </c>
      <c s="18">
        <f t="shared" si="33"/>
        <v>3979256460.4478998</v>
      </c>
      <c s="18">
        <f t="shared" si="33"/>
        <v>3955551913.2472</v>
      </c>
      <c s="18">
        <f t="shared" si="33"/>
        <v>4311220438.9890003</v>
      </c>
      <c s="18">
        <f t="shared" si="34"/>
        <v>4162987912.8849001</v>
      </c>
      <c s="18">
        <f t="shared" si="34"/>
        <v>4269068609.2112999</v>
      </c>
      <c s="18">
        <f t="shared" si="34"/>
        <v>4017732129.7891998</v>
      </c>
      <c s="18">
        <f t="shared" si="34"/>
        <v>5013957998.5754004</v>
      </c>
      <c s="18">
        <f t="shared" si="34"/>
        <v>4128172795.1278</v>
      </c>
      <c s="18">
        <f t="shared" si="35"/>
        <v>4011830988.1465998</v>
      </c>
      <c s="18">
        <f t="shared" si="35"/>
        <v>4414592683.7258997</v>
      </c>
      <c s="110">
        <f t="shared" si="36"/>
        <v>50481114523.376602</v>
      </c>
    </row>
    <row ht="12" hidden="1" customHeight="1" s="40" customFormat="1">
      <c s="11">
        <v>3</v>
      </c>
      <c r="C341" s="113" t="str">
        <f t="shared" si="32"/>
        <v>菓子類</v>
      </c>
      <c s="18">
        <f t="shared" si="33"/>
        <v>981868212.14199996</v>
      </c>
      <c s="18">
        <f t="shared" si="33"/>
        <v>998629102.04320002</v>
      </c>
      <c s="18">
        <f t="shared" si="33"/>
        <v>969685323.9914</v>
      </c>
      <c s="18">
        <f t="shared" si="33"/>
        <v>993141710.90680003</v>
      </c>
      <c s="18">
        <f t="shared" si="33"/>
        <v>1044617757.9622</v>
      </c>
      <c s="18">
        <f t="shared" si="34"/>
        <v>947113228.03629994</v>
      </c>
      <c s="18">
        <f t="shared" si="34"/>
        <v>942774546.42219996</v>
      </c>
      <c s="18">
        <f t="shared" si="34"/>
        <v>889805684.19149995</v>
      </c>
      <c s="18">
        <f t="shared" si="34"/>
        <v>1062810833.1648999</v>
      </c>
      <c s="18">
        <f t="shared" si="34"/>
        <v>898534501.71759999</v>
      </c>
      <c s="18">
        <f t="shared" si="35"/>
        <v>993338382.27919996</v>
      </c>
      <c s="18">
        <f t="shared" si="35"/>
        <v>1084319685.7103</v>
      </c>
      <c s="110">
        <f t="shared" si="36"/>
        <v>11806638968.5676</v>
      </c>
    </row>
    <row ht="12" hidden="1" customHeight="1" s="40" customFormat="1">
      <c s="11">
        <v>4</v>
      </c>
      <c r="C342" s="113" t="str">
        <f t="shared" si="32"/>
        <v>項目4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5</v>
      </c>
      <c r="C343" s="113" t="str">
        <f t="shared" si="32"/>
        <v>項目5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6</v>
      </c>
      <c r="C344" s="113" t="str">
        <f t="shared" si="32"/>
        <v>項目6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7</v>
      </c>
      <c r="C345" s="113" t="str">
        <f t="shared" si="32"/>
        <v>項目7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8</v>
      </c>
      <c r="C346" s="113" t="str">
        <f t="shared" si="32"/>
        <v>項目8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9</v>
      </c>
      <c r="C347" s="113" t="str">
        <f t="shared" si="32"/>
        <v>項目9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10</v>
      </c>
      <c r="C348" s="113" t="str">
        <f t="shared" si="32"/>
        <v>項目10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11</v>
      </c>
      <c r="C349" s="113" t="str">
        <f t="shared" si="32"/>
        <v>項目11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12</v>
      </c>
      <c r="C350" s="113" t="str">
        <f t="shared" si="32"/>
        <v>項目12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13</v>
      </c>
      <c r="C351" s="113" t="str">
        <f t="shared" si="32"/>
        <v>項目13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14</v>
      </c>
      <c r="C352" s="113" t="str">
        <f t="shared" si="32"/>
        <v>項目14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15</v>
      </c>
      <c r="C353" s="113" t="str">
        <f t="shared" si="32"/>
        <v>項目15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16</v>
      </c>
      <c r="C354" s="113" t="str">
        <f t="shared" si="32"/>
        <v>項目16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17</v>
      </c>
      <c r="C355" s="113" t="str">
        <f t="shared" si="32"/>
        <v>項目17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18</v>
      </c>
      <c r="C356" s="113" t="str">
        <f t="shared" si="32"/>
        <v>項目18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19</v>
      </c>
      <c r="C357" s="113" t="str">
        <f t="shared" si="32"/>
        <v>項目19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20</v>
      </c>
      <c r="C358" s="113" t="str">
        <f t="shared" si="32"/>
        <v>項目20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21</v>
      </c>
      <c r="C359" s="113" t="str">
        <f t="shared" si="32"/>
        <v>項目21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22</v>
      </c>
      <c r="C360" s="113" t="str">
        <f t="shared" si="32"/>
        <v>項目22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23</v>
      </c>
      <c r="C361" s="113" t="str">
        <f t="shared" si="32"/>
        <v>項目23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24</v>
      </c>
      <c r="C362" s="113" t="str">
        <f t="shared" si="32"/>
        <v>項目24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25</v>
      </c>
      <c r="C363" s="113" t="str">
        <f t="shared" si="32"/>
        <v>項目25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26</v>
      </c>
      <c r="C364" s="113" t="str">
        <f t="shared" si="32"/>
        <v>項目26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27</v>
      </c>
      <c r="C365" s="113" t="str">
        <f t="shared" si="32"/>
        <v>項目27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28</v>
      </c>
      <c r="C366" s="113" t="str">
        <f t="shared" si="32"/>
        <v>項目28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29</v>
      </c>
      <c r="C367" s="113" t="str">
        <f t="shared" si="32"/>
        <v>項目29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30</v>
      </c>
      <c r="C368" s="113" t="str">
        <f t="shared" si="32"/>
        <v>項目30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31</v>
      </c>
      <c r="C369" s="113" t="str">
        <f t="shared" si="32"/>
        <v>項目31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32</v>
      </c>
      <c r="C370" s="113" t="str">
        <f t="shared" si="32"/>
        <v>項目32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33</v>
      </c>
      <c r="C371" s="113" t="str">
        <f t="shared" si="32"/>
        <v>項目33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34</v>
      </c>
      <c r="C372" s="113" t="str">
        <f t="shared" si="32"/>
        <v>項目34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35</v>
      </c>
      <c r="C373" s="113" t="str">
        <f t="shared" si="32"/>
        <v>項目35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36</v>
      </c>
      <c r="C374" s="113" t="str">
        <f t="shared" si="32"/>
        <v>項目36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37</v>
      </c>
      <c r="C375" s="113" t="str">
        <f t="shared" si="32"/>
        <v>項目37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38</v>
      </c>
      <c r="C376" s="113" t="str">
        <f t="shared" si="32"/>
        <v>項目38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39</v>
      </c>
      <c r="C377" s="113" t="str">
        <f t="shared" si="32"/>
        <v>項目39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40</v>
      </c>
      <c r="C378" s="113" t="str">
        <f t="shared" si="32"/>
        <v>項目40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41</v>
      </c>
      <c r="C379" s="113" t="str">
        <f t="shared" si="32"/>
        <v>項目41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42</v>
      </c>
      <c r="C380" s="113" t="str">
        <f t="shared" si="32"/>
        <v>項目42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43</v>
      </c>
      <c r="C381" s="113" t="str">
        <f t="shared" si="32"/>
        <v>項目43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44</v>
      </c>
      <c r="C382" s="113" t="str">
        <f t="shared" si="32"/>
        <v>項目44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45</v>
      </c>
      <c r="C383" s="113" t="str">
        <f t="shared" si="32"/>
        <v>項目45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46</v>
      </c>
      <c r="C384" s="113" t="str">
        <f t="shared" si="32"/>
        <v>項目46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47</v>
      </c>
      <c r="C385" s="113" t="str">
        <f t="shared" si="32"/>
        <v>項目47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48</v>
      </c>
      <c r="C386" s="113" t="str">
        <f t="shared" si="32"/>
        <v>項目48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49</v>
      </c>
      <c r="C387" s="113" t="str">
        <f t="shared" si="32"/>
        <v>項目49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50</v>
      </c>
      <c r="C388" s="113" t="str">
        <f t="shared" si="32"/>
        <v>項目50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6" hidden="1" customHeight="1">
      <c s="35"/>
      <c r="C389" s="148"/>
      <c s="84"/>
      <c s="84"/>
      <c s="84"/>
      <c s="84"/>
      <c s="84"/>
      <c s="84"/>
      <c s="84"/>
      <c s="84"/>
      <c s="84"/>
      <c s="84"/>
      <c s="84"/>
      <c s="84"/>
      <c s="84"/>
    </row>
    <row ht="12.75" hidden="1">
      <c s="35">
        <v>1</v>
      </c>
      <c r="C390" s="148" t="s">
        <v>109</v>
      </c>
      <c s="18">
        <f t="shared" si="37" ref="D390:O390">IF(INDEX(累計比較データ期間合計,$A390,D$228*4+$G$1)="", "--", INDEX(累計比較データ期間合計,$A390,D$228*4+$G$1))</f>
        <v>9028597222.6872005</v>
      </c>
      <c s="18">
        <f t="shared" si="37"/>
        <v>9086678068.9871998</v>
      </c>
      <c s="18">
        <f t="shared" si="37"/>
        <v>8820754654.1912003</v>
      </c>
      <c s="18">
        <f t="shared" si="37"/>
        <v>8875301321.9976006</v>
      </c>
      <c s="18">
        <f t="shared" si="37"/>
        <v>9454279640.6345997</v>
      </c>
      <c s="18">
        <f t="shared" si="37"/>
        <v>9067600757.7513008</v>
      </c>
      <c s="18">
        <f t="shared" si="37"/>
        <v>9232294623.9109001</v>
      </c>
      <c s="18">
        <f t="shared" si="37"/>
        <v>8785864707.0636997</v>
      </c>
      <c s="18">
        <f t="shared" si="37"/>
        <v>10964732278.593599</v>
      </c>
      <c s="18">
        <f t="shared" si="37"/>
        <v>8808355815.8372002</v>
      </c>
      <c s="18">
        <f t="shared" si="37"/>
        <v>9004011243.7747993</v>
      </c>
      <c s="18">
        <f t="shared" si="37"/>
        <v>9878581560.3948994</v>
      </c>
      <c s="110">
        <f>IF(INDEX(合算比較データ合計,$A390,P$228*4+$G$1)="", "--", INDEX(合算比較データ合計,$A390,P$228*4+$G$1))</f>
        <v>111007051895.82401</v>
      </c>
    </row>
  </sheetData>
  <printOptions horizontalCentered="1"/>
  <pageMargins left="0.59055118110236215" right="0.59055118110236215" top="0.59055118110236215" bottom="0.59055118110236215" header="0.31496062992125989" footer="0.31496062992125989"/>
  <pageSetup paperSize="9" scale="63" orientation="landscape" verticalDpi="300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820"/>
  <sheetViews>
    <sheetView showGridLines="0" zoomScale="75" workbookViewId="0">
      <pane xSplit="3" ySplit="0" topLeftCell="D1" activePane="topRight" state="frozen"/>
    </sheetView>
  </sheetViews>
  <sheetFormatPr defaultColWidth="5.625" defaultRowHeight="12"/>
  <cols>
    <col min="1" max="1" width="2.125" style="60" customWidth="1"/>
    <col min="2" max="2" width="1.625" style="60" customWidth="1"/>
    <col min="3" max="3" width="35.5" style="109" customWidth="1"/>
    <col min="4" max="15" width="12.625" style="40" customWidth="1"/>
    <col min="16" max="17" width="1.625" style="60" customWidth="1"/>
    <col min="18" max="18" width="2.125" style="60" customWidth="1"/>
    <col min="19" max="16384" width="5.625" style="60"/>
  </cols>
  <sheetData>
    <row ht="24" customHeight="1" s="40" customFormat="1">
      <c s="11"/>
      <c r="C1" s="194" t="s">
        <v>136</v>
      </c>
      <c s="149" t="s">
        <v>1</v>
      </c>
      <c s="11">
        <f>VLOOKUP($D$1, 値単位リスト, 2, FALSE)</f>
        <v>2</v>
      </c>
      <c s="11" t="str">
        <f>VLOOKUP($D$1, 値単位リスト, 3, FALSE)</f>
        <v>千円</v>
      </c>
      <c s="11">
        <f>VLOOKUP($D$1, 値単位リスト, 4, FALSE)</f>
        <v>1000</v>
      </c>
      <c s="11"/>
      <c s="11" t="str">
        <f>分析POS名称</f>
        <v>RDS06 スーパー  04 首都圏</v>
      </c>
      <c s="11"/>
      <c s="11" t="str">
        <f>比較POS名称</f>
        <v>RDS06 スーパー  00 全国</v>
      </c>
      <c s="11"/>
      <c s="11"/>
      <c s="11"/>
      <c s="11"/>
      <c s="11"/>
      <c s="11"/>
      <c s="11"/>
    </row>
    <row ht="24" customHeight="1" s="87" customFormat="1">
      <c s="126"/>
      <c r="C2" s="99" t="str">
        <f>"【 " &amp; 分析種別名称 &amp; " 販売指数(" &amp; $D$1 &amp; ") 】" &amp; PI値モード名称</f>
        <v>【 カテゴリー別 販売指数(金額) 】</v>
      </c>
      <c s="27"/>
      <c s="27"/>
      <c s="27"/>
      <c s="27"/>
      <c s="27"/>
      <c s="27"/>
      <c s="27"/>
      <c s="27"/>
      <c s="27"/>
      <c s="27"/>
      <c s="27"/>
      <c s="27"/>
      <c s="27"/>
    </row>
    <row ht="12.75" customHeight="1" s="40" customFormat="1">
      <c s="11"/>
      <c r="C3" s="94"/>
      <c s="19"/>
      <c s="19"/>
      <c s="19"/>
      <c s="19"/>
      <c s="19"/>
      <c s="19"/>
      <c s="19"/>
      <c s="19"/>
      <c s="19"/>
      <c s="19"/>
      <c s="19"/>
      <c r="P3" s="101" t="str">
        <f>IF(分析POS名称="","",分析POS名称) &amp;  " (" &amp; IF(年度開始年月=分析終了年月,年度開始年月,年度開始年月&amp;"～"&amp;分析終了年月) &amp; ")"</f>
        <v>RDS06 スーパー  04 首都圏 (2019年4月～2020年3月)</v>
      </c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 thickBot="1">
      <c s="35"/>
      <c r="C32" s="203" t="str">
        <f>"平均を100とした場合の指数"</f>
        <v>平均を100とした場合の指数</v>
      </c>
      <c s="11">
        <v>0</v>
      </c>
      <c s="11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</row>
    <row ht="18" customHeight="1" thickBot="1" s="40" customFormat="1">
      <c s="11"/>
      <c r="C33" s="203" t="str">
        <f>分析オプション</f>
        <v xml:space="preserve"> [税抜分析]</v>
      </c>
      <c s="100" t="str">
        <f>INFO!AC$4</f>
        <v>4月</v>
      </c>
      <c s="28" t="str">
        <f>INFO!AD$4</f>
        <v>5月</v>
      </c>
      <c s="28" t="str">
        <f>INFO!AE$4</f>
        <v>6月</v>
      </c>
      <c s="28" t="str">
        <f>INFO!AF$4</f>
        <v>7月</v>
      </c>
      <c s="28" t="str">
        <f>INFO!AG$4</f>
        <v>8月</v>
      </c>
      <c s="28" t="str">
        <f>INFO!AH$4</f>
        <v>9月</v>
      </c>
      <c s="28" t="str">
        <f>INFO!AI$4</f>
        <v>10月</v>
      </c>
      <c s="28" t="str">
        <f>INFO!AJ$4</f>
        <v>11月</v>
      </c>
      <c s="28" t="str">
        <f>INFO!AK$4</f>
        <v>12月</v>
      </c>
      <c s="28" t="str">
        <f>INFO!AL$4</f>
        <v>1月</v>
      </c>
      <c s="28" t="str">
        <f>INFO!AM$4</f>
        <v>2月</v>
      </c>
      <c s="105" t="str">
        <f>INFO!AN$4</f>
        <v>3月</v>
      </c>
      <c s="273"/>
    </row>
    <row ht="15" customHeight="1" s="40" customFormat="1">
      <c s="11">
        <v>1</v>
      </c>
      <c r="C34" s="187" t="str">
        <f t="shared" si="0" ref="C34:C83">IF(INDEX(項目,$A34,1)="","",INDEX(項目,$A34,1))</f>
        <v>加工食品</v>
      </c>
      <c s="160">
        <f t="shared" si="1" ref="D34:H83">IF(ISERROR(D87/$P87), "--", D87/$P87*100)</f>
        <v>98.865703615764147</v>
      </c>
      <c s="70">
        <f t="shared" si="1"/>
        <v>99.166231365794118</v>
      </c>
      <c s="70">
        <f t="shared" si="1"/>
        <v>94.785020434698353</v>
      </c>
      <c s="41">
        <f t="shared" si="1"/>
        <v>96.358590197238613</v>
      </c>
      <c s="41">
        <f t="shared" si="1"/>
        <v>96.141608328603994</v>
      </c>
      <c s="41">
        <f t="shared" si="2" ref="I34:M83">IF(ISERROR(I87/$P87), "--", I87/$P87*100)</f>
        <v>95.849572083832655</v>
      </c>
      <c s="41">
        <f t="shared" si="2"/>
        <v>98.937014093009708</v>
      </c>
      <c s="41">
        <f t="shared" si="2"/>
        <v>95.082054938631345</v>
      </c>
      <c s="41">
        <f t="shared" si="2"/>
        <v>118.27159626174308</v>
      </c>
      <c s="41">
        <f t="shared" si="2"/>
        <v>92.995200830945251</v>
      </c>
      <c s="41">
        <f t="shared" si="3" ref="N34:O83">IF(ISERROR(N87/$P87), "--", N87/$P87*100)</f>
        <v>99.207408845930402</v>
      </c>
      <c s="186">
        <f t="shared" si="3"/>
        <v>114.3399990038084</v>
      </c>
      <c s="244"/>
    </row>
    <row ht="15" customHeight="1" s="40" customFormat="1">
      <c s="11">
        <v>2</v>
      </c>
      <c r="C35" s="145" t="str">
        <f t="shared" si="0"/>
        <v>生鮮食品</v>
      </c>
      <c s="166">
        <f t="shared" si="1"/>
        <v>99.648192540127738</v>
      </c>
      <c s="34">
        <f t="shared" si="1"/>
        <v>105.69362664999751</v>
      </c>
      <c s="34">
        <f t="shared" si="1"/>
        <v>93.019181104682787</v>
      </c>
      <c s="34">
        <f t="shared" si="1"/>
        <v>100.66984078848525</v>
      </c>
      <c s="34">
        <f t="shared" si="1"/>
        <v>100.4800387737949</v>
      </c>
      <c s="34">
        <f t="shared" si="2"/>
        <v>94.335759447188366</v>
      </c>
      <c s="34">
        <f t="shared" si="2"/>
        <v>99.121089678589811</v>
      </c>
      <c s="34">
        <f t="shared" si="2"/>
        <v>89.985771926772046</v>
      </c>
      <c s="34">
        <f t="shared" si="2"/>
        <v>114.72479194114553</v>
      </c>
      <c s="34">
        <f t="shared" si="2"/>
        <v>95.977030071167647</v>
      </c>
      <c s="34">
        <f t="shared" si="3"/>
        <v>98.795628468228898</v>
      </c>
      <c s="155">
        <f t="shared" si="3"/>
        <v>107.54904860981954</v>
      </c>
      <c s="244"/>
    </row>
    <row ht="15" customHeight="1" s="40" customFormat="1">
      <c s="11">
        <v>3</v>
      </c>
      <c r="C36" s="145" t="str">
        <f t="shared" si="0"/>
        <v>菓子類</v>
      </c>
      <c s="166">
        <f t="shared" si="1"/>
        <v>101.70225154552168</v>
      </c>
      <c s="34">
        <f t="shared" si="1"/>
        <v>103.14375606038728</v>
      </c>
      <c s="34">
        <f t="shared" si="1"/>
        <v>99.502323037293053</v>
      </c>
      <c s="34">
        <f t="shared" si="1"/>
        <v>100.30882509060221</v>
      </c>
      <c s="34">
        <f t="shared" si="1"/>
        <v>100.45771742187736</v>
      </c>
      <c s="34">
        <f t="shared" si="2"/>
        <v>94.718448419714449</v>
      </c>
      <c s="34">
        <f t="shared" si="2"/>
        <v>96.779271236117481</v>
      </c>
      <c s="34">
        <f t="shared" si="2"/>
        <v>90.229395953526435</v>
      </c>
      <c s="34">
        <f t="shared" si="2"/>
        <v>105.75342417605931</v>
      </c>
      <c s="34">
        <f t="shared" si="2"/>
        <v>91.189178059515442</v>
      </c>
      <c s="34">
        <f t="shared" si="3"/>
        <v>102.1133106126981</v>
      </c>
      <c s="155">
        <f t="shared" si="3"/>
        <v>114.10209838668679</v>
      </c>
      <c s="244"/>
    </row>
    <row ht="15" hidden="1" customHeight="1" s="40" customFormat="1">
      <c s="11">
        <v>4</v>
      </c>
      <c r="C37" s="145" t="str">
        <f t="shared" si="0"/>
        <v>項目4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5</v>
      </c>
      <c r="C38" s="145" t="str">
        <f t="shared" si="0"/>
        <v>項目5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6</v>
      </c>
      <c r="C39" s="145" t="str">
        <f t="shared" si="0"/>
        <v>項目6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7</v>
      </c>
      <c r="C40" s="145" t="str">
        <f t="shared" si="0"/>
        <v>項目7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8</v>
      </c>
      <c r="C41" s="145" t="str">
        <f t="shared" si="0"/>
        <v>項目8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9</v>
      </c>
      <c r="C42" s="145" t="str">
        <f t="shared" si="0"/>
        <v>項目9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10</v>
      </c>
      <c r="C43" s="145" t="str">
        <f t="shared" si="0"/>
        <v>項目10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11</v>
      </c>
      <c r="C44" s="145" t="str">
        <f t="shared" si="0"/>
        <v>項目11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12</v>
      </c>
      <c r="C45" s="145" t="str">
        <f t="shared" si="0"/>
        <v>項目12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13</v>
      </c>
      <c r="C46" s="145" t="str">
        <f t="shared" si="0"/>
        <v>項目13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14</v>
      </c>
      <c r="C47" s="145" t="str">
        <f t="shared" si="0"/>
        <v>項目14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15</v>
      </c>
      <c r="C48" s="145" t="str">
        <f t="shared" si="0"/>
        <v>項目15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16</v>
      </c>
      <c r="C49" s="145" t="str">
        <f t="shared" si="0"/>
        <v>項目16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17</v>
      </c>
      <c r="C50" s="145" t="str">
        <f t="shared" si="0"/>
        <v>項目17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18</v>
      </c>
      <c r="C51" s="145" t="str">
        <f t="shared" si="0"/>
        <v>項目18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19</v>
      </c>
      <c r="C52" s="145" t="str">
        <f t="shared" si="0"/>
        <v>項目19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20</v>
      </c>
      <c r="C53" s="145" t="str">
        <f t="shared" si="0"/>
        <v>項目20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21</v>
      </c>
      <c r="C54" s="145" t="str">
        <f t="shared" si="0"/>
        <v>項目21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22</v>
      </c>
      <c r="C55" s="145" t="str">
        <f t="shared" si="0"/>
        <v>項目22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23</v>
      </c>
      <c r="C56" s="145" t="str">
        <f t="shared" si="0"/>
        <v>項目23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24</v>
      </c>
      <c r="C57" s="145" t="str">
        <f t="shared" si="0"/>
        <v>項目24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25</v>
      </c>
      <c r="C58" s="145" t="str">
        <f t="shared" si="0"/>
        <v>項目25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26</v>
      </c>
      <c r="C59" s="145" t="str">
        <f t="shared" si="0"/>
        <v>項目26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27</v>
      </c>
      <c r="C60" s="145" t="str">
        <f t="shared" si="0"/>
        <v>項目27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28</v>
      </c>
      <c r="C61" s="145" t="str">
        <f t="shared" si="0"/>
        <v>項目28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29</v>
      </c>
      <c r="C62" s="145" t="str">
        <f t="shared" si="0"/>
        <v>項目29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30</v>
      </c>
      <c r="C63" s="145" t="str">
        <f t="shared" si="0"/>
        <v>項目30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31</v>
      </c>
      <c r="C64" s="145" t="str">
        <f t="shared" si="0"/>
        <v>項目31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32</v>
      </c>
      <c r="C65" s="145" t="str">
        <f t="shared" si="0"/>
        <v>項目32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33</v>
      </c>
      <c r="C66" s="145" t="str">
        <f t="shared" si="0"/>
        <v>項目33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34</v>
      </c>
      <c r="C67" s="145" t="str">
        <f t="shared" si="0"/>
        <v>項目34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35</v>
      </c>
      <c r="C68" s="145" t="str">
        <f t="shared" si="0"/>
        <v>項目35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36</v>
      </c>
      <c r="C69" s="145" t="str">
        <f t="shared" si="0"/>
        <v>項目36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37</v>
      </c>
      <c r="C70" s="145" t="str">
        <f t="shared" si="0"/>
        <v>項目37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38</v>
      </c>
      <c r="C71" s="145" t="str">
        <f t="shared" si="0"/>
        <v>項目38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39</v>
      </c>
      <c r="C72" s="145" t="str">
        <f t="shared" si="0"/>
        <v>項目39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40</v>
      </c>
      <c r="C73" s="145" t="str">
        <f t="shared" si="0"/>
        <v>項目40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41</v>
      </c>
      <c r="C74" s="145" t="str">
        <f t="shared" si="0"/>
        <v>項目41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42</v>
      </c>
      <c r="C75" s="145" t="str">
        <f t="shared" si="0"/>
        <v>項目42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43</v>
      </c>
      <c r="C76" s="145" t="str">
        <f t="shared" si="0"/>
        <v>項目43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44</v>
      </c>
      <c r="C77" s="145" t="str">
        <f t="shared" si="0"/>
        <v>項目44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45</v>
      </c>
      <c r="C78" s="145" t="str">
        <f t="shared" si="0"/>
        <v>項目45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46</v>
      </c>
      <c r="C79" s="145" t="str">
        <f t="shared" si="0"/>
        <v>項目46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47</v>
      </c>
      <c r="C80" s="145" t="str">
        <f t="shared" si="0"/>
        <v>項目47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48</v>
      </c>
      <c r="C81" s="145" t="str">
        <f t="shared" si="0"/>
        <v>項目48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s="40" customFormat="1">
      <c s="11">
        <v>49</v>
      </c>
      <c r="C82" s="145" t="str">
        <f t="shared" si="0"/>
        <v>項目49</v>
      </c>
      <c s="166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44"/>
    </row>
    <row ht="15" hidden="1" customHeight="1" thickBot="1" s="40" customFormat="1">
      <c s="11">
        <v>50</v>
      </c>
      <c r="C83" s="138" t="str">
        <f t="shared" si="0"/>
        <v>項目50</v>
      </c>
      <c s="171" t="str">
        <f t="shared" si="1"/>
        <v>--</v>
      </c>
      <c s="36" t="str">
        <f t="shared" si="1"/>
        <v>--</v>
      </c>
      <c s="36" t="str">
        <f t="shared" si="1"/>
        <v>--</v>
      </c>
      <c s="36" t="str">
        <f t="shared" si="1"/>
        <v>--</v>
      </c>
      <c s="36" t="str">
        <f t="shared" si="1"/>
        <v>--</v>
      </c>
      <c s="36" t="str">
        <f t="shared" si="2"/>
        <v>--</v>
      </c>
      <c s="36" t="str">
        <f t="shared" si="2"/>
        <v>--</v>
      </c>
      <c s="36" t="str">
        <f t="shared" si="2"/>
        <v>--</v>
      </c>
      <c s="36" t="str">
        <f t="shared" si="2"/>
        <v>--</v>
      </c>
      <c s="36" t="str">
        <f t="shared" si="2"/>
        <v>--</v>
      </c>
      <c s="36" t="str">
        <f t="shared" si="3"/>
        <v>--</v>
      </c>
      <c s="167" t="str">
        <f t="shared" si="3"/>
        <v>--</v>
      </c>
      <c s="244"/>
    </row>
    <row ht="9" customHeight="1">
      <c s="35"/>
      <c r="C84" s="132"/>
      <c s="33"/>
      <c s="33"/>
      <c s="33"/>
      <c s="33"/>
      <c s="33"/>
      <c s="33"/>
      <c s="33"/>
      <c s="33"/>
      <c s="33"/>
      <c s="33"/>
      <c s="33"/>
      <c s="33"/>
    </row>
    <row ht="12" customHeight="1">
      <c s="35"/>
    </row>
    <row ht="12" hidden="1" customHeight="1" s="40" customFormat="1">
      <c s="11"/>
      <c r="C86" s="98"/>
      <c s="24" t="str">
        <f t="shared" si="4" ref="D86:O86">D$33</f>
        <v>4月</v>
      </c>
      <c s="24" t="str">
        <f t="shared" si="4"/>
        <v>5月</v>
      </c>
      <c s="24" t="str">
        <f t="shared" si="4"/>
        <v>6月</v>
      </c>
      <c s="24" t="str">
        <f t="shared" si="4"/>
        <v>7月</v>
      </c>
      <c s="24" t="str">
        <f t="shared" si="4"/>
        <v>8月</v>
      </c>
      <c s="24" t="str">
        <f t="shared" si="4"/>
        <v>9月</v>
      </c>
      <c s="24" t="str">
        <f t="shared" si="4"/>
        <v>10月</v>
      </c>
      <c s="24" t="str">
        <f t="shared" si="4"/>
        <v>11月</v>
      </c>
      <c s="24" t="str">
        <f t="shared" si="4"/>
        <v>12月</v>
      </c>
      <c s="24" t="str">
        <f t="shared" si="4"/>
        <v>1月</v>
      </c>
      <c s="24" t="str">
        <f t="shared" si="4"/>
        <v>2月</v>
      </c>
      <c s="24" t="str">
        <f t="shared" si="4"/>
        <v>3月</v>
      </c>
      <c s="24" t="s">
        <v>62</v>
      </c>
    </row>
    <row ht="12" hidden="1" customHeight="1" s="40" customFormat="1">
      <c s="11">
        <v>1</v>
      </c>
      <c r="C87" s="113" t="str">
        <f t="shared" si="5" ref="C87:C136">$C34</f>
        <v>加工食品</v>
      </c>
      <c s="18">
        <f t="shared" si="6" ref="D87:H136">IF(INDEX(累計分析データ,$A87,D$32*4+$E$1)="", "--", INDEX(累計分析データ,$A87,D$32*4+$E$1)/$G$1)</f>
        <v>4856325.5461007999</v>
      </c>
      <c s="18">
        <f t="shared" si="6"/>
        <v>4871087.5974129001</v>
      </c>
      <c s="18">
        <f t="shared" si="6"/>
        <v>4655880.6470812997</v>
      </c>
      <c s="18">
        <f t="shared" si="6"/>
        <v>4733175.0652356008</v>
      </c>
      <c s="18">
        <f t="shared" si="6"/>
        <v>4722516.8232653998</v>
      </c>
      <c s="18">
        <f t="shared" si="7" ref="I87:M136">IF(INDEX(累計分析データ,$A87,I$32*4+$E$1)="", "--", INDEX(累計分析データ,$A87,I$32*4+$E$1)/$G$1)</f>
        <v>4708171.8783148006</v>
      </c>
      <c s="18">
        <f t="shared" si="7"/>
        <v>4859828.3471702002</v>
      </c>
      <c s="18">
        <f t="shared" si="7"/>
        <v>4670471.1086546006</v>
      </c>
      <c s="18">
        <f t="shared" si="7"/>
        <v>5809551.2730710004</v>
      </c>
      <c s="18">
        <f t="shared" si="7"/>
        <v>4567963.9444561005</v>
      </c>
      <c s="18">
        <f t="shared" si="8" ref="N87:O136">IF(INDEX(累計分析データ,$A87,N$32*4+$E$1)="", "--", INDEX(累計分析データ,$A87,N$32*4+$E$1)/$G$1)</f>
        <v>4873110.2528069997</v>
      </c>
      <c s="18">
        <f t="shared" si="8"/>
        <v>5616429.5382083999</v>
      </c>
      <c s="110">
        <f t="shared" si="9" ref="P87:P136">IF(ISERROR(AVERAGE($D87:$O87)),"--",AVERAGE($D87:$O87))</f>
        <v>4912042.6684815083</v>
      </c>
    </row>
    <row ht="12" hidden="1" customHeight="1" s="40" customFormat="1">
      <c s="11">
        <v>2</v>
      </c>
      <c r="C88" s="113" t="str">
        <f t="shared" si="5"/>
        <v>生鮮食品</v>
      </c>
      <c s="18">
        <f t="shared" si="6"/>
        <v>4939181.6828664001</v>
      </c>
      <c s="18">
        <f t="shared" si="6"/>
        <v>5238830.8451773003</v>
      </c>
      <c s="18">
        <f t="shared" si="6"/>
        <v>4610606.8133896999</v>
      </c>
      <c s="18">
        <f t="shared" si="6"/>
        <v>4989820.8985509994</v>
      </c>
      <c s="18">
        <f t="shared" si="6"/>
        <v>4980413.1349937003</v>
      </c>
      <c s="18">
        <f t="shared" si="7"/>
        <v>4675864.5914547006</v>
      </c>
      <c s="18">
        <f t="shared" si="7"/>
        <v>4913055.1999636004</v>
      </c>
      <c s="18">
        <f t="shared" si="7"/>
        <v>4460252.2643882995</v>
      </c>
      <c s="18">
        <f t="shared" si="7"/>
        <v>5686471.3396399999</v>
      </c>
      <c s="18">
        <f t="shared" si="7"/>
        <v>4757216.1302628005</v>
      </c>
      <c s="18">
        <f t="shared" si="8"/>
        <v>4896923.3263417995</v>
      </c>
      <c s="18">
        <f t="shared" si="8"/>
        <v>5330797.0507284002</v>
      </c>
      <c s="110">
        <f t="shared" si="9"/>
        <v>4956619.4398131417</v>
      </c>
    </row>
    <row ht="12" hidden="1" customHeight="1" s="40" customFormat="1">
      <c s="11">
        <v>3</v>
      </c>
      <c r="C89" s="113" t="str">
        <f t="shared" si="5"/>
        <v>菓子類</v>
      </c>
      <c s="18">
        <f t="shared" si="6"/>
        <v>1152809.6836745001</v>
      </c>
      <c s="18">
        <f t="shared" si="6"/>
        <v>1169149.3451721</v>
      </c>
      <c s="18">
        <f t="shared" si="6"/>
        <v>1127873.1768701999</v>
      </c>
      <c s="18">
        <f t="shared" si="6"/>
        <v>1137014.9939178</v>
      </c>
      <c s="18">
        <f t="shared" si="6"/>
        <v>1138702.7099586001</v>
      </c>
      <c s="18">
        <f t="shared" si="7"/>
        <v>1073647.2683891</v>
      </c>
      <c s="18">
        <f t="shared" si="7"/>
        <v>1097006.9921217</v>
      </c>
      <c s="18">
        <f t="shared" si="7"/>
        <v>1022763.2114985</v>
      </c>
      <c s="18">
        <f t="shared" si="7"/>
        <v>1198730.3094988998</v>
      </c>
      <c s="18">
        <f t="shared" si="7"/>
        <v>1033642.4800415999</v>
      </c>
      <c s="18">
        <f t="shared" si="8"/>
        <v>1157469.0974633</v>
      </c>
      <c s="18">
        <f t="shared" si="8"/>
        <v>1293363.7353041</v>
      </c>
      <c s="110">
        <f t="shared" si="9"/>
        <v>1133514.4169925337</v>
      </c>
    </row>
    <row ht="12" hidden="1" customHeight="1" s="40" customFormat="1">
      <c s="11">
        <v>4</v>
      </c>
      <c r="C90" s="113" t="str">
        <f t="shared" si="5"/>
        <v>項目4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5</v>
      </c>
      <c r="C91" s="113" t="str">
        <f t="shared" si="5"/>
        <v>項目5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6</v>
      </c>
      <c r="C92" s="113" t="str">
        <f t="shared" si="5"/>
        <v>項目6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7</v>
      </c>
      <c r="C93" s="113" t="str">
        <f t="shared" si="5"/>
        <v>項目7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8</v>
      </c>
      <c r="C94" s="113" t="str">
        <f t="shared" si="5"/>
        <v>項目8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9</v>
      </c>
      <c r="C95" s="113" t="str">
        <f t="shared" si="5"/>
        <v>項目9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10</v>
      </c>
      <c r="C96" s="113" t="str">
        <f t="shared" si="5"/>
        <v>項目10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11</v>
      </c>
      <c r="C97" s="113" t="str">
        <f t="shared" si="5"/>
        <v>項目11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12</v>
      </c>
      <c r="C98" s="113" t="str">
        <f t="shared" si="5"/>
        <v>項目12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13</v>
      </c>
      <c r="C99" s="113" t="str">
        <f t="shared" si="5"/>
        <v>項目13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14</v>
      </c>
      <c r="C100" s="113" t="str">
        <f t="shared" si="5"/>
        <v>項目14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15</v>
      </c>
      <c r="C101" s="113" t="str">
        <f t="shared" si="5"/>
        <v>項目15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16</v>
      </c>
      <c r="C102" s="113" t="str">
        <f t="shared" si="5"/>
        <v>項目16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17</v>
      </c>
      <c r="C103" s="113" t="str">
        <f t="shared" si="5"/>
        <v>項目17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18</v>
      </c>
      <c r="C104" s="113" t="str">
        <f t="shared" si="5"/>
        <v>項目18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19</v>
      </c>
      <c r="C105" s="113" t="str">
        <f t="shared" si="5"/>
        <v>項目19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20</v>
      </c>
      <c r="C106" s="113" t="str">
        <f t="shared" si="5"/>
        <v>項目20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21</v>
      </c>
      <c r="C107" s="113" t="str">
        <f t="shared" si="5"/>
        <v>項目21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22</v>
      </c>
      <c r="C108" s="113" t="str">
        <f t="shared" si="5"/>
        <v>項目22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23</v>
      </c>
      <c r="C109" s="113" t="str">
        <f t="shared" si="5"/>
        <v>項目23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24</v>
      </c>
      <c r="C110" s="113" t="str">
        <f t="shared" si="5"/>
        <v>項目24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25</v>
      </c>
      <c r="C111" s="113" t="str">
        <f t="shared" si="5"/>
        <v>項目25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26</v>
      </c>
      <c r="C112" s="113" t="str">
        <f t="shared" si="5"/>
        <v>項目26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27</v>
      </c>
      <c r="C113" s="113" t="str">
        <f t="shared" si="5"/>
        <v>項目27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28</v>
      </c>
      <c r="C114" s="113" t="str">
        <f t="shared" si="5"/>
        <v>項目28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29</v>
      </c>
      <c r="C115" s="113" t="str">
        <f t="shared" si="5"/>
        <v>項目29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30</v>
      </c>
      <c r="C116" s="113" t="str">
        <f t="shared" si="5"/>
        <v>項目30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31</v>
      </c>
      <c r="C117" s="113" t="str">
        <f t="shared" si="5"/>
        <v>項目31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32</v>
      </c>
      <c r="C118" s="113" t="str">
        <f t="shared" si="5"/>
        <v>項目32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33</v>
      </c>
      <c r="C119" s="113" t="str">
        <f t="shared" si="5"/>
        <v>項目33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34</v>
      </c>
      <c r="C120" s="113" t="str">
        <f t="shared" si="5"/>
        <v>項目34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35</v>
      </c>
      <c r="C121" s="113" t="str">
        <f t="shared" si="5"/>
        <v>項目35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36</v>
      </c>
      <c r="C122" s="113" t="str">
        <f t="shared" si="5"/>
        <v>項目36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37</v>
      </c>
      <c r="C123" s="113" t="str">
        <f t="shared" si="5"/>
        <v>項目37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38</v>
      </c>
      <c r="C124" s="113" t="str">
        <f t="shared" si="5"/>
        <v>項目38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39</v>
      </c>
      <c r="C125" s="113" t="str">
        <f t="shared" si="5"/>
        <v>項目39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40</v>
      </c>
      <c r="C126" s="113" t="str">
        <f t="shared" si="5"/>
        <v>項目40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41</v>
      </c>
      <c r="C127" s="113" t="str">
        <f t="shared" si="5"/>
        <v>項目41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42</v>
      </c>
      <c r="C128" s="113" t="str">
        <f t="shared" si="5"/>
        <v>項目42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43</v>
      </c>
      <c r="C129" s="113" t="str">
        <f t="shared" si="5"/>
        <v>項目43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44</v>
      </c>
      <c r="C130" s="113" t="str">
        <f t="shared" si="5"/>
        <v>項目44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45</v>
      </c>
      <c r="C131" s="113" t="str">
        <f t="shared" si="5"/>
        <v>項目45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46</v>
      </c>
      <c r="C132" s="113" t="str">
        <f t="shared" si="5"/>
        <v>項目46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47</v>
      </c>
      <c r="C133" s="113" t="str">
        <f t="shared" si="5"/>
        <v>項目47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48</v>
      </c>
      <c r="C134" s="113" t="str">
        <f t="shared" si="5"/>
        <v>項目48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49</v>
      </c>
      <c r="C135" s="113" t="str">
        <f t="shared" si="5"/>
        <v>項目49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50</v>
      </c>
      <c r="C136" s="113" t="str">
        <f t="shared" si="5"/>
        <v>項目50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customHeight="1">
      <c s="35"/>
    </row>
    <row ht="24" customHeight="1" s="87" customFormat="1">
      <c s="126"/>
      <c r="C138" s="99" t="str">
        <f>"比較 【 " &amp; 分析種別名称 &amp; " 販売指数(" &amp; $D$1 &amp; ") 】" &amp; PI値モード名称</f>
        <v>比較 【 カテゴリー別 販売指数(金額) 】</v>
      </c>
      <c s="27"/>
      <c s="27"/>
      <c s="27"/>
      <c s="27"/>
      <c s="27"/>
      <c s="27"/>
      <c s="27"/>
      <c s="27"/>
      <c s="27"/>
      <c s="27"/>
      <c s="27"/>
      <c s="27"/>
      <c s="27"/>
    </row>
    <row ht="12.75" customHeight="1" s="40" customFormat="1">
      <c s="11"/>
      <c r="C139" s="94"/>
      <c s="19"/>
      <c s="19"/>
      <c s="19"/>
      <c s="19"/>
      <c s="19"/>
      <c s="19"/>
      <c s="19"/>
      <c s="19"/>
      <c s="19"/>
      <c s="19"/>
      <c s="19"/>
      <c r="P139" s="101" t="str">
        <f>IF(比較POS名称="","",比較POS名称) &amp;  " (" &amp; IF(年度開始年月=分析終了年月,年度開始年月,年度開始年月&amp;"～"&amp;分析終了年月) &amp; ")"</f>
        <v>RDS06 スーパー  00 全国 (2019年4月～2020年3月)</v>
      </c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 thickBot="1">
      <c s="35"/>
      <c r="C168" s="203" t="str">
        <f>"平均を100とした場合の指数"</f>
        <v>平均を100とした場合の指数</v>
      </c>
      <c s="11">
        <v>0</v>
      </c>
      <c s="11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</row>
    <row ht="18" customHeight="1" thickBot="1" s="40" customFormat="1">
      <c s="11"/>
      <c r="C169" s="203" t="str">
        <f>分析オプション</f>
        <v xml:space="preserve"> [税抜分析]</v>
      </c>
      <c s="100" t="str">
        <f>INFO!AC$4</f>
        <v>4月</v>
      </c>
      <c s="28" t="str">
        <f>INFO!AD$4</f>
        <v>5月</v>
      </c>
      <c s="28" t="str">
        <f>INFO!AE$4</f>
        <v>6月</v>
      </c>
      <c s="28" t="str">
        <f>INFO!AF$4</f>
        <v>7月</v>
      </c>
      <c s="28" t="str">
        <f>INFO!AG$4</f>
        <v>8月</v>
      </c>
      <c s="28" t="str">
        <f>INFO!AH$4</f>
        <v>9月</v>
      </c>
      <c s="28" t="str">
        <f>INFO!AI$4</f>
        <v>10月</v>
      </c>
      <c s="28" t="str">
        <f>INFO!AJ$4</f>
        <v>11月</v>
      </c>
      <c s="28" t="str">
        <f>INFO!AK$4</f>
        <v>12月</v>
      </c>
      <c s="28" t="str">
        <f>INFO!AL$4</f>
        <v>1月</v>
      </c>
      <c s="28" t="str">
        <f>INFO!AM$4</f>
        <v>2月</v>
      </c>
      <c s="105" t="str">
        <f>INFO!AN$4</f>
        <v>3月</v>
      </c>
      <c s="273"/>
    </row>
    <row ht="15" customHeight="1" s="40" customFormat="1">
      <c s="11">
        <v>1</v>
      </c>
      <c r="C170" s="152" t="str">
        <f t="shared" si="10" ref="C170:C219">$C34</f>
        <v>加工食品</v>
      </c>
      <c s="297">
        <f t="shared" si="11" ref="D170:H219">IF(ISERROR(D223/$P223), "--", D223/$P223*100)</f>
        <v>97.205933980746366</v>
      </c>
      <c s="70">
        <f t="shared" si="11"/>
        <v>97.822376614807112</v>
      </c>
      <c s="70">
        <f t="shared" si="11"/>
        <v>95.366222337312223</v>
      </c>
      <c s="41">
        <f t="shared" si="11"/>
        <v>96.715868080667249</v>
      </c>
      <c s="41">
        <f t="shared" si="11"/>
        <v>100.94828730186316</v>
      </c>
      <c s="41">
        <f t="shared" si="12" ref="I170:M219">IF(ISERROR(I223/$P223), "--", I223/$P223*100)</f>
        <v>97.476763742104936</v>
      </c>
      <c s="41">
        <f t="shared" si="12"/>
        <v>99.027324284059375</v>
      </c>
      <c s="41">
        <f t="shared" si="12"/>
        <v>95.526668572241945</v>
      </c>
      <c s="41">
        <f t="shared" si="12"/>
        <v>120.39492210250773</v>
      </c>
      <c s="41">
        <f t="shared" si="12"/>
        <v>93.145393539344497</v>
      </c>
      <c s="41">
        <f t="shared" si="13" ref="N170:O219">IF(ISERROR(N223/$P223), "--", N223/$P223*100)</f>
        <v>98.495060586435685</v>
      </c>
      <c s="290">
        <f t="shared" si="13"/>
        <v>107.87517885790993</v>
      </c>
      <c s="244"/>
    </row>
    <row ht="15" customHeight="1" s="40" customFormat="1">
      <c s="11">
        <v>2</v>
      </c>
      <c r="C171" s="145" t="str">
        <f t="shared" si="10"/>
        <v>生鮮食品</v>
      </c>
      <c s="166">
        <f t="shared" si="11"/>
        <v>97.467537214138588</v>
      </c>
      <c s="34">
        <f t="shared" si="11"/>
        <v>97.854836409599613</v>
      </c>
      <c s="34">
        <f t="shared" si="11"/>
        <v>94.591963700132681</v>
      </c>
      <c s="34">
        <f t="shared" si="11"/>
        <v>94.028476603831209</v>
      </c>
      <c s="34">
        <f t="shared" si="11"/>
        <v>102.48316772782609</v>
      </c>
      <c s="34">
        <f t="shared" si="12"/>
        <v>98.959492923805087</v>
      </c>
      <c s="34">
        <f t="shared" si="12"/>
        <v>101.48116537088885</v>
      </c>
      <c s="34">
        <f t="shared" si="12"/>
        <v>95.506579069573064</v>
      </c>
      <c s="34">
        <f t="shared" si="12"/>
        <v>119.18812916668604</v>
      </c>
      <c s="34">
        <f t="shared" si="12"/>
        <v>98.131893499684324</v>
      </c>
      <c s="34">
        <f t="shared" si="13"/>
        <v>95.366301462036475</v>
      </c>
      <c s="348">
        <f t="shared" si="13"/>
        <v>104.94045685179809</v>
      </c>
      <c s="244"/>
    </row>
    <row ht="15" customHeight="1" s="40" customFormat="1">
      <c s="11">
        <v>3</v>
      </c>
      <c r="C172" s="145" t="str">
        <f t="shared" si="10"/>
        <v>菓子類</v>
      </c>
      <c s="166">
        <f t="shared" si="11"/>
        <v>99.794857597254534</v>
      </c>
      <c s="34">
        <f t="shared" si="11"/>
        <v>101.49839642273963</v>
      </c>
      <c s="34">
        <f t="shared" si="11"/>
        <v>98.556616483958805</v>
      </c>
      <c s="34">
        <f t="shared" si="11"/>
        <v>100.9406704364356</v>
      </c>
      <c s="34">
        <f t="shared" si="11"/>
        <v>106.17257907960929</v>
      </c>
      <c s="34">
        <f t="shared" si="12"/>
        <v>96.262439858567646</v>
      </c>
      <c s="34">
        <f t="shared" si="12"/>
        <v>95.821466102125967</v>
      </c>
      <c s="34">
        <f t="shared" si="12"/>
        <v>90.437831111163632</v>
      </c>
      <c s="34">
        <f t="shared" si="12"/>
        <v>108.02168197005604</v>
      </c>
      <c s="34">
        <f t="shared" si="12"/>
        <v>91.325008322155369</v>
      </c>
      <c s="34">
        <f t="shared" si="13"/>
        <v>100.96065966855392</v>
      </c>
      <c s="348">
        <f t="shared" si="13"/>
        <v>110.20779294737946</v>
      </c>
      <c s="244"/>
    </row>
    <row ht="15" hidden="1" customHeight="1" s="40" customFormat="1">
      <c s="11">
        <v>4</v>
      </c>
      <c r="C173" s="145" t="str">
        <f t="shared" si="10"/>
        <v>項目4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5</v>
      </c>
      <c r="C174" s="145" t="str">
        <f t="shared" si="10"/>
        <v>項目5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6</v>
      </c>
      <c r="C175" s="145" t="str">
        <f t="shared" si="10"/>
        <v>項目6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7</v>
      </c>
      <c r="C176" s="145" t="str">
        <f t="shared" si="10"/>
        <v>項目7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8</v>
      </c>
      <c r="C177" s="145" t="str">
        <f t="shared" si="10"/>
        <v>項目8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9</v>
      </c>
      <c r="C178" s="145" t="str">
        <f t="shared" si="10"/>
        <v>項目9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10</v>
      </c>
      <c r="C179" s="145" t="str">
        <f t="shared" si="10"/>
        <v>項目10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11</v>
      </c>
      <c r="C180" s="145" t="str">
        <f t="shared" si="10"/>
        <v>項目11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12</v>
      </c>
      <c r="C181" s="145" t="str">
        <f t="shared" si="10"/>
        <v>項目12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13</v>
      </c>
      <c r="C182" s="145" t="str">
        <f t="shared" si="10"/>
        <v>項目13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14</v>
      </c>
      <c r="C183" s="145" t="str">
        <f t="shared" si="10"/>
        <v>項目14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15</v>
      </c>
      <c r="C184" s="145" t="str">
        <f t="shared" si="10"/>
        <v>項目15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16</v>
      </c>
      <c r="C185" s="145" t="str">
        <f t="shared" si="10"/>
        <v>項目16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17</v>
      </c>
      <c r="C186" s="145" t="str">
        <f t="shared" si="10"/>
        <v>項目17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18</v>
      </c>
      <c r="C187" s="145" t="str">
        <f t="shared" si="10"/>
        <v>項目18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19</v>
      </c>
      <c r="C188" s="145" t="str">
        <f t="shared" si="10"/>
        <v>項目19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20</v>
      </c>
      <c r="C189" s="145" t="str">
        <f t="shared" si="10"/>
        <v>項目20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21</v>
      </c>
      <c r="C190" s="145" t="str">
        <f t="shared" si="10"/>
        <v>項目21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22</v>
      </c>
      <c r="C191" s="145" t="str">
        <f t="shared" si="10"/>
        <v>項目22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23</v>
      </c>
      <c r="C192" s="145" t="str">
        <f t="shared" si="10"/>
        <v>項目23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24</v>
      </c>
      <c r="C193" s="145" t="str">
        <f t="shared" si="10"/>
        <v>項目24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25</v>
      </c>
      <c r="C194" s="145" t="str">
        <f t="shared" si="10"/>
        <v>項目25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6</v>
      </c>
      <c r="C195" s="145" t="str">
        <f t="shared" si="10"/>
        <v>項目26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7</v>
      </c>
      <c r="C196" s="145" t="str">
        <f t="shared" si="10"/>
        <v>項目27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8</v>
      </c>
      <c r="C197" s="145" t="str">
        <f t="shared" si="10"/>
        <v>項目28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9</v>
      </c>
      <c r="C198" s="145" t="str">
        <f t="shared" si="10"/>
        <v>項目29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10</v>
      </c>
      <c r="C199" s="145" t="str">
        <f t="shared" si="10"/>
        <v>項目30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11</v>
      </c>
      <c r="C200" s="145" t="str">
        <f t="shared" si="10"/>
        <v>項目31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12</v>
      </c>
      <c r="C201" s="145" t="str">
        <f t="shared" si="10"/>
        <v>項目32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13</v>
      </c>
      <c r="C202" s="145" t="str">
        <f t="shared" si="10"/>
        <v>項目33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14</v>
      </c>
      <c r="C203" s="145" t="str">
        <f t="shared" si="10"/>
        <v>項目34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15</v>
      </c>
      <c r="C204" s="145" t="str">
        <f t="shared" si="10"/>
        <v>項目35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16</v>
      </c>
      <c r="C205" s="145" t="str">
        <f t="shared" si="10"/>
        <v>項目36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17</v>
      </c>
      <c r="C206" s="145" t="str">
        <f t="shared" si="10"/>
        <v>項目37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18</v>
      </c>
      <c r="C207" s="145" t="str">
        <f t="shared" si="10"/>
        <v>項目38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19</v>
      </c>
      <c r="C208" s="145" t="str">
        <f t="shared" si="10"/>
        <v>項目39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20</v>
      </c>
      <c r="C209" s="145" t="str">
        <f t="shared" si="10"/>
        <v>項目40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21</v>
      </c>
      <c r="C210" s="145" t="str">
        <f t="shared" si="10"/>
        <v>項目41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22</v>
      </c>
      <c r="C211" s="145" t="str">
        <f t="shared" si="10"/>
        <v>項目42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23</v>
      </c>
      <c r="C212" s="145" t="str">
        <f t="shared" si="10"/>
        <v>項目43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24</v>
      </c>
      <c r="C213" s="145" t="str">
        <f t="shared" si="10"/>
        <v>項目44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25</v>
      </c>
      <c r="C214" s="145" t="str">
        <f t="shared" si="10"/>
        <v>項目45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26</v>
      </c>
      <c r="C215" s="145" t="str">
        <f t="shared" si="10"/>
        <v>項目46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27</v>
      </c>
      <c r="C216" s="145" t="str">
        <f t="shared" si="10"/>
        <v>項目47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28</v>
      </c>
      <c r="C217" s="145" t="str">
        <f t="shared" si="10"/>
        <v>項目48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s="40" customFormat="1">
      <c s="11">
        <v>29</v>
      </c>
      <c r="C218" s="145" t="str">
        <f t="shared" si="10"/>
        <v>項目49</v>
      </c>
      <c s="166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48" t="str">
        <f t="shared" si="13"/>
        <v>--</v>
      </c>
      <c s="244"/>
    </row>
    <row ht="15" hidden="1" customHeight="1" thickBot="1" s="40" customFormat="1">
      <c s="11">
        <v>30</v>
      </c>
      <c r="C219" s="138" t="str">
        <f t="shared" si="10"/>
        <v>項目50</v>
      </c>
      <c s="171" t="str">
        <f t="shared" si="11"/>
        <v>--</v>
      </c>
      <c s="36" t="str">
        <f t="shared" si="11"/>
        <v>--</v>
      </c>
      <c s="36" t="str">
        <f t="shared" si="11"/>
        <v>--</v>
      </c>
      <c s="36" t="str">
        <f t="shared" si="11"/>
        <v>--</v>
      </c>
      <c s="36" t="str">
        <f t="shared" si="11"/>
        <v>--</v>
      </c>
      <c s="36" t="str">
        <f t="shared" si="12"/>
        <v>--</v>
      </c>
      <c s="36" t="str">
        <f t="shared" si="12"/>
        <v>--</v>
      </c>
      <c s="36" t="str">
        <f t="shared" si="12"/>
        <v>--</v>
      </c>
      <c s="36" t="str">
        <f t="shared" si="12"/>
        <v>--</v>
      </c>
      <c s="36" t="str">
        <f t="shared" si="12"/>
        <v>--</v>
      </c>
      <c s="36" t="str">
        <f t="shared" si="13"/>
        <v>--</v>
      </c>
      <c s="313" t="str">
        <f t="shared" si="13"/>
        <v>--</v>
      </c>
      <c s="244"/>
    </row>
    <row ht="9" customHeight="1">
      <c s="35"/>
      <c r="C220" s="132"/>
      <c s="33"/>
      <c s="33"/>
      <c s="33"/>
      <c s="33"/>
      <c s="33"/>
      <c s="33"/>
      <c s="33"/>
      <c s="33"/>
      <c s="33"/>
      <c s="33"/>
      <c s="33"/>
      <c s="33"/>
    </row>
    <row ht="12" customHeight="1">
      <c s="35"/>
    </row>
    <row ht="12" hidden="1" customHeight="1" s="40" customFormat="1">
      <c s="11"/>
      <c r="C222" s="98"/>
      <c s="24" t="str">
        <f t="shared" si="14" ref="D222:O222">D$33</f>
        <v>4月</v>
      </c>
      <c s="24" t="str">
        <f t="shared" si="14"/>
        <v>5月</v>
      </c>
      <c s="24" t="str">
        <f t="shared" si="14"/>
        <v>6月</v>
      </c>
      <c s="24" t="str">
        <f t="shared" si="14"/>
        <v>7月</v>
      </c>
      <c s="24" t="str">
        <f t="shared" si="14"/>
        <v>8月</v>
      </c>
      <c s="24" t="str">
        <f t="shared" si="14"/>
        <v>9月</v>
      </c>
      <c s="24" t="str">
        <f t="shared" si="14"/>
        <v>10月</v>
      </c>
      <c s="24" t="str">
        <f t="shared" si="14"/>
        <v>11月</v>
      </c>
      <c s="24" t="str">
        <f t="shared" si="14"/>
        <v>12月</v>
      </c>
      <c s="24" t="str">
        <f t="shared" si="14"/>
        <v>1月</v>
      </c>
      <c s="24" t="str">
        <f t="shared" si="14"/>
        <v>2月</v>
      </c>
      <c s="24" t="str">
        <f t="shared" si="14"/>
        <v>3月</v>
      </c>
      <c s="24" t="s">
        <v>62</v>
      </c>
    </row>
    <row ht="12" hidden="1" customHeight="1" s="40" customFormat="1">
      <c s="11">
        <v>1</v>
      </c>
      <c r="C223" s="113" t="str">
        <f t="shared" si="15" ref="C223:C272">$C170</f>
        <v>加工食品</v>
      </c>
      <c s="18">
        <f t="shared" si="16" ref="D223:H272">IF(INDEX(累計比較データ,$A223,D$168*4+$E$1)="", "--", INDEX(累計比較データ,$A223,D$168*4+$E$1)/$G$1)</f>
        <v>3946504.0868632002</v>
      </c>
      <c s="18">
        <f t="shared" si="16"/>
        <v>3971531.2973945998</v>
      </c>
      <c s="18">
        <f t="shared" si="16"/>
        <v>3871812.8697519</v>
      </c>
      <c s="18">
        <f t="shared" si="16"/>
        <v>3926607.6978435996</v>
      </c>
      <c s="18">
        <f t="shared" si="16"/>
        <v>4098441.4436834003</v>
      </c>
      <c s="18">
        <f t="shared" si="17" ref="I223:M272">IF(INDEX(累計比較データ,$A223,I$168*4+$E$1)="", "--", INDEX(累計比較データ,$A223,I$168*4+$E$1)/$G$1)</f>
        <v>3957499.6168300998</v>
      </c>
      <c s="18">
        <f t="shared" si="17"/>
        <v>4020451.4682773999</v>
      </c>
      <c s="18">
        <f t="shared" si="17"/>
        <v>3878326.8930830001</v>
      </c>
      <c s="18">
        <f t="shared" si="17"/>
        <v>4887963.4468533006</v>
      </c>
      <c s="18">
        <f t="shared" si="17"/>
        <v>3781648.5189918</v>
      </c>
      <c s="18">
        <f t="shared" si="18" ref="N223:O272">IF(INDEX(累計比較データ,$A223,N$168*4+$E$1)="", "--", INDEX(累計比較データ,$A223,N$168*4+$E$1)/$G$1)</f>
        <v>3998841.8733489998</v>
      </c>
      <c s="18">
        <f t="shared" si="18"/>
        <v>4379669.1909587001</v>
      </c>
      <c s="110">
        <f t="shared" si="19" ref="P223:P272">IF(ISERROR(AVERAGE($D223:$O223)),"--",AVERAGE($D223:$O223))</f>
        <v>4059941.5336566661</v>
      </c>
    </row>
    <row ht="12" hidden="1" customHeight="1" s="40" customFormat="1">
      <c s="11">
        <v>2</v>
      </c>
      <c r="C224" s="113" t="str">
        <f t="shared" si="15"/>
        <v>生鮮食品</v>
      </c>
      <c s="18">
        <f t="shared" si="16"/>
        <v>4100224.923682</v>
      </c>
      <c s="18">
        <f t="shared" si="16"/>
        <v>4116517.6695494</v>
      </c>
      <c s="18">
        <f t="shared" si="16"/>
        <v>3979256.4604479</v>
      </c>
      <c s="18">
        <f t="shared" si="16"/>
        <v>3955551.9132472002</v>
      </c>
      <c s="18">
        <f t="shared" si="16"/>
        <v>4311220.4389890004</v>
      </c>
      <c s="18">
        <f t="shared" si="17"/>
        <v>4162987.9128848999</v>
      </c>
      <c s="18">
        <f t="shared" si="17"/>
        <v>4269068.6092112996</v>
      </c>
      <c s="18">
        <f t="shared" si="17"/>
        <v>4017732.1297891997</v>
      </c>
      <c s="18">
        <f t="shared" si="17"/>
        <v>5013957.9985754006</v>
      </c>
      <c s="18">
        <f t="shared" si="17"/>
        <v>4128172.7951278002</v>
      </c>
      <c s="18">
        <f t="shared" si="18"/>
        <v>4011830.9881465998</v>
      </c>
      <c s="18">
        <f t="shared" si="18"/>
        <v>4414592.6837259</v>
      </c>
      <c s="110">
        <f t="shared" si="19"/>
        <v>4206759.5436147163</v>
      </c>
    </row>
    <row ht="12" hidden="1" customHeight="1" s="40" customFormat="1">
      <c s="11">
        <v>3</v>
      </c>
      <c r="C225" s="113" t="str">
        <f t="shared" si="15"/>
        <v>菓子類</v>
      </c>
      <c s="18">
        <f t="shared" si="16"/>
        <v>981868.21214199997</v>
      </c>
      <c s="18">
        <f t="shared" si="16"/>
        <v>998629.10204320005</v>
      </c>
      <c s="18">
        <f t="shared" si="16"/>
        <v>969685.32399139996</v>
      </c>
      <c s="18">
        <f t="shared" si="16"/>
        <v>993141.7109068</v>
      </c>
      <c s="18">
        <f t="shared" si="16"/>
        <v>1044617.7579622001</v>
      </c>
      <c s="18">
        <f t="shared" si="17"/>
        <v>947113.22803629993</v>
      </c>
      <c s="18">
        <f t="shared" si="17"/>
        <v>942774.54642219993</v>
      </c>
      <c s="18">
        <f t="shared" si="17"/>
        <v>889805.68419149995</v>
      </c>
      <c s="18">
        <f t="shared" si="17"/>
        <v>1062810.8331648998</v>
      </c>
      <c s="18">
        <f t="shared" si="17"/>
        <v>898534.50171760004</v>
      </c>
      <c s="18">
        <f t="shared" si="18"/>
        <v>993338.38227920001</v>
      </c>
      <c s="18">
        <f t="shared" si="18"/>
        <v>1084319.6857103</v>
      </c>
      <c s="110">
        <f t="shared" si="19"/>
        <v>983886.58071396674</v>
      </c>
    </row>
    <row ht="12" hidden="1" customHeight="1" s="40" customFormat="1">
      <c s="11">
        <v>4</v>
      </c>
      <c r="C226" s="113" t="str">
        <f t="shared" si="15"/>
        <v>項目4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5</v>
      </c>
      <c r="C227" s="113" t="str">
        <f t="shared" si="15"/>
        <v>項目5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6</v>
      </c>
      <c r="C228" s="113" t="str">
        <f t="shared" si="15"/>
        <v>項目6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7</v>
      </c>
      <c r="C229" s="113" t="str">
        <f t="shared" si="15"/>
        <v>項目7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8</v>
      </c>
      <c r="C230" s="113" t="str">
        <f t="shared" si="15"/>
        <v>項目8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9</v>
      </c>
      <c r="C231" s="113" t="str">
        <f t="shared" si="15"/>
        <v>項目9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10</v>
      </c>
      <c r="C232" s="113" t="str">
        <f t="shared" si="15"/>
        <v>項目10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11</v>
      </c>
      <c r="C233" s="113" t="str">
        <f t="shared" si="15"/>
        <v>項目11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12</v>
      </c>
      <c r="C234" s="113" t="str">
        <f t="shared" si="15"/>
        <v>項目12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13</v>
      </c>
      <c r="C235" s="113" t="str">
        <f t="shared" si="15"/>
        <v>項目13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14</v>
      </c>
      <c r="C236" s="113" t="str">
        <f t="shared" si="15"/>
        <v>項目14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15</v>
      </c>
      <c r="C237" s="113" t="str">
        <f t="shared" si="15"/>
        <v>項目15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16</v>
      </c>
      <c r="C238" s="113" t="str">
        <f t="shared" si="15"/>
        <v>項目16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17</v>
      </c>
      <c r="C239" s="113" t="str">
        <f t="shared" si="15"/>
        <v>項目17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18</v>
      </c>
      <c r="C240" s="113" t="str">
        <f t="shared" si="15"/>
        <v>項目18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19</v>
      </c>
      <c r="C241" s="113" t="str">
        <f t="shared" si="15"/>
        <v>項目19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20</v>
      </c>
      <c r="C242" s="113" t="str">
        <f t="shared" si="15"/>
        <v>項目20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21</v>
      </c>
      <c r="C243" s="113" t="str">
        <f t="shared" si="15"/>
        <v>項目21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22</v>
      </c>
      <c r="C244" s="113" t="str">
        <f t="shared" si="15"/>
        <v>項目22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23</v>
      </c>
      <c r="C245" s="113" t="str">
        <f t="shared" si="15"/>
        <v>項目23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24</v>
      </c>
      <c r="C246" s="113" t="str">
        <f t="shared" si="15"/>
        <v>項目24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25</v>
      </c>
      <c r="C247" s="113" t="str">
        <f t="shared" si="15"/>
        <v>項目25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26</v>
      </c>
      <c r="C248" s="113" t="str">
        <f t="shared" si="15"/>
        <v>項目26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27</v>
      </c>
      <c r="C249" s="113" t="str">
        <f t="shared" si="15"/>
        <v>項目27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28</v>
      </c>
      <c r="C250" s="113" t="str">
        <f t="shared" si="15"/>
        <v>項目28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29</v>
      </c>
      <c r="C251" s="113" t="str">
        <f t="shared" si="15"/>
        <v>項目29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30</v>
      </c>
      <c r="C252" s="113" t="str">
        <f t="shared" si="15"/>
        <v>項目30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31</v>
      </c>
      <c r="C253" s="113" t="str">
        <f t="shared" si="15"/>
        <v>項目31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32</v>
      </c>
      <c r="C254" s="113" t="str">
        <f t="shared" si="15"/>
        <v>項目32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33</v>
      </c>
      <c r="C255" s="113" t="str">
        <f t="shared" si="15"/>
        <v>項目33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34</v>
      </c>
      <c r="C256" s="113" t="str">
        <f t="shared" si="15"/>
        <v>項目34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35</v>
      </c>
      <c r="C257" s="113" t="str">
        <f t="shared" si="15"/>
        <v>項目35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36</v>
      </c>
      <c r="C258" s="113" t="str">
        <f t="shared" si="15"/>
        <v>項目36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37</v>
      </c>
      <c r="C259" s="113" t="str">
        <f t="shared" si="15"/>
        <v>項目37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38</v>
      </c>
      <c r="C260" s="113" t="str">
        <f t="shared" si="15"/>
        <v>項目38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39</v>
      </c>
      <c r="C261" s="113" t="str">
        <f t="shared" si="15"/>
        <v>項目39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40</v>
      </c>
      <c r="C262" s="113" t="str">
        <f t="shared" si="15"/>
        <v>項目40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41</v>
      </c>
      <c r="C263" s="113" t="str">
        <f t="shared" si="15"/>
        <v>項目41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42</v>
      </c>
      <c r="C264" s="113" t="str">
        <f t="shared" si="15"/>
        <v>項目42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43</v>
      </c>
      <c r="C265" s="113" t="str">
        <f t="shared" si="15"/>
        <v>項目43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44</v>
      </c>
      <c r="C266" s="113" t="str">
        <f t="shared" si="15"/>
        <v>項目44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45</v>
      </c>
      <c r="C267" s="113" t="str">
        <f t="shared" si="15"/>
        <v>項目45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46</v>
      </c>
      <c r="C268" s="113" t="str">
        <f t="shared" si="15"/>
        <v>項目46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47</v>
      </c>
      <c r="C269" s="113" t="str">
        <f t="shared" si="15"/>
        <v>項目47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48</v>
      </c>
      <c r="C270" s="113" t="str">
        <f t="shared" si="15"/>
        <v>項目48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49</v>
      </c>
      <c r="C271" s="113" t="str">
        <f t="shared" si="15"/>
        <v>項目49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50</v>
      </c>
      <c r="C272" s="113" t="str">
        <f t="shared" si="15"/>
        <v>項目50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customHeight="1">
      <c s="35"/>
    </row>
    <row ht="24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2.5" customFormat="1">
      <c s="31"/>
      <c s="30"/>
      <c s="30" t="str">
        <f>C34</f>
        <v>加工食品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customHeight="1" customFormat="1"/>
    <row ht="12.5" customFormat="1">
      <c r="B277" s="32"/>
      <c s="32"/>
    </row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24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2.5" customFormat="1">
      <c s="31"/>
      <c s="30"/>
      <c s="30" t="str">
        <f>C35</f>
        <v>生鮮食品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customHeight="1" customFormat="1"/>
    <row ht="12.5" customFormat="1">
      <c r="B308" s="32"/>
      <c s="32"/>
    </row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24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2.5" customFormat="1">
      <c s="31"/>
      <c s="30"/>
      <c s="30" t="str">
        <f>C36</f>
        <v>菓子類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customHeight="1" customFormat="1"/>
    <row ht="12.5" customFormat="1">
      <c r="B339" s="32"/>
      <c s="32"/>
    </row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C37</f>
        <v>項目4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370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C38</f>
        <v>項目5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401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C39</f>
        <v>項目6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432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C40</f>
        <v>項目7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463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C41</f>
        <v>項目8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494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C42</f>
        <v>項目9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525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C43</f>
        <v>項目10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556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C44</f>
        <v>項目11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587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C45</f>
        <v>項目12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618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C46</f>
        <v>項目13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649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C47</f>
        <v>項目14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680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C48</f>
        <v>項目15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711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C49</f>
        <v>項目16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742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C50</f>
        <v>項目17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773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C51</f>
        <v>項目18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804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C52</f>
        <v>項目19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835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C53</f>
        <v>項目20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866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C54</f>
        <v>項目21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897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C55</f>
        <v>項目22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928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C56</f>
        <v>項目23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959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C57</f>
        <v>項目24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990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C58</f>
        <v>項目25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1021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C59</f>
        <v>項目26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1052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C60</f>
        <v>項目27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1083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C61</f>
        <v>項目28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1114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C62</f>
        <v>項目29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1145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C63</f>
        <v>項目30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1176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C64</f>
        <v>項目31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1207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C65</f>
        <v>項目32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1238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C66</f>
        <v>項目33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1269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C67</f>
        <v>項目34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1300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C68</f>
        <v>項目35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1331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C69</f>
        <v>項目36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1362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C70</f>
        <v>項目37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1393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C71</f>
        <v>項目38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1424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C72</f>
        <v>項目39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1455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C73</f>
        <v>項目40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1486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C74</f>
        <v>項目41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1517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C75</f>
        <v>項目42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1548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C76</f>
        <v>項目43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1579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C77</f>
        <v>項目44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1610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C78</f>
        <v>項目45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1641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C79</f>
        <v>項目46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1672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C80</f>
        <v>項目47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1703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C81</f>
        <v>項目48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1734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C82</f>
        <v>項目49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3.5" hidden="1" customFormat="1">
      <c r="B1765" s="32"/>
      <c s="32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9"/>
      <c s="29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30"/>
      <c s="30" t="str">
        <f>C83</f>
        <v>項目50</v>
      </c>
      <c s="3"/>
      <c s="3"/>
      <c s="3"/>
      <c s="3"/>
      <c s="3"/>
      <c s="3"/>
      <c s="3"/>
      <c s="3"/>
      <c s="3"/>
      <c s="3"/>
      <c s="3"/>
      <c s="25"/>
      <c s="25" t="str">
        <f>IF(分析POS名称="","",分析POS名称) &amp;  " (" &amp; IF(分析数=1, 分析開始年月, 分析開始年月 &amp; "～" &amp; 分析終了年月) &amp; ")"</f>
        <v>RDS06 スーパー  04 首都圏 (2019年4月～2020年3月)</v>
      </c>
    </row>
    <row ht="9" hidden="1" customHeight="1" customFormat="1"/>
    <row ht="14.25" hidden="1" customHeight="1" customFormat="1">
      <c r="B1796" s="32"/>
      <c s="32"/>
    </row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/>
    <row ht="14.25" hidden="1" customHeight="1"/>
    <row ht="14.25" hidden="1" customHeight="1"/>
    <row ht="14.25" hidden="1" customHeight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</sheetData>
  <mergeCells count="50">
    <mergeCell ref="B401:C401"/>
    <mergeCell ref="B432:C432"/>
    <mergeCell ref="B277:C277"/>
    <mergeCell ref="B308:C308"/>
    <mergeCell ref="B339:C339"/>
    <mergeCell ref="B370:C370"/>
    <mergeCell ref="B959:C959"/>
    <mergeCell ref="B990:C990"/>
    <mergeCell ref="B773:C773"/>
    <mergeCell ref="B804:C804"/>
    <mergeCell ref="B463:C463"/>
    <mergeCell ref="B494:C494"/>
    <mergeCell ref="B525:C525"/>
    <mergeCell ref="B556:C556"/>
    <mergeCell ref="B587:C587"/>
    <mergeCell ref="B618:C618"/>
    <mergeCell ref="B649:C649"/>
    <mergeCell ref="B680:C680"/>
    <mergeCell ref="B1269:C1269"/>
    <mergeCell ref="B1300:C1300"/>
    <mergeCell ref="B711:C711"/>
    <mergeCell ref="B742:C742"/>
    <mergeCell ref="B1145:C1145"/>
    <mergeCell ref="B1176:C1176"/>
    <mergeCell ref="B835:C835"/>
    <mergeCell ref="B866:C866"/>
    <mergeCell ref="B897:C897"/>
    <mergeCell ref="B928:C928"/>
    <mergeCell ref="B1021:C1021"/>
    <mergeCell ref="B1052:C1052"/>
    <mergeCell ref="B1083:C1083"/>
    <mergeCell ref="B1114:C1114"/>
    <mergeCell ref="B1207:C1207"/>
    <mergeCell ref="B1238:C1238"/>
    <mergeCell ref="B1331:C1331"/>
    <mergeCell ref="B1362:C1362"/>
    <mergeCell ref="B1455:C1455"/>
    <mergeCell ref="B1486:C1486"/>
    <mergeCell ref="B1579:C1579"/>
    <mergeCell ref="B1610:C1610"/>
    <mergeCell ref="B1517:C1517"/>
    <mergeCell ref="B1548:C1548"/>
    <mergeCell ref="B1393:C1393"/>
    <mergeCell ref="B1424:C1424"/>
    <mergeCell ref="B1765:C1765"/>
    <mergeCell ref="B1796:C1796"/>
    <mergeCell ref="B1641:C1641"/>
    <mergeCell ref="B1672:C1672"/>
    <mergeCell ref="B1703:C1703"/>
    <mergeCell ref="B1734:C1734"/>
  </mergeCells>
  <dataValidations count="1">
    <dataValidation type="list" allowBlank="1" showInputMessage="1" showErrorMessage="1" sqref="D1">
      <formula1>リスト用値単位</formula1>
    </dataValidation>
  </dataValidations>
  <printOptions horizontalCentered="1"/>
  <pageMargins left="0.59055118110236215" right="0.59055118110236215" top="0.59055118110236215" bottom="0.59055118110236215" header="0.31496062992125989" footer="0.31496062992125989"/>
  <pageSetup paperSize="9" scale="65" orientation="landscape" verticalDpi="300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AN54"/>
  <sheetViews>
    <sheetView showGridLines="0" topLeftCell="A4" workbookViewId="0">
      <selection activeCell="F30" sqref="F30"/>
    </sheetView>
  </sheetViews>
  <sheetFormatPr defaultColWidth="9" defaultRowHeight="11.25"/>
  <cols>
    <col min="1" max="2" width="2.125" style="265" customWidth="1"/>
    <col min="3" max="3" width="12.625" style="265" customWidth="1"/>
    <col min="4" max="4" width="20.75" style="265" customWidth="1"/>
    <col min="5" max="5" width="8.5" style="265" bestFit="1" customWidth="1"/>
    <col min="6" max="6" width="24.25" style="265" bestFit="1" customWidth="1"/>
    <col min="7" max="7" width="2.125" style="265" customWidth="1"/>
    <col min="8" max="9" width="10.625" style="265" customWidth="1"/>
    <col min="10" max="10" width="2.125" style="265" customWidth="1"/>
    <col min="11" max="11" width="2.25" style="265" customWidth="1"/>
    <col min="12" max="12" width="2.125" style="265" customWidth="1"/>
    <col min="13" max="13" width="3.625" style="265" customWidth="1"/>
    <col min="14" max="14" width="12.625" style="265" customWidth="1"/>
    <col min="15" max="17" width="2.125" style="265" customWidth="1"/>
    <col min="18" max="18" width="7.625" style="265" customWidth="1"/>
    <col min="19" max="19" width="3.625" style="265" customWidth="1"/>
    <col min="20" max="21" width="5.625" style="265" customWidth="1"/>
    <col min="22" max="22" width="2.125" style="265" customWidth="1"/>
    <col min="23" max="23" width="2" style="265" customWidth="1"/>
    <col min="24" max="24" width="2.125" style="265" customWidth="1"/>
    <col min="25" max="25" width="10.625" style="265" customWidth="1"/>
    <col min="26" max="26" width="20.625" style="265" customWidth="1"/>
    <col min="27" max="16384" width="9" style="265"/>
  </cols>
  <sheetData>
    <row ht="12" thickBot="1">
      <c s="45"/>
      <c s="45"/>
      <c s="45"/>
      <c s="45"/>
      <c s="45"/>
      <c s="45"/>
      <c s="45"/>
      <c s="45"/>
      <c s="45"/>
      <c s="45"/>
      <c s="45"/>
      <c s="45"/>
      <c s="45"/>
      <c s="45"/>
      <c s="45"/>
      <c s="45"/>
      <c s="45"/>
      <c s="45"/>
      <c s="45"/>
      <c s="45"/>
      <c s="45"/>
      <c s="45"/>
      <c s="45"/>
      <c s="191"/>
      <c s="191"/>
      <c s="191"/>
    </row>
    <row ht="12" thickBot="1">
      <c s="45"/>
      <c s="147"/>
      <c s="92"/>
      <c s="92"/>
      <c s="156"/>
      <c s="106"/>
      <c s="147"/>
      <c s="92"/>
      <c s="92"/>
      <c s="156"/>
      <c s="45"/>
      <c s="147"/>
      <c s="92"/>
      <c s="92"/>
      <c s="156"/>
      <c s="45"/>
      <c s="147"/>
      <c s="92"/>
      <c s="92"/>
      <c s="92"/>
      <c s="92"/>
      <c s="156"/>
      <c s="45"/>
    </row>
    <row ht="12" thickBot="1">
      <c s="45"/>
      <c s="151"/>
      <c s="189" t="s">
        <v>7</v>
      </c>
      <c s="154" t="s">
        <v>347</v>
      </c>
      <c s="146"/>
      <c s="106"/>
      <c s="151"/>
      <c s="249" t="s">
        <v>13</v>
      </c>
      <c s="154" t="str">
        <f>MONTH($D$10) &amp; "月"</f>
        <v>4月</v>
      </c>
      <c s="146"/>
      <c s="45"/>
      <c s="151"/>
      <c s="330" t="s">
        <v>27</v>
      </c>
      <c s="347"/>
      <c s="146"/>
      <c s="45"/>
      <c s="151"/>
      <c s="233" t="s">
        <v>28</v>
      </c>
      <c s="230"/>
      <c s="230"/>
      <c s="264"/>
      <c s="146"/>
      <c s="45"/>
      <c r="Y3" s="332" t="s">
        <v>91</v>
      </c>
      <c s="358"/>
      <c r="AC3" s="303">
        <v>0</v>
      </c>
      <c s="104">
        <v>1</v>
      </c>
      <c s="104">
        <v>2</v>
      </c>
      <c s="104">
        <v>3</v>
      </c>
      <c s="104">
        <v>4</v>
      </c>
      <c s="104">
        <v>5</v>
      </c>
      <c s="104">
        <v>6</v>
      </c>
      <c s="104">
        <v>7</v>
      </c>
      <c s="104">
        <v>8</v>
      </c>
      <c s="104">
        <v>9</v>
      </c>
      <c s="104">
        <v>10</v>
      </c>
      <c s="284">
        <v>11</v>
      </c>
    </row>
    <row ht="12" thickBot="1">
      <c s="45"/>
      <c s="151"/>
      <c s="189" t="s">
        <v>8</v>
      </c>
      <c s="154" t="s">
        <v>348</v>
      </c>
      <c s="146"/>
      <c s="106"/>
      <c s="151"/>
      <c s="249" t="s">
        <v>14</v>
      </c>
      <c s="154" t="str">
        <f>MONTH($D$11) &amp; "月"</f>
        <v>3月</v>
      </c>
      <c s="146"/>
      <c s="45"/>
      <c s="151"/>
      <c s="197">
        <v>0</v>
      </c>
      <c s="197" t="s">
        <v>19</v>
      </c>
      <c s="146"/>
      <c s="45"/>
      <c s="151"/>
      <c s="235" t="s">
        <v>0</v>
      </c>
      <c s="252">
        <v>1</v>
      </c>
      <c s="252" t="s">
        <v>25</v>
      </c>
      <c s="219">
        <v>1</v>
      </c>
      <c s="146"/>
      <c s="45"/>
      <c r="Y4" s="278" t="s">
        <v>341</v>
      </c>
      <c s="335" t="s">
        <v>342</v>
      </c>
      <c r="AB4" s="265" t="s">
        <v>132</v>
      </c>
      <c s="209" t="str">
        <f t="shared" si="0" ref="AC4:AN5">IF(($D$8+AC$3)&gt;12, $D$8+AC$3-12, $D$8+AC$3) &amp; "月"</f>
        <v>4月</v>
      </c>
      <c s="96" t="str">
        <f t="shared" si="0"/>
        <v>5月</v>
      </c>
      <c s="96" t="str">
        <f t="shared" si="0"/>
        <v>6月</v>
      </c>
      <c s="96" t="str">
        <f t="shared" si="0"/>
        <v>7月</v>
      </c>
      <c s="96" t="str">
        <f t="shared" si="0"/>
        <v>8月</v>
      </c>
      <c s="96" t="str">
        <f t="shared" si="0"/>
        <v>9月</v>
      </c>
      <c s="96" t="str">
        <f t="shared" si="0"/>
        <v>10月</v>
      </c>
      <c s="96" t="str">
        <f t="shared" si="0"/>
        <v>11月</v>
      </c>
      <c s="96" t="str">
        <f t="shared" si="0"/>
        <v>12月</v>
      </c>
      <c s="96" t="str">
        <f t="shared" si="0"/>
        <v>1月</v>
      </c>
      <c s="96" t="str">
        <f t="shared" si="0"/>
        <v>2月</v>
      </c>
      <c s="245" t="str">
        <f t="shared" si="0"/>
        <v>3月</v>
      </c>
    </row>
    <row ht="12" thickBot="1">
      <c s="45"/>
      <c s="151"/>
      <c s="133"/>
      <c s="133"/>
      <c s="146"/>
      <c s="106"/>
      <c s="151"/>
      <c s="249" t="s">
        <v>33</v>
      </c>
      <c s="154" t="str">
        <f>YEAR($D$9) &amp; "年" &amp; MONTH($D$9) &amp; "月"</f>
        <v>2019年4月</v>
      </c>
      <c s="146"/>
      <c s="45"/>
      <c s="151"/>
      <c s="197">
        <v>1</v>
      </c>
      <c s="197" t="s">
        <v>20</v>
      </c>
      <c s="146"/>
      <c s="45"/>
      <c s="151"/>
      <c s="271" t="s">
        <v>1</v>
      </c>
      <c s="225">
        <v>2</v>
      </c>
      <c s="225" t="str">
        <f t="shared" si="1" ref="T5:T6">IF($D$14=0,"千円","円")</f>
        <v>千円</v>
      </c>
      <c s="228">
        <f t="shared" si="2" ref="U5:U6">IF($D$14=0,1000,1)</f>
        <v>1000</v>
      </c>
      <c s="146"/>
      <c s="45"/>
      <c r="Y5" s="275" t="s">
        <v>343</v>
      </c>
      <c s="295" t="s">
        <v>344</v>
      </c>
      <c r="AB5" s="265" t="s">
        <v>133</v>
      </c>
      <c s="342" t="str">
        <f t="shared" si="0"/>
        <v>4月</v>
      </c>
      <c s="97" t="str">
        <f t="shared" si="0"/>
        <v>5月</v>
      </c>
      <c s="97" t="str">
        <f t="shared" si="0"/>
        <v>6月</v>
      </c>
      <c s="97" t="str">
        <f t="shared" si="0"/>
        <v>7月</v>
      </c>
      <c s="97" t="str">
        <f t="shared" si="0"/>
        <v>8月</v>
      </c>
      <c s="97" t="str">
        <f t="shared" si="0"/>
        <v>9月</v>
      </c>
      <c s="97" t="str">
        <f t="shared" si="0"/>
        <v>10月</v>
      </c>
      <c s="97" t="str">
        <f t="shared" si="0"/>
        <v>11月</v>
      </c>
      <c s="97" t="str">
        <f t="shared" si="0"/>
        <v>12月</v>
      </c>
      <c s="97" t="str">
        <f t="shared" si="0"/>
        <v>1月</v>
      </c>
      <c s="97" t="str">
        <f t="shared" si="0"/>
        <v>2月</v>
      </c>
      <c s="357" t="str">
        <f t="shared" si="0"/>
        <v>3月</v>
      </c>
    </row>
    <row ht="12" thickBot="1">
      <c s="45"/>
      <c s="151"/>
      <c s="189" t="s">
        <v>29</v>
      </c>
      <c s="154" t="s">
        <v>349</v>
      </c>
      <c s="146"/>
      <c s="106"/>
      <c s="151"/>
      <c s="249" t="s">
        <v>15</v>
      </c>
      <c s="154" t="str">
        <f>YEAR($D$10) &amp; "年" &amp; MONTH($D$10) &amp; "月"</f>
        <v>2019年4月</v>
      </c>
      <c s="146"/>
      <c s="45"/>
      <c s="151"/>
      <c s="197">
        <v>2</v>
      </c>
      <c s="197" t="s">
        <v>21</v>
      </c>
      <c s="146"/>
      <c s="45"/>
      <c s="151"/>
      <c s="271" t="s">
        <v>2</v>
      </c>
      <c s="225">
        <v>3</v>
      </c>
      <c s="225" t="str">
        <f t="shared" si="1"/>
        <v>千円</v>
      </c>
      <c s="228">
        <f t="shared" si="2"/>
        <v>1000</v>
      </c>
      <c s="146"/>
      <c s="45"/>
      <c r="Y6" s="275" t="s">
        <v>345</v>
      </c>
      <c s="295" t="s">
        <v>346</v>
      </c>
    </row>
    <row ht="12" thickBot="1">
      <c s="45"/>
      <c s="151"/>
      <c s="189" t="s">
        <v>4</v>
      </c>
      <c s="340">
        <v>44898</v>
      </c>
      <c s="146"/>
      <c s="106"/>
      <c s="151"/>
      <c s="279" t="s">
        <v>16</v>
      </c>
      <c s="154" t="str">
        <f>YEAR($D$11) &amp; "年" &amp; MONTH($D$11) &amp; "月"</f>
        <v>2020年3月</v>
      </c>
      <c s="146"/>
      <c s="45"/>
      <c s="151"/>
      <c s="197">
        <v>3</v>
      </c>
      <c s="197" t="s">
        <v>22</v>
      </c>
      <c s="146"/>
      <c s="45"/>
      <c s="151"/>
      <c s="202" t="s">
        <v>3</v>
      </c>
      <c s="256">
        <v>4</v>
      </c>
      <c s="256" t="s">
        <v>26</v>
      </c>
      <c s="215">
        <v>1000</v>
      </c>
      <c s="146"/>
      <c s="45"/>
      <c r="Y7" s="275"/>
      <c s="295"/>
    </row>
    <row ht="12" thickBot="1">
      <c s="45"/>
      <c s="151"/>
      <c s="189" t="s">
        <v>12</v>
      </c>
      <c s="291">
        <v>4</v>
      </c>
      <c s="146"/>
      <c s="106"/>
      <c s="151"/>
      <c s="338" t="s">
        <v>17</v>
      </c>
      <c s="287" t="str">
        <f>VLOOKUP($D$13,$M$4:$N$9,2,FALSE)</f>
        <v>カテゴリー別</v>
      </c>
      <c s="146"/>
      <c s="45"/>
      <c s="151"/>
      <c s="197">
        <v>4</v>
      </c>
      <c s="197" t="s">
        <v>23</v>
      </c>
      <c s="146"/>
      <c s="45"/>
      <c s="206"/>
      <c s="43"/>
      <c s="43"/>
      <c s="43"/>
      <c s="43"/>
      <c s="268"/>
      <c s="45"/>
      <c r="Y8" s="275"/>
      <c s="295"/>
    </row>
    <row ht="12" thickBot="1">
      <c s="45"/>
      <c s="151"/>
      <c s="269" t="s">
        <v>34</v>
      </c>
      <c s="293">
        <v>43556</v>
      </c>
      <c s="146"/>
      <c s="106"/>
      <c s="151"/>
      <c s="249" t="s">
        <v>18</v>
      </c>
      <c s="154" t="str">
        <f>IF($D$14=1, "ＰＩ値分析", "")</f>
        <v/>
      </c>
      <c s="146"/>
      <c s="45"/>
      <c s="151"/>
      <c s="197">
        <v>5</v>
      </c>
      <c s="197" t="s">
        <v>24</v>
      </c>
      <c s="146"/>
      <c s="45"/>
      <c s="320"/>
      <c s="106"/>
      <c s="106"/>
      <c s="106"/>
      <c s="106"/>
      <c s="309"/>
      <c s="45"/>
      <c r="Y9" s="275"/>
      <c s="295"/>
    </row>
    <row ht="12" thickBot="1">
      <c s="45"/>
      <c s="151"/>
      <c s="269" t="s">
        <v>5</v>
      </c>
      <c s="312">
        <v>43556</v>
      </c>
      <c s="146"/>
      <c s="106"/>
      <c s="270"/>
      <c s="182"/>
      <c s="182"/>
      <c s="224"/>
      <c s="45"/>
      <c s="270"/>
      <c s="182"/>
      <c s="182"/>
      <c s="224"/>
      <c s="45"/>
      <c s="45"/>
      <c s="45"/>
      <c s="45"/>
      <c s="45"/>
      <c s="45"/>
      <c s="45"/>
      <c s="45"/>
      <c r="Y10" s="275"/>
      <c s="295"/>
    </row>
    <row ht="12" thickBot="1">
      <c s="45"/>
      <c s="151"/>
      <c s="269" t="s">
        <v>6</v>
      </c>
      <c s="356">
        <v>43921</v>
      </c>
      <c s="146"/>
      <c s="106"/>
      <c s="45"/>
      <c s="45"/>
      <c s="45"/>
      <c s="45"/>
      <c s="45"/>
      <c s="106"/>
      <c s="250"/>
      <c s="250"/>
      <c s="106"/>
      <c s="106"/>
      <c s="45"/>
      <c s="45"/>
      <c s="45"/>
      <c s="45"/>
      <c s="45"/>
      <c s="45"/>
      <c s="45"/>
      <c r="Y11" s="275"/>
      <c s="295"/>
    </row>
    <row ht="12" thickBot="1">
      <c s="45"/>
      <c s="151"/>
      <c s="189" t="s">
        <v>9</v>
      </c>
      <c s="154">
        <v>12</v>
      </c>
      <c s="146"/>
      <c s="106"/>
      <c s="45"/>
      <c s="45"/>
      <c s="45"/>
      <c s="45"/>
      <c s="45"/>
      <c s="106"/>
      <c s="106"/>
      <c s="106"/>
      <c s="106"/>
      <c s="106"/>
      <c s="147"/>
      <c s="92"/>
      <c s="92"/>
      <c s="156"/>
      <c s="45"/>
      <c s="45"/>
      <c s="45"/>
      <c r="Y12" s="275"/>
      <c s="295"/>
    </row>
    <row ht="12" thickBot="1">
      <c s="45"/>
      <c s="151"/>
      <c s="269" t="s">
        <v>10</v>
      </c>
      <c s="325">
        <v>0</v>
      </c>
      <c s="146"/>
      <c s="106"/>
      <c s="45"/>
      <c s="45"/>
      <c s="45"/>
      <c s="45"/>
      <c s="45"/>
      <c s="106"/>
      <c s="106"/>
      <c s="106"/>
      <c s="106"/>
      <c s="106"/>
      <c s="151"/>
      <c s="233" t="s">
        <v>135</v>
      </c>
      <c s="264"/>
      <c s="146"/>
      <c s="45"/>
      <c s="45"/>
      <c s="45"/>
      <c r="Y13" s="275"/>
      <c s="295"/>
    </row>
    <row>
      <c s="45"/>
      <c s="151"/>
      <c s="269" t="s">
        <v>11</v>
      </c>
      <c s="197">
        <v>0</v>
      </c>
      <c s="146"/>
      <c s="106"/>
      <c s="45"/>
      <c s="45"/>
      <c s="45"/>
      <c s="45"/>
      <c s="45"/>
      <c s="106"/>
      <c s="106"/>
      <c s="106"/>
      <c s="106"/>
      <c s="106"/>
      <c s="151"/>
      <c s="235" t="s">
        <v>0</v>
      </c>
      <c s="219">
        <v>1</v>
      </c>
      <c s="146"/>
      <c s="45"/>
      <c s="45"/>
      <c s="45"/>
      <c r="Y14" s="275"/>
      <c s="295"/>
    </row>
    <row>
      <c s="45"/>
      <c s="209"/>
      <c s="334" t="s">
        <v>134</v>
      </c>
      <c s="292">
        <v>43191</v>
      </c>
      <c s="245"/>
      <c s="106"/>
      <c s="45"/>
      <c s="45"/>
      <c s="45"/>
      <c s="45"/>
      <c s="45"/>
      <c s="106"/>
      <c s="106"/>
      <c s="106"/>
      <c s="106"/>
      <c s="106"/>
      <c s="151"/>
      <c s="271" t="s">
        <v>1</v>
      </c>
      <c s="228">
        <v>2</v>
      </c>
      <c s="146"/>
      <c s="45"/>
      <c s="45"/>
      <c s="45"/>
      <c r="Y15" s="275"/>
      <c s="295"/>
    </row>
    <row ht="12" thickBot="1">
      <c s="45"/>
      <c s="229"/>
      <c s="240"/>
      <c s="240"/>
      <c s="229"/>
      <c s="45"/>
      <c s="45"/>
      <c s="45"/>
      <c s="45"/>
      <c s="45"/>
      <c s="45"/>
      <c s="106"/>
      <c s="106"/>
      <c s="106"/>
      <c s="106"/>
      <c s="106"/>
      <c s="151"/>
      <c s="271" t="s">
        <v>2</v>
      </c>
      <c s="228">
        <v>3</v>
      </c>
      <c s="146"/>
      <c s="45"/>
      <c s="45"/>
      <c s="45"/>
      <c r="Y16" s="275"/>
      <c s="295"/>
    </row>
    <row ht="12" thickBot="1"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151"/>
      <c s="202" t="s">
        <v>3</v>
      </c>
      <c s="215">
        <v>4</v>
      </c>
      <c s="146"/>
      <c s="59"/>
      <c s="59"/>
      <c s="59"/>
      <c r="Y17" s="275"/>
      <c s="295"/>
    </row>
    <row ht="12" thickBot="1"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206"/>
      <c s="43"/>
      <c s="43"/>
      <c s="268"/>
      <c s="59"/>
      <c s="59"/>
      <c s="59"/>
      <c r="Y18" s="275"/>
      <c s="295"/>
    </row>
    <row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r="Y19" s="275"/>
      <c s="295"/>
    </row>
    <row>
      <c r="L20" s="133"/>
      <c s="133"/>
      <c s="133"/>
      <c s="133"/>
      <c s="133"/>
      <c r="Y20" s="275"/>
      <c s="295"/>
    </row>
    <row>
      <c r="Y21" s="275"/>
      <c s="295"/>
    </row>
    <row>
      <c r="Y22" s="275"/>
      <c s="295"/>
    </row>
    <row>
      <c r="Y23" s="275"/>
      <c s="295"/>
    </row>
    <row>
      <c r="Y24" s="275"/>
      <c s="295"/>
    </row>
    <row>
      <c r="Y25" s="275"/>
      <c s="295"/>
    </row>
    <row>
      <c s="83"/>
      <c s="83"/>
      <c s="83"/>
      <c s="83"/>
      <c s="83"/>
      <c s="83"/>
      <c s="83"/>
      <c s="83"/>
      <c r="Y26" s="275"/>
      <c s="295"/>
    </row>
    <row>
      <c s="83"/>
      <c s="93"/>
      <c s="93"/>
      <c s="93"/>
      <c s="93"/>
      <c s="93"/>
      <c r="H27" s="83"/>
      <c r="Y27" s="275"/>
      <c s="295"/>
    </row>
    <row>
      <c s="83"/>
      <c s="222"/>
      <c s="314" t="s">
        <v>318</v>
      </c>
      <c s="192">
        <v>0</v>
      </c>
      <c s="192" t="str">
        <f>IF(D28=1,"[税込分析]","[税抜分析]")</f>
        <v>[税抜分析]</v>
      </c>
      <c s="192"/>
      <c r="H28" s="83"/>
      <c r="Y28" s="275"/>
      <c s="295"/>
    </row>
    <row>
      <c s="83"/>
      <c s="93"/>
      <c s="314" t="s">
        <v>319</v>
      </c>
      <c s="192">
        <v>0</v>
      </c>
      <c s="192" t="str">
        <f>IF(D29=1,"[JAN合算]","")</f>
        <v/>
      </c>
      <c s="192" t="str">
        <f>E29&amp;E30</f>
        <v/>
      </c>
      <c r="H29" s="83"/>
      <c r="Y29" s="275"/>
      <c s="295"/>
    </row>
    <row>
      <c s="83"/>
      <c s="222"/>
      <c s="314" t="s">
        <v>320</v>
      </c>
      <c s="192">
        <v>0</v>
      </c>
      <c s="192" t="str">
        <f>IF(D30=1,"[単品集約]","")</f>
        <v/>
      </c>
      <c s="192" t="str">
        <f>" "&amp;E28&amp;E29&amp;E30</f>
        <v xml:space="preserve"> [税抜分析]</v>
      </c>
      <c r="H30" s="83"/>
      <c r="Y30" s="275"/>
      <c s="295"/>
    </row>
    <row>
      <c s="83"/>
      <c s="93"/>
      <c s="93"/>
      <c s="93"/>
      <c s="93"/>
      <c s="93"/>
      <c r="H31" s="83"/>
      <c r="Y31" s="275"/>
      <c s="295"/>
    </row>
    <row>
      <c s="83"/>
      <c s="83"/>
      <c s="83"/>
      <c s="83"/>
      <c s="83"/>
      <c s="83"/>
      <c s="83"/>
      <c s="83"/>
      <c r="Y32" s="275"/>
      <c s="295"/>
    </row>
    <row>
      <c r="Y33" s="275"/>
      <c s="295"/>
    </row>
    <row>
      <c r="Y34" s="275"/>
      <c s="295"/>
    </row>
    <row>
      <c r="Y35" s="275"/>
      <c s="295"/>
    </row>
    <row>
      <c r="Y36" s="275"/>
      <c s="295"/>
    </row>
    <row>
      <c r="Y37" s="275"/>
      <c s="295"/>
    </row>
    <row>
      <c r="Y38" s="275"/>
      <c s="295"/>
    </row>
    <row>
      <c r="Y39" s="275"/>
      <c s="295"/>
    </row>
    <row>
      <c r="Y40" s="275"/>
      <c s="295"/>
    </row>
    <row>
      <c r="Y41" s="275"/>
      <c s="295"/>
    </row>
    <row>
      <c r="Y42" s="275"/>
      <c s="295"/>
    </row>
    <row>
      <c r="Y43" s="275"/>
      <c s="295"/>
    </row>
    <row>
      <c r="Y44" s="275"/>
      <c s="295"/>
    </row>
    <row>
      <c r="Y45" s="275"/>
      <c s="295"/>
    </row>
    <row>
      <c r="Y46" s="275"/>
      <c s="295"/>
    </row>
    <row>
      <c r="Y47" s="275"/>
      <c s="295"/>
    </row>
    <row>
      <c r="Y48" s="275"/>
      <c s="295"/>
    </row>
    <row>
      <c r="Y49" s="275"/>
      <c s="295"/>
    </row>
    <row>
      <c r="Y50" s="275"/>
      <c s="295"/>
    </row>
    <row>
      <c r="Y51" s="275"/>
      <c s="295"/>
    </row>
    <row>
      <c r="Y52" s="275"/>
      <c s="295"/>
    </row>
    <row>
      <c r="Y53" s="275"/>
      <c s="295"/>
    </row>
    <row ht="12" thickBot="1">
      <c r="Y54" s="349"/>
      <c s="343"/>
    </row>
  </sheetData>
  <mergeCells count="4">
    <mergeCell ref="M3:N3"/>
    <mergeCell ref="R3:U3"/>
    <mergeCell ref="Y3:Z3"/>
    <mergeCell ref="R13:S13"/>
  </mergeCells>
  <pageMargins left="0.75" right="0.75" top="1" bottom="1" header="0.512" footer="0.512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75"/>
  <sheetViews>
    <sheetView zoomScale="75" workbookViewId="0">
      <pane xSplit="3" ySplit="0" topLeftCell="D1" activePane="topRight" state="frozen"/>
    </sheetView>
  </sheetViews>
  <sheetFormatPr defaultColWidth="5.625" defaultRowHeight="12"/>
  <cols>
    <col min="1" max="1" width="2.125" style="60" customWidth="1"/>
    <col min="2" max="2" width="1.625" style="60" customWidth="1"/>
    <col min="3" max="3" width="35.5" style="109" customWidth="1"/>
    <col min="4" max="15" width="11.625" style="60" customWidth="1"/>
    <col min="16" max="16" width="15.625" style="40" customWidth="1"/>
    <col min="17" max="17" width="1.625" style="60" customWidth="1"/>
    <col min="18" max="18" width="2.125" style="60" customWidth="1"/>
    <col min="19" max="16384" width="5.625" style="60"/>
  </cols>
  <sheetData>
    <row ht="24" customHeight="1" s="40" customFormat="1">
      <c r="C1" s="234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ht="24" customHeight="1" s="87" customFormat="1">
      <c r="C2" s="99" t="s">
        <v>107</v>
      </c>
      <c s="27"/>
      <c s="27"/>
      <c s="27"/>
      <c s="27"/>
      <c s="27"/>
      <c s="27"/>
      <c s="27"/>
      <c s="27"/>
      <c s="27"/>
      <c s="27"/>
      <c s="27"/>
      <c s="27"/>
      <c s="19"/>
    </row>
    <row ht="12.75" customHeight="1" s="40" customFormat="1">
      <c r="C3" s="94"/>
      <c s="19"/>
      <c s="19"/>
      <c s="19"/>
      <c s="19"/>
      <c s="19"/>
      <c s="19"/>
      <c s="19"/>
      <c s="19"/>
      <c s="19"/>
      <c s="19"/>
      <c s="19"/>
      <c s="19"/>
      <c s="101" t="str">
        <f>IF(分析POS名称="","",分析POS名称) &amp;  " (" &amp; IF(年度開始年月=分析終了年月,年度開始年月,年度開始年月&amp;"～"&amp;分析終了年月) &amp; ")"</f>
        <v>RDS06 スーパー  04 首都圏 (2019年4月～2020年3月)</v>
      </c>
    </row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 thickBot="1">
      <c r="D32" s="11">
        <v>0</v>
      </c>
      <c s="11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</row>
    <row ht="18" customHeight="1" thickBot="1" s="40" customFormat="1">
      <c r="C33" s="108" t="str">
        <f>分析オプション</f>
        <v xml:space="preserve"> [税抜分析]</v>
      </c>
      <c s="100" t="str">
        <f>INFO!AC$4</f>
        <v>4月</v>
      </c>
      <c s="28" t="str">
        <f>INFO!AD$4</f>
        <v>5月</v>
      </c>
      <c s="28" t="str">
        <f>INFO!AE$4</f>
        <v>6月</v>
      </c>
      <c s="28" t="str">
        <f>INFO!AF$4</f>
        <v>7月</v>
      </c>
      <c s="28" t="str">
        <f>INFO!AG$4</f>
        <v>8月</v>
      </c>
      <c s="28" t="str">
        <f>INFO!AH$4</f>
        <v>9月</v>
      </c>
      <c s="28" t="str">
        <f>INFO!AI$4</f>
        <v>10月</v>
      </c>
      <c s="28" t="str">
        <f>INFO!AJ$4</f>
        <v>11月</v>
      </c>
      <c s="28" t="str">
        <f>INFO!AK$4</f>
        <v>12月</v>
      </c>
      <c s="28" t="str">
        <f>INFO!AL$4</f>
        <v>1月</v>
      </c>
      <c s="28" t="str">
        <f>INFO!AM$4</f>
        <v>2月</v>
      </c>
      <c s="105" t="str">
        <f>INFO!AN$4</f>
        <v>3月</v>
      </c>
      <c s="117" t="s">
        <v>61</v>
      </c>
    </row>
    <row ht="20.25" customHeight="1" s="40" customFormat="1">
      <c s="11"/>
      <c s="11"/>
      <c s="238" t="s">
        <v>110</v>
      </c>
      <c s="232" t="str">
        <f t="shared" si="0" ref="D34:O34">IF(INDEX(分析来店客数,1,D$32+1)="", "--", INDEX(分析来店客数,1,D$32+1))</f>
        <v>--</v>
      </c>
      <c s="63" t="str">
        <f t="shared" si="0"/>
        <v>--</v>
      </c>
      <c s="63" t="str">
        <f t="shared" si="0"/>
        <v>--</v>
      </c>
      <c s="63" t="str">
        <f t="shared" si="0"/>
        <v>--</v>
      </c>
      <c s="63" t="str">
        <f t="shared" si="0"/>
        <v>--</v>
      </c>
      <c s="63" t="str">
        <f t="shared" si="0"/>
        <v>--</v>
      </c>
      <c s="63" t="str">
        <f t="shared" si="0"/>
        <v>--</v>
      </c>
      <c s="63" t="str">
        <f t="shared" si="0"/>
        <v>--</v>
      </c>
      <c s="63" t="str">
        <f t="shared" si="0"/>
        <v>--</v>
      </c>
      <c s="63" t="str">
        <f t="shared" si="0"/>
        <v>--</v>
      </c>
      <c s="63" t="str">
        <f t="shared" si="0"/>
        <v>--</v>
      </c>
      <c s="217" t="str">
        <f t="shared" si="0"/>
        <v>--</v>
      </c>
      <c s="201" t="str">
        <f t="shared" si="1" ref="P34:P35">IF(COUNTIF($D34:$O34, "--")=12, "--", SUM($D34:$O34))</f>
        <v>--</v>
      </c>
    </row>
    <row ht="15" hidden="1" customHeight="1" s="40" customFormat="1">
      <c s="11"/>
      <c s="11"/>
      <c s="208" t="s">
        <v>100</v>
      </c>
      <c s="337" t="str">
        <f t="shared" si="2" ref="D35:O35">IF(INDEX(分析前年来店客数,1,D$32+1)="", "--", INDEX(分析前年来店客数,1,D$32+1))</f>
        <v>--</v>
      </c>
      <c s="64" t="str">
        <f t="shared" si="2"/>
        <v>--</v>
      </c>
      <c s="64" t="str">
        <f t="shared" si="2"/>
        <v>--</v>
      </c>
      <c s="64" t="str">
        <f t="shared" si="2"/>
        <v>--</v>
      </c>
      <c s="64" t="str">
        <f t="shared" si="2"/>
        <v>--</v>
      </c>
      <c s="64" t="str">
        <f t="shared" si="2"/>
        <v>--</v>
      </c>
      <c s="64" t="str">
        <f t="shared" si="2"/>
        <v>--</v>
      </c>
      <c s="64" t="str">
        <f t="shared" si="2"/>
        <v>--</v>
      </c>
      <c s="64" t="str">
        <f t="shared" si="2"/>
        <v>--</v>
      </c>
      <c s="64" t="str">
        <f t="shared" si="2"/>
        <v>--</v>
      </c>
      <c s="64" t="str">
        <f t="shared" si="2"/>
        <v>--</v>
      </c>
      <c s="237" t="str">
        <f t="shared" si="2"/>
        <v>--</v>
      </c>
      <c s="204" t="str">
        <f t="shared" si="1"/>
        <v>--</v>
      </c>
    </row>
    <row ht="20.25" customHeight="1" thickBot="1" s="40" customFormat="1">
      <c s="11"/>
      <c s="11"/>
      <c s="255" t="s">
        <v>101</v>
      </c>
      <c s="223" t="str">
        <f t="shared" si="3" ref="D36:P36">IF(ISERROR(D34/D35),"--",D34/D35*100)</f>
        <v>--</v>
      </c>
      <c s="66" t="str">
        <f t="shared" si="3"/>
        <v>--</v>
      </c>
      <c s="66" t="str">
        <f t="shared" si="3"/>
        <v>--</v>
      </c>
      <c s="66" t="str">
        <f t="shared" si="3"/>
        <v>--</v>
      </c>
      <c s="66" t="str">
        <f t="shared" si="3"/>
        <v>--</v>
      </c>
      <c s="66" t="str">
        <f t="shared" si="3"/>
        <v>--</v>
      </c>
      <c s="66" t="str">
        <f t="shared" si="3"/>
        <v>--</v>
      </c>
      <c s="66" t="str">
        <f t="shared" si="3"/>
        <v>--</v>
      </c>
      <c s="66" t="str">
        <f t="shared" si="3"/>
        <v>--</v>
      </c>
      <c s="66" t="str">
        <f t="shared" si="3"/>
        <v>--</v>
      </c>
      <c s="66" t="str">
        <f t="shared" si="3"/>
        <v>--</v>
      </c>
      <c s="248" t="str">
        <f t="shared" si="3"/>
        <v>--</v>
      </c>
      <c s="261" t="str">
        <f t="shared" si="3"/>
        <v>--</v>
      </c>
    </row>
    <row ht="9" customHeight="1"/>
    <row ht="15" customHeight="1"/>
    <row ht="15" customHeight="1"/>
    <row ht="24" customHeight="1" s="87" customFormat="1">
      <c r="C40" s="99" t="s">
        <v>108</v>
      </c>
      <c s="27"/>
      <c s="27"/>
      <c s="27"/>
      <c s="27"/>
      <c s="27"/>
      <c s="27"/>
      <c s="27"/>
      <c s="27"/>
      <c s="27"/>
      <c s="27"/>
      <c s="27"/>
      <c s="27"/>
      <c s="19"/>
    </row>
    <row ht="12.75" customHeight="1" s="40" customFormat="1">
      <c r="C41" s="94"/>
      <c s="19"/>
      <c s="19"/>
      <c s="19"/>
      <c s="19"/>
      <c s="19"/>
      <c s="19"/>
      <c s="19"/>
      <c s="19"/>
      <c s="19"/>
      <c s="19"/>
      <c s="19"/>
      <c s="19"/>
      <c s="101" t="str">
        <f>IF(比較POS名称="","",比較POS名称) &amp;  " (" &amp; IF(年度開始年月=分析終了年月,年度開始年月,年度開始年月&amp;"～"&amp;分析終了年月) &amp; ")"</f>
        <v>RDS06 スーパー  00 全国 (2019年4月～2020年3月)</v>
      </c>
    </row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 thickBot="1">
      <c r="D70" s="11">
        <v>0</v>
      </c>
      <c s="11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</row>
    <row ht="18" customHeight="1" thickBot="1" s="40" customFormat="1">
      <c r="C71" s="108" t="str">
        <f>分析オプション</f>
        <v xml:space="preserve"> [税抜分析]</v>
      </c>
      <c s="100" t="str">
        <f>INFO!AC$4</f>
        <v>4月</v>
      </c>
      <c s="28" t="str">
        <f>INFO!AD$4</f>
        <v>5月</v>
      </c>
      <c s="28" t="str">
        <f>INFO!AE$4</f>
        <v>6月</v>
      </c>
      <c s="28" t="str">
        <f>INFO!AF$4</f>
        <v>7月</v>
      </c>
      <c s="28" t="str">
        <f>INFO!AG$4</f>
        <v>8月</v>
      </c>
      <c s="28" t="str">
        <f>INFO!AH$4</f>
        <v>9月</v>
      </c>
      <c s="28" t="str">
        <f>INFO!AI$4</f>
        <v>10月</v>
      </c>
      <c s="28" t="str">
        <f>INFO!AJ$4</f>
        <v>11月</v>
      </c>
      <c s="28" t="str">
        <f>INFO!AK$4</f>
        <v>12月</v>
      </c>
      <c s="28" t="str">
        <f>INFO!AL$4</f>
        <v>1月</v>
      </c>
      <c s="28" t="str">
        <f>INFO!AM$4</f>
        <v>2月</v>
      </c>
      <c s="105" t="str">
        <f>INFO!AN$4</f>
        <v>3月</v>
      </c>
      <c s="117" t="s">
        <v>61</v>
      </c>
    </row>
    <row ht="20.25" customHeight="1" s="40" customFormat="1">
      <c s="11"/>
      <c s="11"/>
      <c s="238" t="s">
        <v>110</v>
      </c>
      <c s="232" t="str">
        <f t="shared" si="4" ref="D72:O72">IF(INDEX(比較来店客数,1,D$70+1)="", "--", INDEX(比較来店客数,1,D$70+1))</f>
        <v>--</v>
      </c>
      <c s="63" t="str">
        <f t="shared" si="4"/>
        <v>--</v>
      </c>
      <c s="63" t="str">
        <f t="shared" si="4"/>
        <v>--</v>
      </c>
      <c s="63" t="str">
        <f t="shared" si="4"/>
        <v>--</v>
      </c>
      <c s="63" t="str">
        <f t="shared" si="4"/>
        <v>--</v>
      </c>
      <c s="63" t="str">
        <f t="shared" si="4"/>
        <v>--</v>
      </c>
      <c s="63" t="str">
        <f t="shared" si="4"/>
        <v>--</v>
      </c>
      <c s="63" t="str">
        <f t="shared" si="4"/>
        <v>--</v>
      </c>
      <c s="63" t="str">
        <f t="shared" si="4"/>
        <v>--</v>
      </c>
      <c s="63" t="str">
        <f t="shared" si="4"/>
        <v>--</v>
      </c>
      <c s="63" t="str">
        <f t="shared" si="4"/>
        <v>--</v>
      </c>
      <c s="217" t="str">
        <f t="shared" si="4"/>
        <v>--</v>
      </c>
      <c s="201" t="str">
        <f t="shared" si="5" ref="P72:P73">IF(COUNTIF($D72:$O72, "--")=12, "--", SUM($D72:$O72))</f>
        <v>--</v>
      </c>
    </row>
    <row ht="15" hidden="1" customHeight="1" s="40" customFormat="1">
      <c s="11"/>
      <c s="11"/>
      <c s="208" t="s">
        <v>100</v>
      </c>
      <c s="294" t="str">
        <f t="shared" si="6" ref="D73:O73">IF(INDEX(比較前年来店客数,1,D$70+1)="", "--", INDEX(比較前年来店客数,1,D$70+1))</f>
        <v>--</v>
      </c>
      <c s="64" t="str">
        <f t="shared" si="6"/>
        <v>--</v>
      </c>
      <c s="64" t="str">
        <f t="shared" si="6"/>
        <v>--</v>
      </c>
      <c s="64" t="str">
        <f t="shared" si="6"/>
        <v>--</v>
      </c>
      <c s="64" t="str">
        <f t="shared" si="6"/>
        <v>--</v>
      </c>
      <c s="64" t="str">
        <f t="shared" si="6"/>
        <v>--</v>
      </c>
      <c s="64" t="str">
        <f t="shared" si="6"/>
        <v>--</v>
      </c>
      <c s="64" t="str">
        <f t="shared" si="6"/>
        <v>--</v>
      </c>
      <c s="64" t="str">
        <f t="shared" si="6"/>
        <v>--</v>
      </c>
      <c s="64" t="str">
        <f t="shared" si="6"/>
        <v>--</v>
      </c>
      <c s="64" t="str">
        <f t="shared" si="6"/>
        <v>--</v>
      </c>
      <c s="237" t="str">
        <f t="shared" si="6"/>
        <v>--</v>
      </c>
      <c s="204" t="str">
        <f t="shared" si="5"/>
        <v>--</v>
      </c>
    </row>
    <row ht="20.25" customHeight="1" thickBot="1" s="40" customFormat="1">
      <c s="11"/>
      <c s="11"/>
      <c s="255" t="s">
        <v>101</v>
      </c>
      <c s="223" t="str">
        <f t="shared" si="7" ref="D74:P74">IF(ISERROR(D72/D73),"--",D72/D73*100)</f>
        <v>--</v>
      </c>
      <c s="66" t="str">
        <f t="shared" si="7"/>
        <v>--</v>
      </c>
      <c s="66" t="str">
        <f t="shared" si="7"/>
        <v>--</v>
      </c>
      <c s="66" t="str">
        <f t="shared" si="7"/>
        <v>--</v>
      </c>
      <c s="66" t="str">
        <f t="shared" si="7"/>
        <v>--</v>
      </c>
      <c s="66" t="str">
        <f t="shared" si="7"/>
        <v>--</v>
      </c>
      <c s="66" t="str">
        <f t="shared" si="7"/>
        <v>--</v>
      </c>
      <c s="66" t="str">
        <f t="shared" si="7"/>
        <v>--</v>
      </c>
      <c s="66" t="str">
        <f t="shared" si="7"/>
        <v>--</v>
      </c>
      <c s="66" t="str">
        <f t="shared" si="7"/>
        <v>--</v>
      </c>
      <c s="66" t="str">
        <f t="shared" si="7"/>
        <v>--</v>
      </c>
      <c s="248" t="str">
        <f t="shared" si="7"/>
        <v>--</v>
      </c>
      <c s="261" t="str">
        <f t="shared" si="7"/>
        <v>--</v>
      </c>
    </row>
    <row ht="6.75" customHeight="1">
      <c s="35"/>
      <c s="35"/>
      <c s="132"/>
      <c s="89"/>
      <c s="89"/>
      <c s="89"/>
      <c s="89"/>
      <c s="89"/>
      <c s="89"/>
      <c s="89"/>
      <c s="89"/>
      <c s="89"/>
      <c s="89"/>
      <c s="89"/>
      <c s="89"/>
      <c s="322"/>
    </row>
  </sheetData>
  <printOptions horizontalCentered="1"/>
  <pageMargins left="0.59055118110236227" right="0.59055118110236227" top="0.59055118110236227" bottom="0.59055118110236227" header="0.31496062992125984" footer="0.31496062992125984"/>
  <pageSetup paperSize="9" scale="70" orientation="landscape" verticalDpi="300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M926"/>
  <sheetViews>
    <sheetView showGridLines="0" workbookViewId="0"/>
  </sheetViews>
  <sheetFormatPr defaultColWidth="5.625" defaultRowHeight="10.5"/>
  <cols>
    <col min="1" max="1" width="5.625" style="236" customWidth="1"/>
    <col min="2" max="2" width="20.625" style="236" customWidth="1"/>
    <col min="3" max="7" width="5.625" style="236" customWidth="1"/>
    <col min="8" max="8" width="17.375" style="236" customWidth="1"/>
    <col min="9" max="16384" width="5.625" style="236"/>
  </cols>
  <sheetData>
    <row>
      <c s="1"/>
      <c s="1"/>
      <c s="1"/>
      <c s="1"/>
      <c s="1"/>
      <c s="1"/>
      <c s="5"/>
      <c s="5"/>
      <c s="26"/>
      <c s="26"/>
      <c s="26"/>
      <c s="26"/>
      <c s="5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ht="10.5" customHeight="1">
      <c s="1"/>
      <c s="77" t="s">
        <v>40</v>
      </c>
      <c s="13" t="s">
        <v>35</v>
      </c>
      <c s="4"/>
      <c s="4"/>
      <c s="16"/>
      <c s="1"/>
      <c s="76" t="s">
        <v>92</v>
      </c>
      <c s="13" t="s">
        <v>35</v>
      </c>
      <c s="4"/>
      <c s="4"/>
      <c s="1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ht="10.5" customHeight="1">
      <c s="1"/>
      <c s="80"/>
      <c s="14" t="s">
        <v>0</v>
      </c>
      <c s="15" t="s">
        <v>1</v>
      </c>
      <c s="12" t="s">
        <v>2</v>
      </c>
      <c s="39" t="s">
        <v>3</v>
      </c>
      <c s="1"/>
      <c s="73"/>
      <c s="14" t="s">
        <v>0</v>
      </c>
      <c s="15" t="s">
        <v>1</v>
      </c>
      <c s="12" t="s">
        <v>2</v>
      </c>
      <c s="39" t="s">
        <v>3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98" t="s">
        <v>342</v>
      </c>
      <c s="23">
        <v>258134201.65979999</v>
      </c>
      <c s="9">
        <v>48719298403.879997</v>
      </c>
      <c s="9">
        <v>0</v>
      </c>
      <c s="55">
        <v>37010686412.925003</v>
      </c>
      <c s="1"/>
      <c s="62" t="str">
        <f>$B$57</f>
        <v>加工食品</v>
      </c>
      <c s="23">
        <v>258134201.65979999</v>
      </c>
      <c s="9">
        <v>48719298403.879997</v>
      </c>
      <c s="9">
        <v>0</v>
      </c>
      <c s="55">
        <v>37010686412.925003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344</v>
      </c>
      <c s="20">
        <v>225041695.18830001</v>
      </c>
      <c s="7">
        <v>50481114523.376602</v>
      </c>
      <c s="7">
        <v>0</v>
      </c>
      <c s="57">
        <v>4632964431.1372004</v>
      </c>
      <c s="1"/>
      <c s="61" t="str">
        <f>$B$58</f>
        <v>生鮮食品</v>
      </c>
      <c s="20">
        <v>225041695.18830001</v>
      </c>
      <c s="7">
        <v>50481114523.376602</v>
      </c>
      <c s="7">
        <v>0</v>
      </c>
      <c s="57">
        <v>4632964431.1372004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346</v>
      </c>
      <c s="20">
        <v>84046830.135199994</v>
      </c>
      <c s="7">
        <v>11806638968.5676</v>
      </c>
      <c s="7">
        <v>0</v>
      </c>
      <c s="57">
        <v>9557524865.1483002</v>
      </c>
      <c s="1"/>
      <c s="61" t="str">
        <f>$B$59</f>
        <v>菓子類</v>
      </c>
      <c s="20">
        <v>84046830.135199994</v>
      </c>
      <c s="7">
        <v>11806638968.5676</v>
      </c>
      <c s="7">
        <v>0</v>
      </c>
      <c s="57">
        <v>9557524865.1483002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63</v>
      </c>
      <c s="20"/>
      <c s="7"/>
      <c s="7"/>
      <c s="57"/>
      <c s="1"/>
      <c s="61" t="str">
        <f>$B$60</f>
        <v>項目4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64</v>
      </c>
      <c s="20"/>
      <c s="7"/>
      <c s="7"/>
      <c s="57"/>
      <c s="1"/>
      <c s="61" t="str">
        <f>$B$61</f>
        <v>項目5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65</v>
      </c>
      <c s="20"/>
      <c s="7"/>
      <c s="7"/>
      <c s="57"/>
      <c s="1"/>
      <c s="61" t="str">
        <f>$B$62</f>
        <v>項目6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66</v>
      </c>
      <c s="20"/>
      <c s="7"/>
      <c s="7"/>
      <c s="57"/>
      <c s="1"/>
      <c s="61" t="str">
        <f>$B$63</f>
        <v>項目7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67</v>
      </c>
      <c s="20"/>
      <c s="7"/>
      <c s="7"/>
      <c s="57"/>
      <c s="1"/>
      <c s="61" t="str">
        <f>$B$64</f>
        <v>項目8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68</v>
      </c>
      <c s="20"/>
      <c s="7"/>
      <c s="7"/>
      <c s="57"/>
      <c s="1"/>
      <c s="61" t="str">
        <f>$B$65</f>
        <v>項目9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69</v>
      </c>
      <c s="20"/>
      <c s="7"/>
      <c s="7"/>
      <c s="57"/>
      <c s="1"/>
      <c s="61" t="str">
        <f>$B$66</f>
        <v>項目10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70</v>
      </c>
      <c s="20"/>
      <c s="7"/>
      <c s="7"/>
      <c s="57"/>
      <c s="1"/>
      <c s="61" t="str">
        <f>$B$67</f>
        <v>項目11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71</v>
      </c>
      <c s="20"/>
      <c s="7"/>
      <c s="7"/>
      <c s="57"/>
      <c s="1"/>
      <c s="61" t="str">
        <f>$B$68</f>
        <v>項目12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72</v>
      </c>
      <c s="20"/>
      <c s="7"/>
      <c s="7"/>
      <c s="57"/>
      <c s="1"/>
      <c s="61" t="str">
        <f>$B$69</f>
        <v>項目13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73</v>
      </c>
      <c s="20"/>
      <c s="7"/>
      <c s="7"/>
      <c s="57"/>
      <c s="1"/>
      <c s="61" t="str">
        <f>$B$70</f>
        <v>項目14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74</v>
      </c>
      <c s="20"/>
      <c s="7"/>
      <c s="7"/>
      <c s="57"/>
      <c s="1"/>
      <c s="61" t="str">
        <f>$B$71</f>
        <v>項目15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75</v>
      </c>
      <c s="20"/>
      <c s="7"/>
      <c s="7"/>
      <c s="57"/>
      <c s="1"/>
      <c s="61" t="str">
        <f>$B$72</f>
        <v>項目16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76</v>
      </c>
      <c s="20"/>
      <c s="7"/>
      <c s="7"/>
      <c s="57"/>
      <c s="1"/>
      <c s="61" t="str">
        <f>$B$73</f>
        <v>項目17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77</v>
      </c>
      <c s="20"/>
      <c s="7"/>
      <c s="7"/>
      <c s="57"/>
      <c s="1"/>
      <c s="61" t="str">
        <f>$B$74</f>
        <v>項目18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78</v>
      </c>
      <c s="20"/>
      <c s="7"/>
      <c s="7"/>
      <c s="57"/>
      <c s="1"/>
      <c s="61" t="str">
        <f>$B$75</f>
        <v>項目19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79</v>
      </c>
      <c s="20"/>
      <c s="7"/>
      <c s="7"/>
      <c s="57"/>
      <c s="1"/>
      <c s="61" t="str">
        <f>$B$76</f>
        <v>項目20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80</v>
      </c>
      <c s="20"/>
      <c s="7"/>
      <c s="7"/>
      <c s="57"/>
      <c s="1"/>
      <c s="61" t="str">
        <f>$B$77</f>
        <v>項目21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81</v>
      </c>
      <c s="20"/>
      <c s="7"/>
      <c s="7"/>
      <c s="57"/>
      <c s="1"/>
      <c s="61" t="str">
        <f>$B$78</f>
        <v>項目22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82</v>
      </c>
      <c s="20"/>
      <c s="7"/>
      <c s="7"/>
      <c s="57"/>
      <c s="1"/>
      <c s="61" t="str">
        <f>$B$79</f>
        <v>項目23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83</v>
      </c>
      <c s="20"/>
      <c s="7"/>
      <c s="7"/>
      <c s="57"/>
      <c s="1"/>
      <c s="61" t="str">
        <f>$B$80</f>
        <v>項目24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84</v>
      </c>
      <c s="20"/>
      <c s="7"/>
      <c s="7"/>
      <c s="57"/>
      <c s="1"/>
      <c s="61" t="str">
        <f>$B$81</f>
        <v>項目25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85</v>
      </c>
      <c s="20"/>
      <c s="7"/>
      <c s="7"/>
      <c s="57"/>
      <c s="1"/>
      <c s="61" t="str">
        <f>$B$82</f>
        <v>項目26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86</v>
      </c>
      <c s="20"/>
      <c s="7"/>
      <c s="7"/>
      <c s="57"/>
      <c s="1"/>
      <c s="61" t="str">
        <f>$B$83</f>
        <v>項目27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87</v>
      </c>
      <c s="20"/>
      <c s="7"/>
      <c s="7"/>
      <c s="57"/>
      <c s="1"/>
      <c s="61" t="str">
        <f>$B$84</f>
        <v>項目28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88</v>
      </c>
      <c s="20"/>
      <c s="7"/>
      <c s="7"/>
      <c s="57"/>
      <c s="1"/>
      <c s="61" t="str">
        <f>$B$85</f>
        <v>項目29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89</v>
      </c>
      <c s="20"/>
      <c s="7"/>
      <c s="7"/>
      <c s="57"/>
      <c s="1"/>
      <c s="61" t="str">
        <f>$B$86</f>
        <v>項目30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111</v>
      </c>
      <c s="20"/>
      <c s="7"/>
      <c s="7"/>
      <c s="57"/>
      <c s="1"/>
      <c s="61" t="str">
        <f>$B$87</f>
        <v>項目31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112</v>
      </c>
      <c s="20"/>
      <c s="7"/>
      <c s="7"/>
      <c s="57"/>
      <c s="1"/>
      <c s="61" t="str">
        <f>$B$88</f>
        <v>項目32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113</v>
      </c>
      <c s="20"/>
      <c s="7"/>
      <c s="7"/>
      <c s="57"/>
      <c s="1"/>
      <c s="61" t="str">
        <f>$B$89</f>
        <v>項目33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114</v>
      </c>
      <c s="20"/>
      <c s="7"/>
      <c s="7"/>
      <c s="57"/>
      <c s="1"/>
      <c s="61" t="str">
        <f>$B$90</f>
        <v>項目34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115</v>
      </c>
      <c s="20"/>
      <c s="7"/>
      <c s="7"/>
      <c s="57"/>
      <c s="1"/>
      <c s="61" t="str">
        <f>$B$91</f>
        <v>項目35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116</v>
      </c>
      <c s="20"/>
      <c s="7"/>
      <c s="7"/>
      <c s="57"/>
      <c s="1"/>
      <c s="61" t="str">
        <f>$B$92</f>
        <v>項目36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117</v>
      </c>
      <c s="20"/>
      <c s="7"/>
      <c s="7"/>
      <c s="57"/>
      <c s="1"/>
      <c s="61" t="str">
        <f>$B$93</f>
        <v>項目37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118</v>
      </c>
      <c s="20"/>
      <c s="7"/>
      <c s="7"/>
      <c s="57"/>
      <c s="1"/>
      <c s="61" t="str">
        <f>$B$94</f>
        <v>項目38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119</v>
      </c>
      <c s="20"/>
      <c s="7"/>
      <c s="7"/>
      <c s="57"/>
      <c s="1"/>
      <c s="61" t="str">
        <f>$B$95</f>
        <v>項目39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120</v>
      </c>
      <c s="20"/>
      <c s="7"/>
      <c s="7"/>
      <c s="57"/>
      <c s="1"/>
      <c s="61" t="str">
        <f>$B$96</f>
        <v>項目40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121</v>
      </c>
      <c s="20"/>
      <c s="7"/>
      <c s="7"/>
      <c s="57"/>
      <c s="1"/>
      <c s="61" t="str">
        <f>$B$97</f>
        <v>項目41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122</v>
      </c>
      <c s="20"/>
      <c s="7"/>
      <c s="7"/>
      <c s="57"/>
      <c s="1"/>
      <c s="61" t="str">
        <f>$B$98</f>
        <v>項目42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123</v>
      </c>
      <c s="20"/>
      <c s="7"/>
      <c s="7"/>
      <c s="57"/>
      <c s="1"/>
      <c s="61" t="str">
        <f>$B$99</f>
        <v>項目43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124</v>
      </c>
      <c s="20"/>
      <c s="7"/>
      <c s="7"/>
      <c s="57"/>
      <c s="1"/>
      <c s="61" t="str">
        <f>$B$100</f>
        <v>項目44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125</v>
      </c>
      <c s="20"/>
      <c s="7"/>
      <c s="7"/>
      <c s="57"/>
      <c s="1"/>
      <c s="61" t="str">
        <f>$B$101</f>
        <v>項目45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126</v>
      </c>
      <c s="20"/>
      <c s="7"/>
      <c s="7"/>
      <c s="57"/>
      <c s="1"/>
      <c s="61" t="str">
        <f>$B$102</f>
        <v>項目46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127</v>
      </c>
      <c s="20"/>
      <c s="7"/>
      <c s="7"/>
      <c s="57"/>
      <c s="1"/>
      <c s="61" t="str">
        <f>$B$103</f>
        <v>項目47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128</v>
      </c>
      <c s="20"/>
      <c s="7"/>
      <c s="7"/>
      <c s="57"/>
      <c s="1"/>
      <c s="61" t="str">
        <f>$B$104</f>
        <v>項目48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8" t="s">
        <v>129</v>
      </c>
      <c s="20"/>
      <c s="7"/>
      <c s="7"/>
      <c s="57"/>
      <c s="1"/>
      <c s="61" t="str">
        <f>$B$105</f>
        <v>項目49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81" t="s">
        <v>130</v>
      </c>
      <c s="21"/>
      <c s="8"/>
      <c s="8"/>
      <c s="52"/>
      <c s="1"/>
      <c s="58" t="str">
        <f>$B$106</f>
        <v>項目50</v>
      </c>
      <c s="21"/>
      <c s="8"/>
      <c s="8"/>
      <c s="52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="81" customFormat="1">
      <c s="5"/>
      <c s="5"/>
      <c s="26"/>
      <c s="26"/>
      <c s="26"/>
      <c s="26"/>
      <c s="5"/>
      <c s="5"/>
      <c s="26"/>
      <c s="26"/>
      <c s="26"/>
      <c s="26"/>
      <c s="5"/>
    </row>
    <row ht="10.5" customHeight="1">
      <c s="1"/>
      <c s="77" t="s">
        <v>41</v>
      </c>
      <c s="13" t="s">
        <v>35</v>
      </c>
      <c s="4"/>
      <c s="4"/>
      <c s="16"/>
      <c s="1"/>
      <c s="76" t="s">
        <v>93</v>
      </c>
      <c s="13" t="s">
        <v>35</v>
      </c>
      <c s="4"/>
      <c s="4"/>
      <c s="1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ht="10.5" customHeight="1">
      <c s="1"/>
      <c s="80"/>
      <c s="14" t="s">
        <v>0</v>
      </c>
      <c s="15" t="s">
        <v>1</v>
      </c>
      <c s="12" t="s">
        <v>2</v>
      </c>
      <c s="39" t="s">
        <v>3</v>
      </c>
      <c s="1"/>
      <c s="73"/>
      <c s="14" t="s">
        <v>0</v>
      </c>
      <c s="15" t="s">
        <v>1</v>
      </c>
      <c s="12" t="s">
        <v>2</v>
      </c>
      <c s="39" t="s">
        <v>3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353" t="str">
        <f>IF($B$4="","",$B$4)</f>
        <v>加工食品</v>
      </c>
      <c s="23">
        <v>214917969.8466</v>
      </c>
      <c s="9">
        <v>38232210602.113899</v>
      </c>
      <c s="9">
        <v>0</v>
      </c>
      <c s="55">
        <v>37268274700.262001</v>
      </c>
      <c s="1"/>
      <c s="62" t="str">
        <f>$B$57</f>
        <v>加工食品</v>
      </c>
      <c s="23">
        <v>214917969.8466</v>
      </c>
      <c s="9">
        <v>38232210602.113899</v>
      </c>
      <c s="9">
        <v>0</v>
      </c>
      <c s="55">
        <v>37268274700.262001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IF($B$5="","",$B$5)</f>
        <v>生鮮食品</v>
      </c>
      <c s="20">
        <v>91508675.074399993</v>
      </c>
      <c s="7">
        <v>16959496259.7019</v>
      </c>
      <c s="7">
        <v>0</v>
      </c>
      <c s="57">
        <v>4217150398.9422998</v>
      </c>
      <c s="1"/>
      <c s="61" t="str">
        <f>$B$58</f>
        <v>生鮮食品</v>
      </c>
      <c s="20">
        <v>91508675.074399993</v>
      </c>
      <c s="7">
        <v>16959496259.7019</v>
      </c>
      <c s="7">
        <v>0</v>
      </c>
      <c s="57">
        <v>4217150398.9422998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IF($B$6="","",$B$6)</f>
        <v>菓子類</v>
      </c>
      <c s="20">
        <v>86084727.798199996</v>
      </c>
      <c s="7">
        <v>11903262576.0973</v>
      </c>
      <c s="7">
        <v>0</v>
      </c>
      <c s="57">
        <v>9899707137.4794998</v>
      </c>
      <c s="1"/>
      <c s="61" t="str">
        <f>$B$59</f>
        <v>菓子類</v>
      </c>
      <c s="20">
        <v>86084727.798199996</v>
      </c>
      <c s="7">
        <v>11903262576.0973</v>
      </c>
      <c s="7">
        <v>0</v>
      </c>
      <c s="57">
        <v>9899707137.4794998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IF($B$7="","",$B$7)</f>
        <v>項目4</v>
      </c>
      <c s="20"/>
      <c s="7"/>
      <c s="7"/>
      <c s="57"/>
      <c s="1"/>
      <c s="61" t="str">
        <f>$B$60</f>
        <v>項目4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IF($B$8="","",$B$8)</f>
        <v>項目5</v>
      </c>
      <c s="20"/>
      <c s="7"/>
      <c s="7"/>
      <c s="57"/>
      <c s="1"/>
      <c s="61" t="str">
        <f>$B$61</f>
        <v>項目5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IF($B$9="","",$B$9)</f>
        <v>項目6</v>
      </c>
      <c s="20"/>
      <c s="7"/>
      <c s="7"/>
      <c s="57"/>
      <c s="1"/>
      <c s="61" t="str">
        <f>$B$62</f>
        <v>項目6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IF($B$10="","",$B$10)</f>
        <v>項目7</v>
      </c>
      <c s="20"/>
      <c s="7"/>
      <c s="7"/>
      <c s="57"/>
      <c s="1"/>
      <c s="61" t="str">
        <f>$B$63</f>
        <v>項目7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IF($B$11="","",$B$11)</f>
        <v>項目8</v>
      </c>
      <c s="20"/>
      <c s="7"/>
      <c s="7"/>
      <c s="57"/>
      <c s="1"/>
      <c s="61" t="str">
        <f>$B$64</f>
        <v>項目8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IF($B$12="","",$B$12)</f>
        <v>項目9</v>
      </c>
      <c s="20"/>
      <c s="7"/>
      <c s="7"/>
      <c s="57"/>
      <c s="1"/>
      <c s="61" t="str">
        <f>$B$65</f>
        <v>項目9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IF($B$13="","",$B$13)</f>
        <v>項目10</v>
      </c>
      <c s="20"/>
      <c s="7"/>
      <c s="7"/>
      <c s="57"/>
      <c s="1"/>
      <c s="61" t="str">
        <f>$B$66</f>
        <v>項目10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IF($B$14="","",$B$14)</f>
        <v>項目11</v>
      </c>
      <c s="20"/>
      <c s="7"/>
      <c s="7"/>
      <c s="57"/>
      <c s="1"/>
      <c s="61" t="str">
        <f>$B$67</f>
        <v>項目11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IF($B$15="","",$B$15)</f>
        <v>項目12</v>
      </c>
      <c s="20"/>
      <c s="7"/>
      <c s="7"/>
      <c s="57"/>
      <c s="1"/>
      <c s="61" t="str">
        <f>$B$68</f>
        <v>項目12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IF($B$16="","",$B$16)</f>
        <v>項目13</v>
      </c>
      <c s="20"/>
      <c s="7"/>
      <c s="7"/>
      <c s="57"/>
      <c s="1"/>
      <c s="61" t="str">
        <f>$B$69</f>
        <v>項目13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IF($B$17="","",$B$17)</f>
        <v>項目14</v>
      </c>
      <c s="20"/>
      <c s="7"/>
      <c s="7"/>
      <c s="57"/>
      <c s="1"/>
      <c s="61" t="str">
        <f>$B$70</f>
        <v>項目14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IF($B$18="","",$B$18)</f>
        <v>項目15</v>
      </c>
      <c s="20"/>
      <c s="7"/>
      <c s="7"/>
      <c s="57"/>
      <c s="1"/>
      <c s="61" t="str">
        <f>$B$71</f>
        <v>項目15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IF($B$19="","",$B$19)</f>
        <v>項目16</v>
      </c>
      <c s="20"/>
      <c s="7"/>
      <c s="7"/>
      <c s="57"/>
      <c s="1"/>
      <c s="61" t="str">
        <f>$B$72</f>
        <v>項目16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IF($B$20="","",$B$20)</f>
        <v>項目17</v>
      </c>
      <c s="20"/>
      <c s="7"/>
      <c s="7"/>
      <c s="57"/>
      <c s="1"/>
      <c s="61" t="str">
        <f>$B$73</f>
        <v>項目17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IF($B$21="","",$B$21)</f>
        <v>項目18</v>
      </c>
      <c s="20"/>
      <c s="7"/>
      <c s="7"/>
      <c s="57"/>
      <c s="1"/>
      <c s="61" t="str">
        <f>$B$74</f>
        <v>項目18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IF($B$22="","",$B$22)</f>
        <v>項目19</v>
      </c>
      <c s="20"/>
      <c s="7"/>
      <c s="7"/>
      <c s="57"/>
      <c s="1"/>
      <c s="61" t="str">
        <f>$B$75</f>
        <v>項目19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IF($B$23="","",$B$23)</f>
        <v>項目20</v>
      </c>
      <c s="20"/>
      <c s="7"/>
      <c s="7"/>
      <c s="57"/>
      <c s="1"/>
      <c s="61" t="str">
        <f>$B$76</f>
        <v>項目20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IF($B$24="","",$B$24)</f>
        <v>項目21</v>
      </c>
      <c s="20"/>
      <c s="7"/>
      <c s="7"/>
      <c s="57"/>
      <c s="1"/>
      <c s="61" t="str">
        <f>$B$77</f>
        <v>項目21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IF($B$25="","",$B$25)</f>
        <v>項目22</v>
      </c>
      <c s="20"/>
      <c s="7"/>
      <c s="7"/>
      <c s="57"/>
      <c s="1"/>
      <c s="61" t="str">
        <f>$B$78</f>
        <v>項目22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IF($B$26="","",$B$26)</f>
        <v>項目23</v>
      </c>
      <c s="20"/>
      <c s="7"/>
      <c s="7"/>
      <c s="57"/>
      <c s="1"/>
      <c s="61" t="str">
        <f>$B$79</f>
        <v>項目23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IF($B$27="","",$B$27)</f>
        <v>項目24</v>
      </c>
      <c s="20"/>
      <c s="7"/>
      <c s="7"/>
      <c s="57"/>
      <c s="1"/>
      <c s="61" t="str">
        <f>$B$80</f>
        <v>項目24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IF($B$28="","",$B$28)</f>
        <v>項目25</v>
      </c>
      <c s="20"/>
      <c s="7"/>
      <c s="7"/>
      <c s="57"/>
      <c s="1"/>
      <c s="61" t="str">
        <f>$B$81</f>
        <v>項目25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IF($B$29="","",$B$29)</f>
        <v>項目26</v>
      </c>
      <c s="20"/>
      <c s="7"/>
      <c s="7"/>
      <c s="57"/>
      <c s="1"/>
      <c s="61" t="str">
        <f>$B$82</f>
        <v>項目26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IF($B$30="","",$B$30)</f>
        <v>項目27</v>
      </c>
      <c s="20"/>
      <c s="7"/>
      <c s="7"/>
      <c s="57"/>
      <c s="1"/>
      <c s="61" t="str">
        <f>$B$83</f>
        <v>項目27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IF($B$31="","",$B$31)</f>
        <v>項目28</v>
      </c>
      <c s="20"/>
      <c s="7"/>
      <c s="7"/>
      <c s="57"/>
      <c s="1"/>
      <c s="61" t="str">
        <f>$B$84</f>
        <v>項目28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IF($B$32="","",$B$32)</f>
        <v>項目29</v>
      </c>
      <c s="20"/>
      <c s="7"/>
      <c s="7"/>
      <c s="57"/>
      <c s="1"/>
      <c s="61" t="str">
        <f>$B$85</f>
        <v>項目29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IF($B$33="","",$B$33)</f>
        <v>項目30</v>
      </c>
      <c s="20"/>
      <c s="7"/>
      <c s="7"/>
      <c s="57"/>
      <c s="1"/>
      <c s="61" t="str">
        <f>$B$86</f>
        <v>項目30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IF($B$34="","",$B$34)</f>
        <v>項目31</v>
      </c>
      <c s="20"/>
      <c s="7"/>
      <c s="7"/>
      <c s="57"/>
      <c s="1"/>
      <c s="61" t="str">
        <f>$B$87</f>
        <v>項目31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IF($B$35="","",$B$35)</f>
        <v>項目32</v>
      </c>
      <c s="20"/>
      <c s="7"/>
      <c s="7"/>
      <c s="57"/>
      <c s="1"/>
      <c s="61" t="str">
        <f>$B$88</f>
        <v>項目32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IF($B$36="","",$B$36)</f>
        <v>項目33</v>
      </c>
      <c s="20"/>
      <c s="7"/>
      <c s="7"/>
      <c s="57"/>
      <c s="1"/>
      <c s="61" t="str">
        <f>$B$89</f>
        <v>項目33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IF($B$37="","",$B$37)</f>
        <v>項目34</v>
      </c>
      <c s="20"/>
      <c s="7"/>
      <c s="7"/>
      <c s="57"/>
      <c s="1"/>
      <c s="61" t="str">
        <f>$B$90</f>
        <v>項目34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IF($B$38="","",$B$38)</f>
        <v>項目35</v>
      </c>
      <c s="20"/>
      <c s="7"/>
      <c s="7"/>
      <c s="57"/>
      <c s="1"/>
      <c s="61" t="str">
        <f>$B$91</f>
        <v>項目35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IF($B$39="","",$B$39)</f>
        <v>項目36</v>
      </c>
      <c s="20"/>
      <c s="7"/>
      <c s="7"/>
      <c s="57"/>
      <c s="1"/>
      <c s="61" t="str">
        <f>$B$92</f>
        <v>項目36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IF($B$40="","",$B$40)</f>
        <v>項目37</v>
      </c>
      <c s="20"/>
      <c s="7"/>
      <c s="7"/>
      <c s="57"/>
      <c s="1"/>
      <c s="61" t="str">
        <f>$B$93</f>
        <v>項目37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IF($B$41="","",$B$41)</f>
        <v>項目38</v>
      </c>
      <c s="20"/>
      <c s="7"/>
      <c s="7"/>
      <c s="57"/>
      <c s="1"/>
      <c s="61" t="str">
        <f>$B$94</f>
        <v>項目38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IF($B$42="","",$B$42)</f>
        <v>項目39</v>
      </c>
      <c s="20"/>
      <c s="7"/>
      <c s="7"/>
      <c s="57"/>
      <c s="1"/>
      <c s="61" t="str">
        <f>$B$95</f>
        <v>項目39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IF($B$43="","",$B$43)</f>
        <v>項目40</v>
      </c>
      <c s="20"/>
      <c s="7"/>
      <c s="7"/>
      <c s="57"/>
      <c s="1"/>
      <c s="61" t="str">
        <f>$B$96</f>
        <v>項目40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IF($B$44="","",$B$44)</f>
        <v>項目41</v>
      </c>
      <c s="20"/>
      <c s="7"/>
      <c s="7"/>
      <c s="57"/>
      <c s="1"/>
      <c s="61" t="str">
        <f>$B$97</f>
        <v>項目41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IF($B$45="","",$B$45)</f>
        <v>項目42</v>
      </c>
      <c s="20"/>
      <c s="7"/>
      <c s="7"/>
      <c s="57"/>
      <c s="1"/>
      <c s="61" t="str">
        <f>$B$98</f>
        <v>項目42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IF($B$46="","",$B$46)</f>
        <v>項目43</v>
      </c>
      <c s="20"/>
      <c s="7"/>
      <c s="7"/>
      <c s="57"/>
      <c s="1"/>
      <c s="61" t="str">
        <f>$B$99</f>
        <v>項目43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IF($B$47="","",$B$47)</f>
        <v>項目44</v>
      </c>
      <c s="20"/>
      <c s="7"/>
      <c s="7"/>
      <c s="57"/>
      <c s="1"/>
      <c s="61" t="str">
        <f>$B$100</f>
        <v>項目44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IF($B$48="","",$B$48)</f>
        <v>項目45</v>
      </c>
      <c s="20"/>
      <c s="7"/>
      <c s="7"/>
      <c s="57"/>
      <c s="1"/>
      <c s="61" t="str">
        <f>$B$101</f>
        <v>項目45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IF($B$49="","",$B$49)</f>
        <v>項目46</v>
      </c>
      <c s="20"/>
      <c s="7"/>
      <c s="7"/>
      <c s="57"/>
      <c s="1"/>
      <c s="61" t="str">
        <f>$B$102</f>
        <v>項目46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IF($B$50="","",$B$50)</f>
        <v>項目47</v>
      </c>
      <c s="20"/>
      <c s="7"/>
      <c s="7"/>
      <c s="57"/>
      <c s="1"/>
      <c s="61" t="str">
        <f>$B$103</f>
        <v>項目47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IF($B$51="","",$B$51)</f>
        <v>項目48</v>
      </c>
      <c s="20"/>
      <c s="7"/>
      <c s="7"/>
      <c s="57"/>
      <c s="1"/>
      <c s="61" t="str">
        <f>$B$104</f>
        <v>項目48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IF($B$52="","",$B$52)</f>
        <v>項目49</v>
      </c>
      <c s="20"/>
      <c s="7"/>
      <c s="7"/>
      <c s="57"/>
      <c s="1"/>
      <c s="61" t="str">
        <f>$B$105</f>
        <v>項目49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8" t="str">
        <f>IF($B$53="","",$B$53)</f>
        <v>項目50</v>
      </c>
      <c s="21"/>
      <c s="8"/>
      <c s="8"/>
      <c s="52"/>
      <c s="1"/>
      <c s="58" t="str">
        <f>$B$106</f>
        <v>項目50</v>
      </c>
      <c s="21"/>
      <c s="8"/>
      <c s="8"/>
      <c s="52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="81" customFormat="1">
      <c s="5"/>
      <c s="5"/>
      <c s="26"/>
      <c s="26"/>
      <c s="26"/>
      <c s="26"/>
      <c s="5"/>
      <c s="5"/>
      <c s="26"/>
      <c s="26"/>
      <c s="26"/>
      <c s="26"/>
      <c s="5"/>
    </row>
    <row ht="10.5" customHeight="1">
      <c s="1"/>
      <c s="77" t="s">
        <v>42</v>
      </c>
      <c s="13" t="s">
        <v>35</v>
      </c>
      <c s="4"/>
      <c s="4"/>
      <c s="16"/>
      <c s="1"/>
      <c s="76" t="s">
        <v>94</v>
      </c>
      <c s="13" t="s">
        <v>35</v>
      </c>
      <c s="4"/>
      <c s="4"/>
      <c s="1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ht="10.5" customHeight="1">
      <c s="1"/>
      <c s="80"/>
      <c s="14" t="s">
        <v>0</v>
      </c>
      <c s="15" t="s">
        <v>1</v>
      </c>
      <c s="12" t="s">
        <v>2</v>
      </c>
      <c s="39" t="s">
        <v>3</v>
      </c>
      <c s="1"/>
      <c s="73"/>
      <c s="14" t="s">
        <v>0</v>
      </c>
      <c s="15" t="s">
        <v>1</v>
      </c>
      <c s="12" t="s">
        <v>2</v>
      </c>
      <c s="39" t="s">
        <v>3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2" t="str">
        <f>$B$57</f>
        <v>加工食品</v>
      </c>
      <c s="23">
        <v>293517102.25989997</v>
      </c>
      <c s="9">
        <v>58944512021.778099</v>
      </c>
      <c s="9">
        <v>0</v>
      </c>
      <c s="55">
        <v>45688371320.452904</v>
      </c>
      <c s="1"/>
      <c s="62" t="str">
        <f>$B$57</f>
        <v>加工食品</v>
      </c>
      <c s="23">
        <v>293517102.25989997</v>
      </c>
      <c s="9">
        <v>58944512021.778099</v>
      </c>
      <c s="9">
        <v>0</v>
      </c>
      <c s="55">
        <v>45688371320.452904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$B$58</f>
        <v>生鮮食品</v>
      </c>
      <c s="20">
        <v>255520625.77450001</v>
      </c>
      <c s="7">
        <v>59479433277.757698</v>
      </c>
      <c s="7">
        <v>0</v>
      </c>
      <c s="57">
        <v>5817332583.7468996</v>
      </c>
      <c s="1"/>
      <c s="61" t="str">
        <f>$B$58</f>
        <v>生鮮食品</v>
      </c>
      <c s="20">
        <v>255520625.77450001</v>
      </c>
      <c s="7">
        <v>59479433277.757698</v>
      </c>
      <c s="7">
        <v>0</v>
      </c>
      <c s="57">
        <v>5817332583.7468996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$B$59</f>
        <v>菓子類</v>
      </c>
      <c s="20">
        <v>95519589.974099994</v>
      </c>
      <c s="7">
        <v>13602173003.9104</v>
      </c>
      <c s="7">
        <v>0</v>
      </c>
      <c s="57">
        <v>11409077082.215799</v>
      </c>
      <c s="1"/>
      <c s="61" t="str">
        <f>$B$59</f>
        <v>菓子類</v>
      </c>
      <c s="20">
        <v>95519589.974099994</v>
      </c>
      <c s="7">
        <v>13602173003.9104</v>
      </c>
      <c s="7">
        <v>0</v>
      </c>
      <c s="57">
        <v>11409077082.215799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$B$60</f>
        <v>項目4</v>
      </c>
      <c s="20"/>
      <c s="7"/>
      <c s="7"/>
      <c s="57"/>
      <c s="1"/>
      <c s="61" t="str">
        <f>$B$60</f>
        <v>項目4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$B$61</f>
        <v>項目5</v>
      </c>
      <c s="20"/>
      <c s="7"/>
      <c s="7"/>
      <c s="57"/>
      <c s="1"/>
      <c s="61" t="str">
        <f>$B$61</f>
        <v>項目5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$B$62</f>
        <v>項目6</v>
      </c>
      <c s="20"/>
      <c s="7"/>
      <c s="7"/>
      <c s="57"/>
      <c s="1"/>
      <c s="61" t="str">
        <f>$B$62</f>
        <v>項目6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$B$63</f>
        <v>項目7</v>
      </c>
      <c s="20"/>
      <c s="7"/>
      <c s="7"/>
      <c s="57"/>
      <c s="1"/>
      <c s="61" t="str">
        <f>$B$63</f>
        <v>項目7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$B$64</f>
        <v>項目8</v>
      </c>
      <c s="20"/>
      <c s="7"/>
      <c s="7"/>
      <c s="57"/>
      <c s="1"/>
      <c s="61" t="str">
        <f>$B$64</f>
        <v>項目8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$B$65</f>
        <v>項目9</v>
      </c>
      <c s="20"/>
      <c s="7"/>
      <c s="7"/>
      <c s="57"/>
      <c s="1"/>
      <c s="61" t="str">
        <f>$B$65</f>
        <v>項目9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$B$66</f>
        <v>項目10</v>
      </c>
      <c s="20"/>
      <c s="7"/>
      <c s="7"/>
      <c s="57"/>
      <c s="1"/>
      <c s="61" t="str">
        <f>$B$66</f>
        <v>項目10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$B$67</f>
        <v>項目11</v>
      </c>
      <c s="20"/>
      <c s="7"/>
      <c s="7"/>
      <c s="57"/>
      <c s="1"/>
      <c s="61" t="str">
        <f>$B$67</f>
        <v>項目11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$B$68</f>
        <v>項目12</v>
      </c>
      <c s="20"/>
      <c s="7"/>
      <c s="7"/>
      <c s="57"/>
      <c s="1"/>
      <c s="61" t="str">
        <f>$B$68</f>
        <v>項目12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$B$69</f>
        <v>項目13</v>
      </c>
      <c s="20"/>
      <c s="7"/>
      <c s="7"/>
      <c s="57"/>
      <c s="1"/>
      <c s="61" t="str">
        <f>$B$69</f>
        <v>項目13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$B$70</f>
        <v>項目14</v>
      </c>
      <c s="20"/>
      <c s="7"/>
      <c s="7"/>
      <c s="57"/>
      <c s="1"/>
      <c s="61" t="str">
        <f>$B$70</f>
        <v>項目14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$B$71</f>
        <v>項目15</v>
      </c>
      <c s="20"/>
      <c s="7"/>
      <c s="7"/>
      <c s="57"/>
      <c s="1"/>
      <c s="61" t="str">
        <f>$B$71</f>
        <v>項目15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$B$72</f>
        <v>項目16</v>
      </c>
      <c s="20"/>
      <c s="7"/>
      <c s="7"/>
      <c s="57"/>
      <c s="1"/>
      <c s="61" t="str">
        <f>$B$72</f>
        <v>項目16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$B$73</f>
        <v>項目17</v>
      </c>
      <c s="20"/>
      <c s="7"/>
      <c s="7"/>
      <c s="57"/>
      <c s="1"/>
      <c s="61" t="str">
        <f>$B$73</f>
        <v>項目17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$B$74</f>
        <v>項目18</v>
      </c>
      <c s="20"/>
      <c s="7"/>
      <c s="7"/>
      <c s="57"/>
      <c s="1"/>
      <c s="61" t="str">
        <f>$B$74</f>
        <v>項目18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$B$75</f>
        <v>項目19</v>
      </c>
      <c s="20"/>
      <c s="7"/>
      <c s="7"/>
      <c s="57"/>
      <c s="1"/>
      <c s="61" t="str">
        <f>$B$75</f>
        <v>項目19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$B$76</f>
        <v>項目20</v>
      </c>
      <c s="20"/>
      <c s="7"/>
      <c s="7"/>
      <c s="57"/>
      <c s="1"/>
      <c s="61" t="str">
        <f>$B$76</f>
        <v>項目20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$B$77</f>
        <v>項目21</v>
      </c>
      <c s="20"/>
      <c s="7"/>
      <c s="7"/>
      <c s="57"/>
      <c s="1"/>
      <c s="61" t="str">
        <f>$B$77</f>
        <v>項目21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$B$78</f>
        <v>項目22</v>
      </c>
      <c s="20"/>
      <c s="7"/>
      <c s="7"/>
      <c s="57"/>
      <c s="1"/>
      <c s="61" t="str">
        <f>$B$78</f>
        <v>項目22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$B$79</f>
        <v>項目23</v>
      </c>
      <c s="20"/>
      <c s="7"/>
      <c s="7"/>
      <c s="57"/>
      <c s="1"/>
      <c s="61" t="str">
        <f>$B$79</f>
        <v>項目23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$B$80</f>
        <v>項目24</v>
      </c>
      <c s="20"/>
      <c s="7"/>
      <c s="7"/>
      <c s="57"/>
      <c s="1"/>
      <c s="61" t="str">
        <f>$B$80</f>
        <v>項目24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$B$81</f>
        <v>項目25</v>
      </c>
      <c s="20"/>
      <c s="7"/>
      <c s="7"/>
      <c s="57"/>
      <c s="1"/>
      <c s="61" t="str">
        <f>$B$81</f>
        <v>項目25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$B$82</f>
        <v>項目26</v>
      </c>
      <c s="20"/>
      <c s="7"/>
      <c s="7"/>
      <c s="57"/>
      <c s="1"/>
      <c s="61" t="str">
        <f>$B$82</f>
        <v>項目26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$B$83</f>
        <v>項目27</v>
      </c>
      <c s="20"/>
      <c s="7"/>
      <c s="7"/>
      <c s="57"/>
      <c s="1"/>
      <c s="61" t="str">
        <f>$B$83</f>
        <v>項目27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$B$84</f>
        <v>項目28</v>
      </c>
      <c s="20"/>
      <c s="7"/>
      <c s="7"/>
      <c s="57"/>
      <c s="1"/>
      <c s="61" t="str">
        <f>$B$84</f>
        <v>項目28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$B$85</f>
        <v>項目29</v>
      </c>
      <c s="20"/>
      <c s="7"/>
      <c s="7"/>
      <c s="57"/>
      <c s="1"/>
      <c s="61" t="str">
        <f>$B$85</f>
        <v>項目29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$B$86</f>
        <v>項目30</v>
      </c>
      <c s="20"/>
      <c s="7"/>
      <c s="7"/>
      <c s="57"/>
      <c s="1"/>
      <c s="61" t="str">
        <f>$B$86</f>
        <v>項目30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$B$87</f>
        <v>項目31</v>
      </c>
      <c s="20"/>
      <c s="7"/>
      <c s="7"/>
      <c s="57"/>
      <c s="1"/>
      <c s="61" t="str">
        <f>$B$87</f>
        <v>項目31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$B$88</f>
        <v>項目32</v>
      </c>
      <c s="20"/>
      <c s="7"/>
      <c s="7"/>
      <c s="57"/>
      <c s="1"/>
      <c s="61" t="str">
        <f>$B$88</f>
        <v>項目32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$B$89</f>
        <v>項目33</v>
      </c>
      <c s="20"/>
      <c s="7"/>
      <c s="7"/>
      <c s="57"/>
      <c s="1"/>
      <c s="61" t="str">
        <f>$B$89</f>
        <v>項目33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$B$90</f>
        <v>項目34</v>
      </c>
      <c s="20"/>
      <c s="7"/>
      <c s="7"/>
      <c s="57"/>
      <c s="1"/>
      <c s="61" t="str">
        <f>$B$90</f>
        <v>項目34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$B$91</f>
        <v>項目35</v>
      </c>
      <c s="20"/>
      <c s="7"/>
      <c s="7"/>
      <c s="57"/>
      <c s="1"/>
      <c s="61" t="str">
        <f>$B$91</f>
        <v>項目35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$B$92</f>
        <v>項目36</v>
      </c>
      <c s="20"/>
      <c s="7"/>
      <c s="7"/>
      <c s="57"/>
      <c s="1"/>
      <c s="61" t="str">
        <f>$B$92</f>
        <v>項目36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$B$93</f>
        <v>項目37</v>
      </c>
      <c s="20"/>
      <c s="7"/>
      <c s="7"/>
      <c s="57"/>
      <c s="1"/>
      <c s="61" t="str">
        <f>$B$93</f>
        <v>項目37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$B$94</f>
        <v>項目38</v>
      </c>
      <c s="20"/>
      <c s="7"/>
      <c s="7"/>
      <c s="57"/>
      <c s="1"/>
      <c s="61" t="str">
        <f>$B$94</f>
        <v>項目38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$B$95</f>
        <v>項目39</v>
      </c>
      <c s="20"/>
      <c s="7"/>
      <c s="7"/>
      <c s="57"/>
      <c s="1"/>
      <c s="61" t="str">
        <f>$B$95</f>
        <v>項目39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$B$96</f>
        <v>項目40</v>
      </c>
      <c s="20"/>
      <c s="7"/>
      <c s="7"/>
      <c s="57"/>
      <c s="1"/>
      <c s="61" t="str">
        <f>$B$96</f>
        <v>項目40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$B$97</f>
        <v>項目41</v>
      </c>
      <c s="20"/>
      <c s="7"/>
      <c s="7"/>
      <c s="57"/>
      <c s="1"/>
      <c s="61" t="str">
        <f>$B$97</f>
        <v>項目41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$B$98</f>
        <v>項目42</v>
      </c>
      <c s="20"/>
      <c s="7"/>
      <c s="7"/>
      <c s="57"/>
      <c s="1"/>
      <c s="61" t="str">
        <f>$B$98</f>
        <v>項目42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$B$99</f>
        <v>項目43</v>
      </c>
      <c s="20"/>
      <c s="7"/>
      <c s="7"/>
      <c s="57"/>
      <c s="1"/>
      <c s="61" t="str">
        <f>$B$99</f>
        <v>項目43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$B$100</f>
        <v>項目44</v>
      </c>
      <c s="20"/>
      <c s="7"/>
      <c s="7"/>
      <c s="57"/>
      <c s="1"/>
      <c s="61" t="str">
        <f>$B$100</f>
        <v>項目44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$B$101</f>
        <v>項目45</v>
      </c>
      <c s="20"/>
      <c s="7"/>
      <c s="7"/>
      <c s="57"/>
      <c s="1"/>
      <c s="61" t="str">
        <f>$B$101</f>
        <v>項目45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$B$102</f>
        <v>項目46</v>
      </c>
      <c s="20"/>
      <c s="7"/>
      <c s="7"/>
      <c s="57"/>
      <c s="1"/>
      <c s="61" t="str">
        <f>$B$102</f>
        <v>項目46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$B$103</f>
        <v>項目47</v>
      </c>
      <c s="20"/>
      <c s="7"/>
      <c s="7"/>
      <c s="57"/>
      <c s="1"/>
      <c s="61" t="str">
        <f>$B$103</f>
        <v>項目47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$B$104</f>
        <v>項目48</v>
      </c>
      <c s="20"/>
      <c s="7"/>
      <c s="7"/>
      <c s="57"/>
      <c s="1"/>
      <c s="61" t="str">
        <f>$B$104</f>
        <v>項目48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$B$105</f>
        <v>項目49</v>
      </c>
      <c s="20"/>
      <c s="7"/>
      <c s="7"/>
      <c s="57"/>
      <c s="1"/>
      <c s="61" t="str">
        <f>$B$105</f>
        <v>項目49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8" t="str">
        <f>$B$106</f>
        <v>項目50</v>
      </c>
      <c s="21"/>
      <c s="8"/>
      <c s="8"/>
      <c s="52"/>
      <c s="1"/>
      <c s="58" t="str">
        <f>$B$106</f>
        <v>項目50</v>
      </c>
      <c s="21"/>
      <c s="8"/>
      <c s="8"/>
      <c s="52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="81" customFormat="1">
      <c s="5"/>
      <c s="5"/>
      <c s="26"/>
      <c s="26"/>
      <c s="26"/>
      <c s="26"/>
      <c s="5"/>
      <c s="5"/>
      <c s="26"/>
      <c s="26"/>
      <c s="26"/>
      <c s="26"/>
      <c s="5"/>
    </row>
    <row ht="10.5" customHeight="1">
      <c s="1"/>
      <c s="77" t="s">
        <v>43</v>
      </c>
      <c s="13" t="s">
        <v>35</v>
      </c>
      <c s="4"/>
      <c s="4"/>
      <c s="16"/>
      <c s="1"/>
      <c s="76" t="s">
        <v>95</v>
      </c>
      <c s="13" t="s">
        <v>35</v>
      </c>
      <c s="4"/>
      <c s="4"/>
      <c s="1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ht="10.5" customHeight="1">
      <c s="1"/>
      <c s="80"/>
      <c s="14" t="s">
        <v>0</v>
      </c>
      <c s="15" t="s">
        <v>1</v>
      </c>
      <c s="12" t="s">
        <v>2</v>
      </c>
      <c s="39" t="s">
        <v>3</v>
      </c>
      <c s="1"/>
      <c s="73"/>
      <c s="14" t="s">
        <v>0</v>
      </c>
      <c s="15" t="s">
        <v>1</v>
      </c>
      <c s="12" t="s">
        <v>2</v>
      </c>
      <c s="39" t="s">
        <v>3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2" t="str">
        <f>$B$57</f>
        <v>加工食品</v>
      </c>
      <c s="23">
        <v>252126999.92969999</v>
      </c>
      <c s="9">
        <v>48007641924.029404</v>
      </c>
      <c s="9">
        <v>0</v>
      </c>
      <c s="55">
        <v>45673861234.057198</v>
      </c>
      <c s="1"/>
      <c s="62" t="str">
        <f>$B$57</f>
        <v>加工食品</v>
      </c>
      <c s="23">
        <v>252126999.92969999</v>
      </c>
      <c s="9">
        <v>48007641924.029404</v>
      </c>
      <c s="9">
        <v>0</v>
      </c>
      <c s="55">
        <v>45673861234.057198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$B$58</f>
        <v>生鮮食品</v>
      </c>
      <c s="20">
        <v>106745033.2281</v>
      </c>
      <c s="7">
        <v>20682184540.0033</v>
      </c>
      <c s="7">
        <v>0</v>
      </c>
      <c s="57">
        <v>4475863589.3079004</v>
      </c>
      <c s="1"/>
      <c s="61" t="str">
        <f>$B$58</f>
        <v>生鮮食品</v>
      </c>
      <c s="20">
        <v>106745033.2281</v>
      </c>
      <c s="7">
        <v>20682184540.0033</v>
      </c>
      <c s="7">
        <v>0</v>
      </c>
      <c s="57">
        <v>4475863589.3079004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$B$59</f>
        <v>菓子類</v>
      </c>
      <c s="20">
        <v>97716950.6083</v>
      </c>
      <c s="7">
        <v>13741952877.036501</v>
      </c>
      <c s="7">
        <v>0</v>
      </c>
      <c s="57">
        <v>11857842669.501801</v>
      </c>
      <c s="1"/>
      <c s="61" t="str">
        <f>$B$59</f>
        <v>菓子類</v>
      </c>
      <c s="20">
        <v>97716950.6083</v>
      </c>
      <c s="7">
        <v>13741952877.036501</v>
      </c>
      <c s="7">
        <v>0</v>
      </c>
      <c s="57">
        <v>11857842669.501801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$B$60</f>
        <v>項目4</v>
      </c>
      <c s="20"/>
      <c s="7"/>
      <c s="7"/>
      <c s="57"/>
      <c s="1"/>
      <c s="61" t="str">
        <f>$B$60</f>
        <v>項目4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$B$61</f>
        <v>項目5</v>
      </c>
      <c s="20"/>
      <c s="7"/>
      <c s="7"/>
      <c s="57"/>
      <c s="1"/>
      <c s="61" t="str">
        <f>$B$61</f>
        <v>項目5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$B$62</f>
        <v>項目6</v>
      </c>
      <c s="20"/>
      <c s="7"/>
      <c s="7"/>
      <c s="57"/>
      <c s="1"/>
      <c s="61" t="str">
        <f>$B$62</f>
        <v>項目6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$B$63</f>
        <v>項目7</v>
      </c>
      <c s="20"/>
      <c s="7"/>
      <c s="7"/>
      <c s="57"/>
      <c s="1"/>
      <c s="61" t="str">
        <f>$B$63</f>
        <v>項目7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$B$64</f>
        <v>項目8</v>
      </c>
      <c s="20"/>
      <c s="7"/>
      <c s="7"/>
      <c s="57"/>
      <c s="1"/>
      <c s="61" t="str">
        <f>$B$64</f>
        <v>項目8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$B$65</f>
        <v>項目9</v>
      </c>
      <c s="20"/>
      <c s="7"/>
      <c s="7"/>
      <c s="57"/>
      <c s="1"/>
      <c s="61" t="str">
        <f>$B$65</f>
        <v>項目9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$B$66</f>
        <v>項目10</v>
      </c>
      <c s="20"/>
      <c s="7"/>
      <c s="7"/>
      <c s="57"/>
      <c s="1"/>
      <c s="61" t="str">
        <f>$B$66</f>
        <v>項目10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$B$67</f>
        <v>項目11</v>
      </c>
      <c s="20"/>
      <c s="7"/>
      <c s="7"/>
      <c s="57"/>
      <c s="1"/>
      <c s="61" t="str">
        <f>$B$67</f>
        <v>項目11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$B$68</f>
        <v>項目12</v>
      </c>
      <c s="20"/>
      <c s="7"/>
      <c s="7"/>
      <c s="57"/>
      <c s="1"/>
      <c s="61" t="str">
        <f>$B$68</f>
        <v>項目12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$B$69</f>
        <v>項目13</v>
      </c>
      <c s="20"/>
      <c s="7"/>
      <c s="7"/>
      <c s="57"/>
      <c s="1"/>
      <c s="61" t="str">
        <f>$B$69</f>
        <v>項目13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$B$70</f>
        <v>項目14</v>
      </c>
      <c s="20"/>
      <c s="7"/>
      <c s="7"/>
      <c s="57"/>
      <c s="1"/>
      <c s="61" t="str">
        <f>$B$70</f>
        <v>項目14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$B$71</f>
        <v>項目15</v>
      </c>
      <c s="20"/>
      <c s="7"/>
      <c s="7"/>
      <c s="57"/>
      <c s="1"/>
      <c s="61" t="str">
        <f>$B$71</f>
        <v>項目15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$B$72</f>
        <v>項目16</v>
      </c>
      <c s="20"/>
      <c s="7"/>
      <c s="7"/>
      <c s="57"/>
      <c s="1"/>
      <c s="61" t="str">
        <f>$B$72</f>
        <v>項目16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$B$73</f>
        <v>項目17</v>
      </c>
      <c s="20"/>
      <c s="7"/>
      <c s="7"/>
      <c s="57"/>
      <c s="1"/>
      <c s="61" t="str">
        <f>$B$73</f>
        <v>項目17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$B$74</f>
        <v>項目18</v>
      </c>
      <c s="20"/>
      <c s="7"/>
      <c s="7"/>
      <c s="57"/>
      <c s="1"/>
      <c s="61" t="str">
        <f>$B$74</f>
        <v>項目18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$B$75</f>
        <v>項目19</v>
      </c>
      <c s="20"/>
      <c s="7"/>
      <c s="7"/>
      <c s="57"/>
      <c s="1"/>
      <c s="61" t="str">
        <f>$B$75</f>
        <v>項目19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$B$76</f>
        <v>項目20</v>
      </c>
      <c s="20"/>
      <c s="7"/>
      <c s="7"/>
      <c s="57"/>
      <c s="1"/>
      <c s="61" t="str">
        <f>$B$76</f>
        <v>項目20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$B$77</f>
        <v>項目21</v>
      </c>
      <c s="20"/>
      <c s="7"/>
      <c s="7"/>
      <c s="57"/>
      <c s="1"/>
      <c s="61" t="str">
        <f>$B$77</f>
        <v>項目21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$B$78</f>
        <v>項目22</v>
      </c>
      <c s="20"/>
      <c s="7"/>
      <c s="7"/>
      <c s="57"/>
      <c s="1"/>
      <c s="61" t="str">
        <f>$B$78</f>
        <v>項目22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$B$79</f>
        <v>項目23</v>
      </c>
      <c s="20"/>
      <c s="7"/>
      <c s="7"/>
      <c s="57"/>
      <c s="1"/>
      <c s="61" t="str">
        <f>$B$79</f>
        <v>項目23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$B$80</f>
        <v>項目24</v>
      </c>
      <c s="20"/>
      <c s="7"/>
      <c s="7"/>
      <c s="57"/>
      <c s="1"/>
      <c s="61" t="str">
        <f>$B$80</f>
        <v>項目24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$B$81</f>
        <v>項目25</v>
      </c>
      <c s="20"/>
      <c s="7"/>
      <c s="7"/>
      <c s="57"/>
      <c s="1"/>
      <c s="61" t="str">
        <f>$B$81</f>
        <v>項目25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$B$82</f>
        <v>項目26</v>
      </c>
      <c s="20"/>
      <c s="7"/>
      <c s="7"/>
      <c s="57"/>
      <c s="1"/>
      <c s="61" t="str">
        <f>$B$82</f>
        <v>項目26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$B$83</f>
        <v>項目27</v>
      </c>
      <c s="20"/>
      <c s="7"/>
      <c s="7"/>
      <c s="57"/>
      <c s="1"/>
      <c s="61" t="str">
        <f>$B$83</f>
        <v>項目27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$B$84</f>
        <v>項目28</v>
      </c>
      <c s="20"/>
      <c s="7"/>
      <c s="7"/>
      <c s="57"/>
      <c s="1"/>
      <c s="61" t="str">
        <f>$B$84</f>
        <v>項目28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$B$85</f>
        <v>項目29</v>
      </c>
      <c s="20"/>
      <c s="7"/>
      <c s="7"/>
      <c s="57"/>
      <c s="1"/>
      <c s="61" t="str">
        <f>$B$85</f>
        <v>項目29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$B$86</f>
        <v>項目30</v>
      </c>
      <c s="20"/>
      <c s="7"/>
      <c s="7"/>
      <c s="57"/>
      <c s="1"/>
      <c s="61" t="str">
        <f>$B$86</f>
        <v>項目30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$B$87</f>
        <v>項目31</v>
      </c>
      <c s="20"/>
      <c s="7"/>
      <c s="7"/>
      <c s="57"/>
      <c s="1"/>
      <c s="61" t="str">
        <f>$B$87</f>
        <v>項目31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$B$88</f>
        <v>項目32</v>
      </c>
      <c s="20"/>
      <c s="7"/>
      <c s="7"/>
      <c s="57"/>
      <c s="1"/>
      <c s="61" t="str">
        <f>$B$88</f>
        <v>項目32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$B$89</f>
        <v>項目33</v>
      </c>
      <c s="20"/>
      <c s="7"/>
      <c s="7"/>
      <c s="57"/>
      <c s="1"/>
      <c s="61" t="str">
        <f>$B$89</f>
        <v>項目33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$B$90</f>
        <v>項目34</v>
      </c>
      <c s="20"/>
      <c s="7"/>
      <c s="7"/>
      <c s="57"/>
      <c s="1"/>
      <c s="61" t="str">
        <f>$B$90</f>
        <v>項目34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$B$91</f>
        <v>項目35</v>
      </c>
      <c s="20"/>
      <c s="7"/>
      <c s="7"/>
      <c s="57"/>
      <c s="1"/>
      <c s="61" t="str">
        <f>$B$91</f>
        <v>項目35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$B$72</f>
        <v>項目16</v>
      </c>
      <c s="20"/>
      <c s="7"/>
      <c s="7"/>
      <c s="57"/>
      <c s="1"/>
      <c s="61" t="str">
        <f>$B$92</f>
        <v>項目36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$B$93</f>
        <v>項目37</v>
      </c>
      <c s="20"/>
      <c s="7"/>
      <c s="7"/>
      <c s="57"/>
      <c s="1"/>
      <c s="61" t="str">
        <f>$B$93</f>
        <v>項目37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$B$94</f>
        <v>項目38</v>
      </c>
      <c s="20"/>
      <c s="7"/>
      <c s="7"/>
      <c s="57"/>
      <c s="1"/>
      <c s="61" t="str">
        <f>$B$94</f>
        <v>項目38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$B$95</f>
        <v>項目39</v>
      </c>
      <c s="20"/>
      <c s="7"/>
      <c s="7"/>
      <c s="57"/>
      <c s="1"/>
      <c s="61" t="str">
        <f>$B$95</f>
        <v>項目39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$B$96</f>
        <v>項目40</v>
      </c>
      <c s="20"/>
      <c s="7"/>
      <c s="7"/>
      <c s="57"/>
      <c s="1"/>
      <c s="61" t="str">
        <f>$B$96</f>
        <v>項目40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$B$97</f>
        <v>項目41</v>
      </c>
      <c s="20"/>
      <c s="7"/>
      <c s="7"/>
      <c s="57"/>
      <c s="1"/>
      <c s="61" t="str">
        <f>$B$97</f>
        <v>項目41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$B$98</f>
        <v>項目42</v>
      </c>
      <c s="20"/>
      <c s="7"/>
      <c s="7"/>
      <c s="57"/>
      <c s="1"/>
      <c s="61" t="str">
        <f>$B$98</f>
        <v>項目42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$B$99</f>
        <v>項目43</v>
      </c>
      <c s="20"/>
      <c s="7"/>
      <c s="7"/>
      <c s="57"/>
      <c s="1"/>
      <c s="61" t="str">
        <f>$B$99</f>
        <v>項目43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$B$100</f>
        <v>項目44</v>
      </c>
      <c s="20"/>
      <c s="7"/>
      <c s="7"/>
      <c s="57"/>
      <c s="1"/>
      <c s="61" t="str">
        <f>$B$100</f>
        <v>項目44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$B$101</f>
        <v>項目45</v>
      </c>
      <c s="20"/>
      <c s="7"/>
      <c s="7"/>
      <c s="57"/>
      <c s="1"/>
      <c s="61" t="str">
        <f>$B$101</f>
        <v>項目45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$B$102</f>
        <v>項目46</v>
      </c>
      <c s="20"/>
      <c s="7"/>
      <c s="7"/>
      <c s="57"/>
      <c s="1"/>
      <c s="61" t="str">
        <f>$B$102</f>
        <v>項目46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$B$103</f>
        <v>項目47</v>
      </c>
      <c s="20"/>
      <c s="7"/>
      <c s="7"/>
      <c s="57"/>
      <c s="1"/>
      <c s="61" t="str">
        <f>$B$103</f>
        <v>項目47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$B$104</f>
        <v>項目48</v>
      </c>
      <c s="20"/>
      <c s="7"/>
      <c s="7"/>
      <c s="57"/>
      <c s="1"/>
      <c s="61" t="str">
        <f>$B$104</f>
        <v>項目48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$B$105</f>
        <v>項目49</v>
      </c>
      <c s="20"/>
      <c s="7"/>
      <c s="7"/>
      <c s="57"/>
      <c s="1"/>
      <c s="61" t="str">
        <f>$B$105</f>
        <v>項目49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8" t="str">
        <f>$B$106</f>
        <v>項目50</v>
      </c>
      <c s="21"/>
      <c s="8"/>
      <c s="8"/>
      <c s="52"/>
      <c s="1"/>
      <c s="58" t="str">
        <f>$B$106</f>
        <v>項目50</v>
      </c>
      <c s="21"/>
      <c s="8"/>
      <c s="8"/>
      <c s="52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="81" customFormat="1">
      <c s="5"/>
      <c s="5"/>
      <c s="26">
        <v>0</v>
      </c>
      <c s="26"/>
      <c s="26"/>
      <c s="26"/>
      <c s="5">
        <v>1</v>
      </c>
      <c s="5"/>
      <c s="26"/>
      <c s="26"/>
      <c s="26">
        <v>2</v>
      </c>
      <c s="26"/>
      <c s="5"/>
      <c s="5"/>
      <c s="5">
        <v>3</v>
      </c>
      <c s="5"/>
      <c s="5"/>
      <c s="5"/>
      <c s="5">
        <v>4</v>
      </c>
      <c s="5"/>
      <c s="5"/>
      <c s="5"/>
      <c s="5">
        <v>5</v>
      </c>
      <c s="5"/>
      <c s="5"/>
      <c s="5"/>
      <c s="5">
        <v>6</v>
      </c>
      <c s="5"/>
      <c s="5"/>
      <c s="5"/>
      <c s="5">
        <v>7</v>
      </c>
      <c s="5"/>
      <c s="5"/>
      <c s="5"/>
      <c s="5">
        <v>8</v>
      </c>
      <c s="5"/>
      <c s="5"/>
      <c s="5"/>
      <c s="5">
        <v>9</v>
      </c>
      <c s="5"/>
      <c s="5"/>
      <c s="5"/>
      <c s="5">
        <v>10</v>
      </c>
      <c s="5"/>
      <c s="5"/>
      <c s="5"/>
      <c s="5">
        <v>11</v>
      </c>
      <c s="5"/>
      <c s="5"/>
      <c s="5"/>
      <c s="5"/>
    </row>
    <row ht="10.5" customHeight="1" s="165" customFormat="1">
      <c s="85"/>
      <c s="74" t="s">
        <v>36</v>
      </c>
      <c s="13" t="str">
        <f>INDEX(INFO!$AC$4:$AN$5,1,DATA!C$213+1)</f>
        <v>4月</v>
      </c>
      <c s="4"/>
      <c s="4"/>
      <c s="16"/>
      <c s="13" t="str">
        <f>INDEX(INFO!$AC$4:$AN$5,1,DATA!G$213+1)</f>
        <v>5月</v>
      </c>
      <c s="4"/>
      <c s="4"/>
      <c s="16"/>
      <c s="13" t="str">
        <f>INDEX(INFO!$AC$4:$AN$5,1,DATA!K$213+1)</f>
        <v>6月</v>
      </c>
      <c s="4"/>
      <c s="4"/>
      <c s="16"/>
      <c s="13" t="str">
        <f>INDEX(INFO!$AC$4:$AN$5,1,DATA!O$213+1)</f>
        <v>7月</v>
      </c>
      <c s="4"/>
      <c s="4"/>
      <c s="16"/>
      <c s="13" t="str">
        <f>INDEX(INFO!$AC$4:$AN$5,1,DATA!S$213+1)</f>
        <v>8月</v>
      </c>
      <c s="4"/>
      <c s="4"/>
      <c s="16"/>
      <c s="13" t="str">
        <f>INDEX(INFO!$AC$4:$AN$5,1,DATA!W$213+1)</f>
        <v>9月</v>
      </c>
      <c s="4"/>
      <c s="4"/>
      <c s="16"/>
      <c s="13" t="str">
        <f>INDEX(INFO!$AC$4:$AN$5,1,DATA!AA$213+1)</f>
        <v>10月</v>
      </c>
      <c s="4"/>
      <c s="4"/>
      <c s="16"/>
      <c s="13" t="str">
        <f>INDEX(INFO!$AC$4:$AN$5,1,DATA!AE$213+1)</f>
        <v>11月</v>
      </c>
      <c s="4"/>
      <c s="4"/>
      <c s="16"/>
      <c s="13" t="str">
        <f>INDEX(INFO!$AC$4:$AN$5,1,DATA!AI$213+1)</f>
        <v>12月</v>
      </c>
      <c s="4"/>
      <c s="4"/>
      <c s="16"/>
      <c s="13" t="str">
        <f>INDEX(INFO!$AC$4:$AN$5,1,DATA!AM$213+1)</f>
        <v>1月</v>
      </c>
      <c s="4"/>
      <c s="4"/>
      <c s="16"/>
      <c s="13" t="str">
        <f>INDEX(INFO!$AC$4:$AN$5,1,DATA!AQ$213+1)</f>
        <v>2月</v>
      </c>
      <c s="4"/>
      <c s="4"/>
      <c s="16"/>
      <c s="13" t="str">
        <f>INDEX(INFO!$AC$4:$AN$5,1,DATA!AU$213+1)</f>
        <v>3月</v>
      </c>
      <c s="4"/>
      <c s="4"/>
      <c s="16"/>
      <c s="85"/>
    </row>
    <row s="165" customFormat="1">
      <c s="85"/>
      <c s="72"/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39" t="s">
        <v>3</v>
      </c>
      <c s="85"/>
    </row>
    <row>
      <c s="1"/>
      <c s="62" t="str">
        <f>$B$57</f>
        <v>加工食品</v>
      </c>
      <c s="200">
        <v>21465684.214899998</v>
      </c>
      <c s="142">
        <v>3946504086.8632002</v>
      </c>
      <c s="142">
        <v>0</v>
      </c>
      <c s="142">
        <v>2972091399.9057999</v>
      </c>
      <c s="23">
        <v>21526253.705400001</v>
      </c>
      <c s="9">
        <v>3971531297.3945999</v>
      </c>
      <c s="9">
        <v>0</v>
      </c>
      <c s="9">
        <v>3022771912.8871999</v>
      </c>
      <c s="200">
        <v>20902876.4201</v>
      </c>
      <c s="142">
        <v>3871812869.7519002</v>
      </c>
      <c s="142">
        <v>0</v>
      </c>
      <c s="142">
        <v>3048405624.0948</v>
      </c>
      <c s="23">
        <v>21125168.973099999</v>
      </c>
      <c s="9">
        <v>3926607697.8435998</v>
      </c>
      <c s="9">
        <v>0</v>
      </c>
      <c s="9">
        <v>3010522094.5296998</v>
      </c>
      <c s="23">
        <v>21301898.755800001</v>
      </c>
      <c s="9">
        <v>4098441443.6834002</v>
      </c>
      <c s="9">
        <v>0</v>
      </c>
      <c s="9">
        <v>3062224829.4225998</v>
      </c>
      <c s="23">
        <v>21120221.978</v>
      </c>
      <c s="9">
        <v>3957499616.8301001</v>
      </c>
      <c s="9">
        <v>0</v>
      </c>
      <c s="9">
        <v>3049012593.0472002</v>
      </c>
      <c s="23">
        <v>21728099.320099998</v>
      </c>
      <c s="9">
        <v>4020451468.2774</v>
      </c>
      <c s="9">
        <v>0</v>
      </c>
      <c s="9">
        <v>3032098997.1841998</v>
      </c>
      <c s="23">
        <v>20894975.1987</v>
      </c>
      <c s="9">
        <v>3878326893.0830002</v>
      </c>
      <c s="9">
        <v>0</v>
      </c>
      <c s="9">
        <v>2933185264.1903</v>
      </c>
      <c s="23">
        <v>23547192.8442</v>
      </c>
      <c s="9">
        <v>4887963446.8533001</v>
      </c>
      <c s="9">
        <v>0</v>
      </c>
      <c s="9">
        <v>3563816675.191</v>
      </c>
      <c s="23">
        <v>20139398.8473</v>
      </c>
      <c s="9">
        <v>3781648518.9917998</v>
      </c>
      <c s="9">
        <v>0</v>
      </c>
      <c s="9">
        <v>2807304821.2793999</v>
      </c>
      <c s="23">
        <v>21254650.056899998</v>
      </c>
      <c s="9">
        <v>3998841873.349</v>
      </c>
      <c s="9">
        <v>0</v>
      </c>
      <c s="9">
        <v>3033322248.8978</v>
      </c>
      <c s="23">
        <v>23127781.3453</v>
      </c>
      <c s="9">
        <v>4379669190.9587002</v>
      </c>
      <c s="9">
        <v>0</v>
      </c>
      <c s="55">
        <v>3475929952.2950001</v>
      </c>
      <c s="1"/>
    </row>
    <row>
      <c s="1"/>
      <c s="61" t="str">
        <f>$B$58</f>
        <v>生鮮食品</v>
      </c>
      <c s="20">
        <v>18996012.3783</v>
      </c>
      <c s="7">
        <v>4100224923.6820002</v>
      </c>
      <c s="7">
        <v>0</v>
      </c>
      <c s="7">
        <v>374884857.88990003</v>
      </c>
      <c s="20">
        <v>19093899.4531</v>
      </c>
      <c s="7">
        <v>4116517669.5493999</v>
      </c>
      <c s="7">
        <v>0</v>
      </c>
      <c s="7">
        <v>362067382.49059999</v>
      </c>
      <c s="20">
        <v>18264559.430300001</v>
      </c>
      <c s="7">
        <v>3979256460.4478998</v>
      </c>
      <c s="7">
        <v>0</v>
      </c>
      <c s="7">
        <v>366746301.79430002</v>
      </c>
      <c s="20">
        <v>17862776.4267</v>
      </c>
      <c s="7">
        <v>3955551913.2472</v>
      </c>
      <c s="7">
        <v>0</v>
      </c>
      <c s="7">
        <v>369846840.22369999</v>
      </c>
      <c s="20">
        <v>18411737.576200001</v>
      </c>
      <c s="7">
        <v>4311220438.9890003</v>
      </c>
      <c s="7">
        <v>0</v>
      </c>
      <c s="7">
        <v>378685728.5158</v>
      </c>
      <c s="20">
        <v>18508697.690299999</v>
      </c>
      <c s="7">
        <v>4162987912.8849001</v>
      </c>
      <c s="7">
        <v>0</v>
      </c>
      <c s="7">
        <v>372121284.69239998</v>
      </c>
      <c s="20">
        <v>19684109.170899998</v>
      </c>
      <c s="7">
        <v>4269068609.2112999</v>
      </c>
      <c s="7">
        <v>0</v>
      </c>
      <c s="7">
        <v>395637532.63739997</v>
      </c>
      <c s="20">
        <v>18571740.5244</v>
      </c>
      <c s="7">
        <v>4017732129.7891998</v>
      </c>
      <c s="7">
        <v>0</v>
      </c>
      <c s="7">
        <v>393968861.63529998</v>
      </c>
      <c s="20">
        <v>19913020.7894</v>
      </c>
      <c s="7">
        <v>5013957998.5754004</v>
      </c>
      <c s="7">
        <v>0</v>
      </c>
      <c s="7">
        <v>434920534.86489999</v>
      </c>
      <c s="20">
        <v>17835623.0145</v>
      </c>
      <c s="7">
        <v>4128172795.1278</v>
      </c>
      <c s="7">
        <v>0</v>
      </c>
      <c s="7">
        <v>381301921.64829999</v>
      </c>
      <c s="20">
        <v>18110553.858100001</v>
      </c>
      <c s="7">
        <v>4011830988.1465998</v>
      </c>
      <c s="7">
        <v>0</v>
      </c>
      <c s="7">
        <v>377684556.47710001</v>
      </c>
      <c s="20">
        <v>19788964.8761</v>
      </c>
      <c s="7">
        <v>4414592683.7258997</v>
      </c>
      <c s="7">
        <v>0</v>
      </c>
      <c s="57">
        <v>425098628.26749998</v>
      </c>
      <c s="1"/>
    </row>
    <row>
      <c s="1"/>
      <c s="61" t="str">
        <f>$B$59</f>
        <v>菓子類</v>
      </c>
      <c s="20">
        <v>7136769.9910000004</v>
      </c>
      <c s="7">
        <v>981868212.14199996</v>
      </c>
      <c s="7">
        <v>0</v>
      </c>
      <c s="7">
        <v>783158757.56159997</v>
      </c>
      <c s="20">
        <v>7309926.0483999997</v>
      </c>
      <c s="7">
        <v>998629102.04320002</v>
      </c>
      <c s="7">
        <v>0</v>
      </c>
      <c s="7">
        <v>851718388.39479995</v>
      </c>
      <c s="20">
        <v>7139560.9755999995</v>
      </c>
      <c s="7">
        <v>969685323.9914</v>
      </c>
      <c s="7">
        <v>0</v>
      </c>
      <c s="7">
        <v>857270281.66050005</v>
      </c>
      <c s="20">
        <v>7346791.0181999998</v>
      </c>
      <c s="7">
        <v>993141710.90680003</v>
      </c>
      <c s="7">
        <v>0</v>
      </c>
      <c s="7">
        <v>902520171.21029997</v>
      </c>
      <c s="20">
        <v>7556608.7615999999</v>
      </c>
      <c s="7">
        <v>1044617757.9622</v>
      </c>
      <c s="7">
        <v>0</v>
      </c>
      <c s="7">
        <v>945776007.7464</v>
      </c>
      <c s="20">
        <v>6856682.8137999997</v>
      </c>
      <c s="7">
        <v>947113228.03629994</v>
      </c>
      <c s="7">
        <v>0</v>
      </c>
      <c s="7">
        <v>819246445.2493</v>
      </c>
      <c s="20">
        <v>6814843.7800000003</v>
      </c>
      <c s="7">
        <v>942774546.42219996</v>
      </c>
      <c s="7">
        <v>0</v>
      </c>
      <c s="7">
        <v>762545831.62300003</v>
      </c>
      <c s="20">
        <v>6307931.3583000004</v>
      </c>
      <c s="7">
        <v>889805684.19149995</v>
      </c>
      <c s="7">
        <v>0</v>
      </c>
      <c s="7">
        <v>681669972.06570005</v>
      </c>
      <c s="20">
        <v>6820768.1705</v>
      </c>
      <c s="7">
        <v>1062810833.1648999</v>
      </c>
      <c s="7">
        <v>0</v>
      </c>
      <c s="7">
        <v>729990965.36380005</v>
      </c>
      <c s="20">
        <v>6256911.3033999996</v>
      </c>
      <c s="7">
        <v>898534501.71759999</v>
      </c>
      <c s="7">
        <v>0</v>
      </c>
      <c s="7">
        <v>677569974.52600002</v>
      </c>
      <c s="20">
        <v>6900267.4526000004</v>
      </c>
      <c s="7">
        <v>993338382.27919996</v>
      </c>
      <c s="7">
        <v>0</v>
      </c>
      <c s="7">
        <v>725861494.42900002</v>
      </c>
      <c s="20">
        <v>7599768.4617999997</v>
      </c>
      <c s="7">
        <v>1084319685.7103</v>
      </c>
      <c s="7">
        <v>0</v>
      </c>
      <c s="57">
        <v>820196575.31789994</v>
      </c>
      <c s="1"/>
    </row>
    <row>
      <c s="1"/>
      <c s="61" t="str">
        <f>$B$60</f>
        <v>項目4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$B$61</f>
        <v>項目5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$B$62</f>
        <v>項目6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$B$63</f>
        <v>項目7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$B$64</f>
        <v>項目8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$B$65</f>
        <v>項目9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$B$66</f>
        <v>項目10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$B$67</f>
        <v>項目11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$B$68</f>
        <v>項目12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$B$69</f>
        <v>項目13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$B$70</f>
        <v>項目14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$B$71</f>
        <v>項目15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$B$72</f>
        <v>項目16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$B$73</f>
        <v>項目17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$B$74</f>
        <v>項目18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$B$75</f>
        <v>項目19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$B$76</f>
        <v>項目20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$B$77</f>
        <v>項目21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$B$78</f>
        <v>項目22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$B$79</f>
        <v>項目23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$B$80</f>
        <v>項目24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$B$81</f>
        <v>項目25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$B$82</f>
        <v>項目26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$B$83</f>
        <v>項目27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$B$84</f>
        <v>項目28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$B$85</f>
        <v>項目29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$B$86</f>
        <v>項目30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$B$87</f>
        <v>項目31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$B$88</f>
        <v>項目32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$B$89</f>
        <v>項目33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$B$90</f>
        <v>項目34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$B$91</f>
        <v>項目35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$B$92</f>
        <v>項目36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$B$93</f>
        <v>項目37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$B$94</f>
        <v>項目38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$B$95</f>
        <v>項目39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$B$96</f>
        <v>項目40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$B$97</f>
        <v>項目41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$B$98</f>
        <v>項目42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$B$99</f>
        <v>項目43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$B$100</f>
        <v>項目44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$B$101</f>
        <v>項目45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$B$102</f>
        <v>項目46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$B$103</f>
        <v>項目47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$B$104</f>
        <v>項目48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$B$105</f>
        <v>項目49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58" t="str">
        <f>$B$106</f>
        <v>項目50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2"/>
      <c s="1"/>
    </row>
    <row s="81" customFormat="1">
      <c s="5"/>
      <c s="5"/>
      <c s="26"/>
      <c s="26"/>
      <c s="26"/>
      <c s="26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0.5" customHeight="1" s="165" customFormat="1">
      <c s="85"/>
      <c s="74" t="s">
        <v>37</v>
      </c>
      <c s="13" t="str">
        <f>INDEX(INFO!$AC$4:$AN$5,1,DATA!C$213+1)</f>
        <v>4月</v>
      </c>
      <c s="4"/>
      <c s="4"/>
      <c s="16"/>
      <c s="13" t="str">
        <f>INDEX(INFO!$AC$4:$AN$5,1,DATA!G$213+1)</f>
        <v>5月</v>
      </c>
      <c s="4"/>
      <c s="4"/>
      <c s="16"/>
      <c s="13" t="str">
        <f>INDEX(INFO!$AC$4:$AN$5,1,DATA!K$213+1)</f>
        <v>6月</v>
      </c>
      <c s="4"/>
      <c s="4"/>
      <c s="16"/>
      <c s="13" t="str">
        <f>INDEX(INFO!$AC$4:$AN$5,1,DATA!O$213+1)</f>
        <v>7月</v>
      </c>
      <c s="4"/>
      <c s="4"/>
      <c s="16"/>
      <c s="13" t="str">
        <f>INDEX(INFO!$AC$4:$AN$5,1,DATA!S$213+1)</f>
        <v>8月</v>
      </c>
      <c s="4"/>
      <c s="4"/>
      <c s="16"/>
      <c s="13" t="str">
        <f>INDEX(INFO!$AC$4:$AN$5,1,DATA!W$213+1)</f>
        <v>9月</v>
      </c>
      <c s="4"/>
      <c s="4"/>
      <c s="16"/>
      <c s="13" t="str">
        <f>INDEX(INFO!$AC$4:$AN$5,1,DATA!AA$213+1)</f>
        <v>10月</v>
      </c>
      <c s="4"/>
      <c s="4"/>
      <c s="16"/>
      <c s="13" t="str">
        <f>INDEX(INFO!$AC$4:$AN$5,1,DATA!AE$213+1)</f>
        <v>11月</v>
      </c>
      <c s="4"/>
      <c s="4"/>
      <c s="16"/>
      <c s="13" t="str">
        <f>INDEX(INFO!$AC$4:$AN$5,1,DATA!AI$213+1)</f>
        <v>12月</v>
      </c>
      <c s="4"/>
      <c s="4"/>
      <c s="16"/>
      <c s="13" t="str">
        <f>INDEX(INFO!$AC$4:$AN$5,1,DATA!AM$213+1)</f>
        <v>1月</v>
      </c>
      <c s="4"/>
      <c s="4"/>
      <c s="16"/>
      <c s="13" t="str">
        <f>INDEX(INFO!$AC$4:$AN$5,1,DATA!AQ$213+1)</f>
        <v>2月</v>
      </c>
      <c s="4"/>
      <c s="4"/>
      <c s="16"/>
      <c s="13" t="str">
        <f>INDEX(INFO!$AC$4:$AN$5,1,DATA!AU$213+1)</f>
        <v>3月</v>
      </c>
      <c s="4"/>
      <c s="4"/>
      <c s="16"/>
      <c s="85"/>
    </row>
    <row s="165" customFormat="1">
      <c s="85"/>
      <c s="72"/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39" t="s">
        <v>3</v>
      </c>
      <c s="85"/>
    </row>
    <row>
      <c s="1"/>
      <c s="62" t="str">
        <f>$B$57</f>
        <v>加工食品</v>
      </c>
      <c s="23">
        <v>16726665.775599999</v>
      </c>
      <c s="9">
        <v>2854683334.0440998</v>
      </c>
      <c s="9">
        <v>0</v>
      </c>
      <c s="9">
        <v>3019410297.0925002</v>
      </c>
      <c s="23">
        <v>16863880.7766</v>
      </c>
      <c s="9">
        <v>2890674239.1574001</v>
      </c>
      <c s="9">
        <v>0</v>
      </c>
      <c s="9">
        <v>3070016065.1827002</v>
      </c>
      <c s="23">
        <v>16529079.9684</v>
      </c>
      <c s="9">
        <v>2848409438.9521999</v>
      </c>
      <c s="9">
        <v>0</v>
      </c>
      <c s="9">
        <v>3090652349.9562001</v>
      </c>
      <c s="23">
        <v>16778755.2612</v>
      </c>
      <c s="9">
        <v>2907473689.8221002</v>
      </c>
      <c s="9">
        <v>0</v>
      </c>
      <c s="9">
        <v>3179674731.3014998</v>
      </c>
      <c s="23">
        <v>16730400.312200001</v>
      </c>
      <c s="9">
        <v>2933368663.8578</v>
      </c>
      <c s="9">
        <v>0</v>
      </c>
      <c s="9">
        <v>3138396610.6378002</v>
      </c>
      <c s="23">
        <v>16564570.472899999</v>
      </c>
      <c s="9">
        <v>2874834745.9703002</v>
      </c>
      <c s="9">
        <v>0</v>
      </c>
      <c s="9">
        <v>3115319803.9060001</v>
      </c>
      <c s="23">
        <v>17177106.9947</v>
      </c>
      <c s="9">
        <v>2953157508.1208</v>
      </c>
      <c s="9">
        <v>0</v>
      </c>
      <c s="9">
        <v>3152146199.7564001</v>
      </c>
      <c s="23">
        <v>16415993.916300001</v>
      </c>
      <c s="9">
        <v>2838582885.0352001</v>
      </c>
      <c s="9">
        <v>0</v>
      </c>
      <c s="9">
        <v>3029401441.4931998</v>
      </c>
      <c s="23">
        <v>18700888.104699999</v>
      </c>
      <c s="9">
        <v>3600216184.0123</v>
      </c>
      <c s="9">
        <v>0</v>
      </c>
      <c s="9">
        <v>3673875645.7442002</v>
      </c>
      <c s="23">
        <v>20548213.159899998</v>
      </c>
      <c s="9">
        <v>3823323064.1687999</v>
      </c>
      <c s="9">
        <v>0</v>
      </c>
      <c s="9">
        <v>2925450479.7389998</v>
      </c>
      <c s="23">
        <v>20083217.417199999</v>
      </c>
      <c s="9">
        <v>3700971689.9095001</v>
      </c>
      <c s="9">
        <v>0</v>
      </c>
      <c s="9">
        <v>2826347071.8752999</v>
      </c>
      <c s="23">
        <v>21799197.686900001</v>
      </c>
      <c s="9">
        <v>4006515159.0633998</v>
      </c>
      <c s="9">
        <v>0</v>
      </c>
      <c s="55">
        <v>3047584003.5771999</v>
      </c>
      <c s="1"/>
    </row>
    <row>
      <c s="1"/>
      <c s="61" t="str">
        <f>$B$58</f>
        <v>生鮮食品</v>
      </c>
      <c s="20">
        <v>4067490.2777</v>
      </c>
      <c s="7">
        <v>507749153.51190001</v>
      </c>
      <c s="7">
        <v>0</v>
      </c>
      <c s="7">
        <v>343661059.47729999</v>
      </c>
      <c s="20">
        <v>4238838.1018000003</v>
      </c>
      <c s="7">
        <v>532880927.01959997</v>
      </c>
      <c s="7">
        <v>0</v>
      </c>
      <c s="7">
        <v>344350681.93919998</v>
      </c>
      <c s="20">
        <v>4101908.0287000001</v>
      </c>
      <c s="7">
        <v>531195387.30559999</v>
      </c>
      <c s="7">
        <v>0</v>
      </c>
      <c s="7">
        <v>325198342.75059998</v>
      </c>
      <c s="20">
        <v>3986102.3158</v>
      </c>
      <c s="7">
        <v>514895609.89709997</v>
      </c>
      <c s="7">
        <v>0</v>
      </c>
      <c s="7">
        <v>307693140.95560002</v>
      </c>
      <c s="20">
        <v>3927728.6066999999</v>
      </c>
      <c s="7">
        <v>525482944.05400002</v>
      </c>
      <c s="7">
        <v>0</v>
      </c>
      <c s="7">
        <v>315801529.38980001</v>
      </c>
      <c s="20">
        <v>4044738.8928</v>
      </c>
      <c s="7">
        <v>537961829.34239995</v>
      </c>
      <c s="7">
        <v>0</v>
      </c>
      <c s="7">
        <v>338293695.68849999</v>
      </c>
      <c s="20">
        <v>4293317.7674000002</v>
      </c>
      <c s="7">
        <v>569205406.67509997</v>
      </c>
      <c s="7">
        <v>0</v>
      </c>
      <c s="7">
        <v>368240954.99970001</v>
      </c>
      <c s="20">
        <v>4120187.4473999999</v>
      </c>
      <c s="7">
        <v>538557926.95120001</v>
      </c>
      <c s="7">
        <v>0</v>
      </c>
      <c s="7">
        <v>352812959.69419998</v>
      </c>
      <c s="20">
        <v>4260003.4769000001</v>
      </c>
      <c s="7">
        <v>582978532.70179999</v>
      </c>
      <c s="7">
        <v>0</v>
      </c>
      <c s="7">
        <v>368303646.2705</v>
      </c>
      <c s="20">
        <v>17837044.793900002</v>
      </c>
      <c s="7">
        <v>4143607603.4986</v>
      </c>
      <c s="7">
        <v>0</v>
      </c>
      <c s="7">
        <v>384520958.50120002</v>
      </c>
      <c s="20">
        <v>17505768.558600001</v>
      </c>
      <c s="7">
        <v>3843732803.1647</v>
      </c>
      <c s="7">
        <v>0</v>
      </c>
      <c s="7">
        <v>368401320.45920002</v>
      </c>
      <c s="20">
        <v>19125546.806699999</v>
      </c>
      <c s="7">
        <v>4131248135.5798998</v>
      </c>
      <c s="7">
        <v>0</v>
      </c>
      <c s="57">
        <v>399872108.81650001</v>
      </c>
      <c s="1"/>
    </row>
    <row>
      <c s="1"/>
      <c s="61" t="str">
        <f>$B$59</f>
        <v>菓子類</v>
      </c>
      <c s="20">
        <v>7367878.2869999995</v>
      </c>
      <c s="7">
        <v>995404306.45159996</v>
      </c>
      <c s="7">
        <v>0</v>
      </c>
      <c s="7">
        <v>835420575.54499996</v>
      </c>
      <c s="20">
        <v>7526290.3227000004</v>
      </c>
      <c s="7">
        <v>1012821718.9471999</v>
      </c>
      <c s="7">
        <v>0</v>
      </c>
      <c s="7">
        <v>876151907.38390005</v>
      </c>
      <c s="20">
        <v>7443561.5795999998</v>
      </c>
      <c s="7">
        <v>993914114.69169998</v>
      </c>
      <c s="7">
        <v>0</v>
      </c>
      <c s="7">
        <v>905997731.67270005</v>
      </c>
      <c s="20">
        <v>7980785.2944</v>
      </c>
      <c s="7">
        <v>1052785881.7029999</v>
      </c>
      <c s="7">
        <v>0</v>
      </c>
      <c s="7">
        <v>1044467027.0579</v>
      </c>
      <c s="20">
        <v>7769874.1886</v>
      </c>
      <c s="7">
        <v>1059584227.3890001</v>
      </c>
      <c s="7">
        <v>0</v>
      </c>
      <c s="7">
        <v>993567312.94459999</v>
      </c>
      <c s="20">
        <v>6950218.2784000002</v>
      </c>
      <c s="7">
        <v>945916976.54089999</v>
      </c>
      <c s="7">
        <v>0</v>
      </c>
      <c s="7">
        <v>818361177.77160001</v>
      </c>
      <c s="20">
        <v>6990093.3046000004</v>
      </c>
      <c s="7">
        <v>947892915.26489997</v>
      </c>
      <c s="7">
        <v>0</v>
      </c>
      <c s="7">
        <v>782827921.13380003</v>
      </c>
      <c s="20">
        <v>6499191.3305000002</v>
      </c>
      <c s="7">
        <v>900245635.01090002</v>
      </c>
      <c s="7">
        <v>0</v>
      </c>
      <c s="7">
        <v>704541666.921</v>
      </c>
      <c s="20">
        <v>6984084.0509000001</v>
      </c>
      <c s="7">
        <v>1077703459.4932001</v>
      </c>
      <c s="7">
        <v>0</v>
      </c>
      <c s="7">
        <v>744468954.68900001</v>
      </c>
      <c s="20">
        <v>6532600.8865999999</v>
      </c>
      <c s="7">
        <v>931565228.75660002</v>
      </c>
      <c s="7">
        <v>0</v>
      </c>
      <c s="7">
        <v>709881224.40180004</v>
      </c>
      <c s="20">
        <v>6716199.6364000002</v>
      </c>
      <c s="7">
        <v>959650186.05219996</v>
      </c>
      <c s="7">
        <v>0</v>
      </c>
      <c s="7">
        <v>700719708.44560003</v>
      </c>
      <c s="20">
        <v>7323950.6385000004</v>
      </c>
      <c s="7">
        <v>1025777925.7961</v>
      </c>
      <c s="7">
        <v>0</v>
      </c>
      <c s="57">
        <v>783301929.51259995</v>
      </c>
      <c s="1"/>
    </row>
    <row>
      <c s="1"/>
      <c s="61" t="str">
        <f>$B$60</f>
        <v>項目4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$B$61</f>
        <v>項目5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$B$62</f>
        <v>項目6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$B$63</f>
        <v>項目7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$B$64</f>
        <v>項目8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$B$65</f>
        <v>項目9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$B$66</f>
        <v>項目10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$B$67</f>
        <v>項目11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$B$68</f>
        <v>項目12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$B$69</f>
        <v>項目13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$B$70</f>
        <v>項目14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$B$71</f>
        <v>項目15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$B$72</f>
        <v>項目16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$B$73</f>
        <v>項目17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$B$74</f>
        <v>項目18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$B$75</f>
        <v>項目19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$B$76</f>
        <v>項目20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$B$77</f>
        <v>項目21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$B$78</f>
        <v>項目22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$B$79</f>
        <v>項目23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$B$80</f>
        <v>項目24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$B$81</f>
        <v>項目25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$B$82</f>
        <v>項目26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$B$83</f>
        <v>項目27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$B$84</f>
        <v>項目28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$B$85</f>
        <v>項目29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$B$86</f>
        <v>項目30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$B$87</f>
        <v>項目31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$B$88</f>
        <v>項目32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$B$89</f>
        <v>項目33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$B$90</f>
        <v>項目34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$B$91</f>
        <v>項目35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$B$92</f>
        <v>項目36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$B$93</f>
        <v>項目37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$B$94</f>
        <v>項目38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$B$95</f>
        <v>項目39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$B$96</f>
        <v>項目40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$B$97</f>
        <v>項目41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$B$98</f>
        <v>項目42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$B$99</f>
        <v>項目43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$B$100</f>
        <v>項目44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$B$101</f>
        <v>項目45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$B$102</f>
        <v>項目46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$B$103</f>
        <v>項目47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$B$104</f>
        <v>項目48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$B$105</f>
        <v>項目49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58" t="str">
        <f>$B$106</f>
        <v>項目50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2"/>
      <c s="1"/>
    </row>
    <row s="81" customFormat="1">
      <c s="5"/>
      <c s="5"/>
      <c s="26"/>
      <c s="26"/>
      <c s="26"/>
      <c s="26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0.5" customHeight="1">
      <c s="1"/>
      <c s="74" t="s">
        <v>38</v>
      </c>
      <c s="13" t="str">
        <f>INDEX(INFO!$AC$4:$AN$5,1,DATA!C$213+1)</f>
        <v>4月</v>
      </c>
      <c s="4"/>
      <c s="4"/>
      <c s="16"/>
      <c s="13" t="str">
        <f>INDEX(INFO!$AC$4:$AN$5,1,DATA!G$213+1)</f>
        <v>5月</v>
      </c>
      <c s="4"/>
      <c s="4"/>
      <c s="16"/>
      <c s="13" t="str">
        <f>INDEX(INFO!$AC$4:$AN$5,1,DATA!K$213+1)</f>
        <v>6月</v>
      </c>
      <c s="4"/>
      <c s="4"/>
      <c s="16"/>
      <c s="13" t="str">
        <f>INDEX(INFO!$AC$4:$AN$5,1,DATA!O$213+1)</f>
        <v>7月</v>
      </c>
      <c s="4"/>
      <c s="4"/>
      <c s="16"/>
      <c s="13" t="str">
        <f>INDEX(INFO!$AC$4:$AN$5,1,DATA!S$213+1)</f>
        <v>8月</v>
      </c>
      <c s="4"/>
      <c s="4"/>
      <c s="16"/>
      <c s="13" t="str">
        <f>INDEX(INFO!$AC$4:$AN$5,1,DATA!W$213+1)</f>
        <v>9月</v>
      </c>
      <c s="4"/>
      <c s="4"/>
      <c s="16"/>
      <c s="13" t="str">
        <f>INDEX(INFO!$AC$4:$AN$5,1,DATA!AA$213+1)</f>
        <v>10月</v>
      </c>
      <c s="4"/>
      <c s="4"/>
      <c s="16"/>
      <c s="13" t="str">
        <f>INDEX(INFO!$AC$4:$AN$5,1,DATA!AE$213+1)</f>
        <v>11月</v>
      </c>
      <c s="4"/>
      <c s="4"/>
      <c s="16"/>
      <c s="13" t="str">
        <f>INDEX(INFO!$AC$4:$AN$5,1,DATA!AI$213+1)</f>
        <v>12月</v>
      </c>
      <c s="4"/>
      <c s="4"/>
      <c s="16"/>
      <c s="13" t="str">
        <f>INDEX(INFO!$AC$4:$AN$5,1,DATA!AM$213+1)</f>
        <v>1月</v>
      </c>
      <c s="4"/>
      <c s="4"/>
      <c s="16"/>
      <c s="13" t="str">
        <f>INDEX(INFO!$AC$4:$AN$5,1,DATA!AQ$213+1)</f>
        <v>2月</v>
      </c>
      <c s="4"/>
      <c s="4"/>
      <c s="16"/>
      <c s="13" t="str">
        <f>INDEX(INFO!$AC$4:$AN$5,1,DATA!AU$213+1)</f>
        <v>3月</v>
      </c>
      <c s="4"/>
      <c s="4"/>
      <c s="16"/>
      <c s="1"/>
    </row>
    <row>
      <c s="1"/>
      <c s="72"/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39" t="s">
        <v>3</v>
      </c>
      <c s="1"/>
    </row>
    <row>
      <c s="1"/>
      <c s="62" t="str">
        <f>$B$57</f>
        <v>加工食品</v>
      </c>
      <c s="23">
        <v>24833454.846500002</v>
      </c>
      <c s="9">
        <v>4856325546.1007996</v>
      </c>
      <c s="9">
        <v>0</v>
      </c>
      <c s="9">
        <v>3738035295.1287999</v>
      </c>
      <c s="23">
        <v>24982476.697799999</v>
      </c>
      <c s="9">
        <v>4871087597.4129</v>
      </c>
      <c s="9">
        <v>0</v>
      </c>
      <c s="9">
        <v>3770522228.7632999</v>
      </c>
      <c s="23">
        <v>23674220.680500001</v>
      </c>
      <c s="9">
        <v>4655880647.0812998</v>
      </c>
      <c s="9">
        <v>0</v>
      </c>
      <c s="9">
        <v>3745719377.2082</v>
      </c>
      <c s="23">
        <v>23819295.034200002</v>
      </c>
      <c s="9">
        <v>4733175065.2356005</v>
      </c>
      <c s="9">
        <v>0</v>
      </c>
      <c s="9">
        <v>3649728659.1034002</v>
      </c>
      <c s="23">
        <v>23463837.484299999</v>
      </c>
      <c s="9">
        <v>4722516823.2653999</v>
      </c>
      <c s="9">
        <v>0</v>
      </c>
      <c s="9">
        <v>3618638776.9215999</v>
      </c>
      <c s="23">
        <v>23421701.346799999</v>
      </c>
      <c s="9">
        <v>4708171878.3148003</v>
      </c>
      <c s="9">
        <v>0</v>
      </c>
      <c s="9">
        <v>3711859844.6896</v>
      </c>
      <c s="23">
        <v>24634229.734299999</v>
      </c>
      <c s="9">
        <v>4859828347.1702003</v>
      </c>
      <c s="9">
        <v>0</v>
      </c>
      <c s="9">
        <v>3773684879.4885998</v>
      </c>
      <c s="23">
        <v>23641373.5704</v>
      </c>
      <c s="9">
        <v>4670471108.6546001</v>
      </c>
      <c s="9">
        <v>0</v>
      </c>
      <c s="9">
        <v>3554540851.8523998</v>
      </c>
      <c s="23">
        <v>26462288.329700001</v>
      </c>
      <c s="9">
        <v>5809551273.0710001</v>
      </c>
      <c s="9">
        <v>0</v>
      </c>
      <c s="9">
        <v>4311534634.7047997</v>
      </c>
      <c s="23">
        <v>22815054.751699999</v>
      </c>
      <c s="9">
        <v>4567963944.4561005</v>
      </c>
      <c s="9">
        <v>0</v>
      </c>
      <c s="9">
        <v>3461506138.6644001</v>
      </c>
      <c s="23">
        <v>24165799.403900001</v>
      </c>
      <c s="9">
        <v>4873110252.8070002</v>
      </c>
      <c s="9">
        <v>0</v>
      </c>
      <c s="9">
        <v>3805219538.8807998</v>
      </c>
      <c s="23">
        <v>27603370.379799999</v>
      </c>
      <c s="9">
        <v>5616429538.2083998</v>
      </c>
      <c s="9">
        <v>0</v>
      </c>
      <c s="55">
        <v>4547381095.0469999</v>
      </c>
      <c s="1"/>
    </row>
    <row>
      <c s="1"/>
      <c s="61" t="str">
        <f>$B$58</f>
        <v>生鮮食品</v>
      </c>
      <c s="20">
        <v>22115557.595600002</v>
      </c>
      <c s="7">
        <v>4939181682.8663998</v>
      </c>
      <c s="7">
        <v>0</v>
      </c>
      <c s="7">
        <v>453744214.94370002</v>
      </c>
      <c s="20">
        <v>24588880.925299998</v>
      </c>
      <c s="7">
        <v>5238830845.1773005</v>
      </c>
      <c s="7">
        <v>0</v>
      </c>
      <c s="7">
        <v>507396930.0273</v>
      </c>
      <c s="20">
        <v>20198443.434900001</v>
      </c>
      <c s="7">
        <v>4610606813.3896999</v>
      </c>
      <c s="7">
        <v>0</v>
      </c>
      <c s="7">
        <v>441228411.71390003</v>
      </c>
      <c s="20">
        <v>21656200.481800001</v>
      </c>
      <c s="7">
        <v>4989820898.5509996</v>
      </c>
      <c s="7">
        <v>0</v>
      </c>
      <c s="7">
        <v>542615857.21210003</v>
      </c>
      <c s="20">
        <v>20762687.084399998</v>
      </c>
      <c s="7">
        <v>4980413134.9937</v>
      </c>
      <c s="7">
        <v>0</v>
      </c>
      <c s="7">
        <v>551266891.07089996</v>
      </c>
      <c s="20">
        <v>19772526.101100001</v>
      </c>
      <c s="7">
        <v>4675864591.4547005</v>
      </c>
      <c s="7">
        <v>0</v>
      </c>
      <c s="7">
        <v>475089409.67860001</v>
      </c>
      <c s="20">
        <v>21788211.767200001</v>
      </c>
      <c s="7">
        <v>4913055199.9636002</v>
      </c>
      <c s="7">
        <v>0</v>
      </c>
      <c s="7">
        <v>454933999.13999999</v>
      </c>
      <c s="20">
        <v>19768562.363499999</v>
      </c>
      <c s="7">
        <v>4460252264.3882999</v>
      </c>
      <c s="7">
        <v>0</v>
      </c>
      <c s="7">
        <v>425454486.98220003</v>
      </c>
      <c s="20">
        <v>21619705.516100001</v>
      </c>
      <c s="7">
        <v>5686471339.6400003</v>
      </c>
      <c s="7">
        <v>0</v>
      </c>
      <c s="7">
        <v>501159316.78109998</v>
      </c>
      <c s="20">
        <v>19702858.889199998</v>
      </c>
      <c s="7">
        <v>4757216130.2628002</v>
      </c>
      <c s="7">
        <v>0</v>
      </c>
      <c s="7">
        <v>445411268.49760002</v>
      </c>
      <c s="20">
        <v>21022041.629799999</v>
      </c>
      <c s="7">
        <v>4896923326.3417997</v>
      </c>
      <c s="7">
        <v>0</v>
      </c>
      <c s="7">
        <v>452986410.91280001</v>
      </c>
      <c s="20">
        <v>22524949.985599998</v>
      </c>
      <c s="7">
        <v>5330797050.7284002</v>
      </c>
      <c s="7">
        <v>0</v>
      </c>
      <c s="57">
        <v>566045386.78670001</v>
      </c>
      <c s="1"/>
    </row>
    <row>
      <c s="1"/>
      <c s="61" t="str">
        <f>$B$59</f>
        <v>菓子類</v>
      </c>
      <c s="20">
        <v>8218884.5192999998</v>
      </c>
      <c s="7">
        <v>1152809683.6745</v>
      </c>
      <c s="7">
        <v>0</v>
      </c>
      <c s="7">
        <v>956184689.46370006</v>
      </c>
      <c s="20">
        <v>8390944.4971999992</v>
      </c>
      <c s="7">
        <v>1169149345.1721001</v>
      </c>
      <c s="7">
        <v>0</v>
      </c>
      <c s="7">
        <v>1020726468.9289</v>
      </c>
      <c s="20">
        <v>8114484.9747000001</v>
      </c>
      <c s="7">
        <v>1127873176.8701999</v>
      </c>
      <c s="7">
        <v>0</v>
      </c>
      <c s="7">
        <v>1008027102.8945</v>
      </c>
      <c s="20">
        <v>8231692.4398999996</v>
      </c>
      <c s="7">
        <v>1137014993.9177999</v>
      </c>
      <c s="7">
        <v>0</v>
      </c>
      <c s="7">
        <v>1047481389.5697</v>
      </c>
      <c s="20">
        <v>8237654.5580000002</v>
      </c>
      <c s="7">
        <v>1138702709.9586</v>
      </c>
      <c s="7">
        <v>0</v>
      </c>
      <c s="7">
        <v>1088112660.3073001</v>
      </c>
      <c s="20">
        <v>7626422.8020000001</v>
      </c>
      <c s="7">
        <v>1073647268.3891</v>
      </c>
      <c s="7">
        <v>0</v>
      </c>
      <c s="7">
        <v>951771143.12600005</v>
      </c>
      <c s="20">
        <v>7799329.4626000002</v>
      </c>
      <c s="7">
        <v>1097006992.1217</v>
      </c>
      <c s="7">
        <v>0</v>
      </c>
      <c s="7">
        <v>921577389.01339996</v>
      </c>
      <c s="20">
        <v>7163405.1831999999</v>
      </c>
      <c s="7">
        <v>1022763211.4985</v>
      </c>
      <c s="7">
        <v>0</v>
      </c>
      <c s="7">
        <v>818421495.07700002</v>
      </c>
      <c s="20">
        <v>7694760.9658000004</v>
      </c>
      <c s="7">
        <v>1198730309.4988999</v>
      </c>
      <c s="7">
        <v>0</v>
      </c>
      <c s="7">
        <v>876501955.87919998</v>
      </c>
      <c s="20">
        <v>7100206.2038000003</v>
      </c>
      <c s="7">
        <v>1033642480.0416</v>
      </c>
      <c s="7">
        <v>0</v>
      </c>
      <c s="7">
        <v>812462770.74049997</v>
      </c>
      <c s="20">
        <v>8024068.7433000002</v>
      </c>
      <c s="7">
        <v>1157469097.4633</v>
      </c>
      <c s="7">
        <v>0</v>
      </c>
      <c s="7">
        <v>892973039.72520006</v>
      </c>
      <c s="20">
        <v>8917735.6242999993</v>
      </c>
      <c s="7">
        <v>1293363735.3041</v>
      </c>
      <c s="7">
        <v>0</v>
      </c>
      <c s="57">
        <v>1014836977.4904</v>
      </c>
      <c s="1"/>
    </row>
    <row>
      <c s="1"/>
      <c s="61" t="str">
        <f>$B$60</f>
        <v>項目4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$B$61</f>
        <v>項目5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$B$62</f>
        <v>項目6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$B$63</f>
        <v>項目7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$B$64</f>
        <v>項目8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$B$65</f>
        <v>項目9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$B$66</f>
        <v>項目10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$B$67</f>
        <v>項目11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$B$68</f>
        <v>項目12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$B$69</f>
        <v>項目13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$B$70</f>
        <v>項目14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$B$71</f>
        <v>項目15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$B$72</f>
        <v>項目16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$B$73</f>
        <v>項目17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$B$74</f>
        <v>項目18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$B$75</f>
        <v>項目19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$B$76</f>
        <v>項目20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$B$77</f>
        <v>項目21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$B$78</f>
        <v>項目22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$B$79</f>
        <v>項目23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$B$80</f>
        <v>項目24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$B$81</f>
        <v>項目25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$B$82</f>
        <v>項目26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$B$83</f>
        <v>項目27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$B$84</f>
        <v>項目28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$B$85</f>
        <v>項目29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$B$86</f>
        <v>項目30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$B$87</f>
        <v>項目31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$B$88</f>
        <v>項目32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$B$89</f>
        <v>項目33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$B$90</f>
        <v>項目34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$B$91</f>
        <v>項目35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$B$92</f>
        <v>項目36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$B$93</f>
        <v>項目37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$B$94</f>
        <v>項目38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$B$95</f>
        <v>項目39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$B$96</f>
        <v>項目40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$B$97</f>
        <v>項目41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$B$98</f>
        <v>項目42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$B$99</f>
        <v>項目43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$B$100</f>
        <v>項目44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$B$101</f>
        <v>項目45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$B$102</f>
        <v>項目46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$B$103</f>
        <v>項目47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$B$104</f>
        <v>項目48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$B$105</f>
        <v>項目49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58" t="str">
        <f>$B$106</f>
        <v>項目50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2"/>
      <c s="1"/>
    </row>
    <row s="81" customFormat="1">
      <c s="5"/>
      <c s="5"/>
      <c s="26"/>
      <c s="26"/>
      <c s="26"/>
      <c s="26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0.5" customHeight="1">
      <c s="1"/>
      <c s="74" t="s">
        <v>39</v>
      </c>
      <c s="13" t="str">
        <f>INDEX(INFO!$AC$4:$AN$5,1,DATA!C$213+1)</f>
        <v>4月</v>
      </c>
      <c s="4"/>
      <c s="4"/>
      <c s="16"/>
      <c s="13" t="str">
        <f>INDEX(INFO!$AC$4:$AN$5,1,DATA!G$213+1)</f>
        <v>5月</v>
      </c>
      <c s="4"/>
      <c s="4"/>
      <c s="16"/>
      <c s="13" t="str">
        <f>INDEX(INFO!$AC$4:$AN$5,1,DATA!K$213+1)</f>
        <v>6月</v>
      </c>
      <c s="4"/>
      <c s="4"/>
      <c s="16"/>
      <c s="13" t="str">
        <f>INDEX(INFO!$AC$4:$AN$5,1,DATA!O$213+1)</f>
        <v>7月</v>
      </c>
      <c s="4"/>
      <c s="4"/>
      <c s="16"/>
      <c s="13" t="str">
        <f>INDEX(INFO!$AC$4:$AN$5,1,DATA!S$213+1)</f>
        <v>8月</v>
      </c>
      <c s="4"/>
      <c s="4"/>
      <c s="16"/>
      <c s="13" t="str">
        <f>INDEX(INFO!$AC$4:$AN$5,1,DATA!W$213+1)</f>
        <v>9月</v>
      </c>
      <c s="4"/>
      <c s="4"/>
      <c s="16"/>
      <c s="13" t="str">
        <f>INDEX(INFO!$AC$4:$AN$5,1,DATA!AA$213+1)</f>
        <v>10月</v>
      </c>
      <c s="4"/>
      <c s="4"/>
      <c s="16"/>
      <c s="13" t="str">
        <f>INDEX(INFO!$AC$4:$AN$5,1,DATA!AE$213+1)</f>
        <v>11月</v>
      </c>
      <c s="4"/>
      <c s="4"/>
      <c s="16"/>
      <c s="13" t="str">
        <f>INDEX(INFO!$AC$4:$AN$5,1,DATA!AI$213+1)</f>
        <v>12月</v>
      </c>
      <c s="4"/>
      <c s="4"/>
      <c s="16"/>
      <c s="13" t="str">
        <f>INDEX(INFO!$AC$4:$AN$5,1,DATA!AM$213+1)</f>
        <v>1月</v>
      </c>
      <c s="4"/>
      <c s="4"/>
      <c s="16"/>
      <c s="13" t="str">
        <f>INDEX(INFO!$AC$4:$AN$5,1,DATA!AQ$213+1)</f>
        <v>2月</v>
      </c>
      <c s="4"/>
      <c s="4"/>
      <c s="16"/>
      <c s="13" t="str">
        <f>INDEX(INFO!$AC$4:$AN$5,1,DATA!AU$213+1)</f>
        <v>3月</v>
      </c>
      <c s="4"/>
      <c s="4"/>
      <c s="16"/>
      <c s="1"/>
    </row>
    <row ht="10.5" customHeight="1">
      <c s="1"/>
      <c s="72"/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39" t="s">
        <v>3</v>
      </c>
      <c s="1"/>
    </row>
    <row>
      <c s="1"/>
      <c s="62" t="str">
        <f>$B$57</f>
        <v>加工食品</v>
      </c>
      <c s="23">
        <v>19583896.253699999</v>
      </c>
      <c s="9">
        <v>3610362803.4871001</v>
      </c>
      <c s="9">
        <v>0</v>
      </c>
      <c s="9">
        <v>3700434665.9124999</v>
      </c>
      <c s="23">
        <v>20010785.115200002</v>
      </c>
      <c s="9">
        <v>3687638010.5290999</v>
      </c>
      <c s="9">
        <v>0</v>
      </c>
      <c s="9">
        <v>3750789367.7083001</v>
      </c>
      <c s="23">
        <v>19408334.322900001</v>
      </c>
      <c s="9">
        <v>3596464765.5323</v>
      </c>
      <c s="9">
        <v>0</v>
      </c>
      <c s="9">
        <v>3692995513.1448998</v>
      </c>
      <c s="23">
        <v>19618479.423599999</v>
      </c>
      <c s="9">
        <v>3675442146.0014</v>
      </c>
      <c s="9">
        <v>0</v>
      </c>
      <c s="9">
        <v>3869902697.1447001</v>
      </c>
      <c s="23">
        <v>19175702.557</v>
      </c>
      <c s="9">
        <v>3587625055.0474</v>
      </c>
      <c s="9">
        <v>0</v>
      </c>
      <c s="9">
        <v>3735134091.8358998</v>
      </c>
      <c s="23">
        <v>19669616.444899999</v>
      </c>
      <c s="9">
        <v>3648105284.5592999</v>
      </c>
      <c s="9">
        <v>0</v>
      </c>
      <c s="9">
        <v>3836512670.4703999</v>
      </c>
      <c s="23">
        <v>20473939.0451</v>
      </c>
      <c s="9">
        <v>3751158026.9526</v>
      </c>
      <c s="9">
        <v>0</v>
      </c>
      <c s="9">
        <v>3847907423.9155002</v>
      </c>
      <c s="23">
        <v>19588087.6131</v>
      </c>
      <c s="9">
        <v>3636182532.9011998</v>
      </c>
      <c s="9">
        <v>0</v>
      </c>
      <c s="9">
        <v>3719203109.7357998</v>
      </c>
      <c s="23">
        <v>22070332.324499998</v>
      </c>
      <c s="9">
        <v>4569766408.9642</v>
      </c>
      <c s="9">
        <v>0</v>
      </c>
      <c s="9">
        <v>4435049547.4418001</v>
      </c>
      <c s="23">
        <v>24023755.408799998</v>
      </c>
      <c s="9">
        <v>4760629232.9854002</v>
      </c>
      <c s="9">
        <v>0</v>
      </c>
      <c s="9">
        <v>3681245457.7930002</v>
      </c>
      <c s="23">
        <v>23179457.2064</v>
      </c>
      <c s="9">
        <v>4543541445.2377996</v>
      </c>
      <c s="9">
        <v>0</v>
      </c>
      <c s="9">
        <v>3533609772.5261002</v>
      </c>
      <c s="23">
        <v>25324614.214499999</v>
      </c>
      <c s="9">
        <v>4940726211.8316002</v>
      </c>
      <c s="9">
        <v>0</v>
      </c>
      <c s="55">
        <v>3871076916.4282999</v>
      </c>
      <c s="1"/>
    </row>
    <row>
      <c s="1"/>
      <c s="61" t="str">
        <f>$B$58</f>
        <v>生鮮食品</v>
      </c>
      <c s="20">
        <v>4671657.0631999997</v>
      </c>
      <c s="7">
        <v>638570571.39160001</v>
      </c>
      <c s="7">
        <v>0</v>
      </c>
      <c s="7">
        <v>327364066.33399999</v>
      </c>
      <c s="20">
        <v>4850101.5944999997</v>
      </c>
      <c s="7">
        <v>663038086.06669998</v>
      </c>
      <c s="7">
        <v>0</v>
      </c>
      <c s="7">
        <v>324300898.921</v>
      </c>
      <c s="20">
        <v>4703567.3169999998</v>
      </c>
      <c s="7">
        <v>668764899.90059996</v>
      </c>
      <c s="7">
        <v>0</v>
      </c>
      <c s="7">
        <v>324233023.81999999</v>
      </c>
      <c s="20">
        <v>4690688.3517000005</v>
      </c>
      <c s="7">
        <v>665563499.21430004</v>
      </c>
      <c s="7">
        <v>0</v>
      </c>
      <c s="7">
        <v>319878721.71530002</v>
      </c>
      <c s="20">
        <v>4496586.3607999999</v>
      </c>
      <c s="7">
        <v>658299688.48119998</v>
      </c>
      <c s="7">
        <v>0</v>
      </c>
      <c s="7">
        <v>326416584.14069998</v>
      </c>
      <c s="20">
        <v>4872259.4527000003</v>
      </c>
      <c s="7">
        <v>700366514.78719997</v>
      </c>
      <c s="7">
        <v>0</v>
      </c>
      <c s="7">
        <v>351291500.77060002</v>
      </c>
      <c s="20">
        <v>5261962.0209999997</v>
      </c>
      <c s="7">
        <v>744459829.45899999</v>
      </c>
      <c s="7">
        <v>0</v>
      </c>
      <c s="7">
        <v>378990230.39660001</v>
      </c>
      <c s="20">
        <v>5463554.3076999998</v>
      </c>
      <c s="7">
        <v>757639424.81889999</v>
      </c>
      <c s="7">
        <v>0</v>
      </c>
      <c s="7">
        <v>389604836.42400002</v>
      </c>
      <c s="20">
        <v>5341940.2950999998</v>
      </c>
      <c s="7">
        <v>784526785.42879999</v>
      </c>
      <c s="7">
        <v>0</v>
      </c>
      <c s="7">
        <v>406996422.05729997</v>
      </c>
      <c s="20">
        <v>19953382.8092</v>
      </c>
      <c s="7">
        <v>4807331667.0045004</v>
      </c>
      <c s="7">
        <v>0</v>
      </c>
      <c s="7">
        <v>423422375.05379999</v>
      </c>
      <c s="20">
        <v>20671554.694800001</v>
      </c>
      <c s="7">
        <v>4730627323.2156</v>
      </c>
      <c s="7">
        <v>0</v>
      </c>
      <c s="7">
        <v>440295233.56349999</v>
      </c>
      <c s="20">
        <v>21767778.9604</v>
      </c>
      <c s="7">
        <v>4862996250.2349005</v>
      </c>
      <c s="7">
        <v>0</v>
      </c>
      <c s="57">
        <v>463069696.11110002</v>
      </c>
      <c s="1"/>
    </row>
    <row>
      <c s="1"/>
      <c s="61" t="str">
        <f>$B$59</f>
        <v>菓子類</v>
      </c>
      <c s="20">
        <v>8274632.0494999997</v>
      </c>
      <c s="7">
        <v>1151949838.8306999</v>
      </c>
      <c s="7">
        <v>0</v>
      </c>
      <c s="7">
        <v>994513089.99160004</v>
      </c>
      <c s="20">
        <v>8592974.4218000006</v>
      </c>
      <c s="7">
        <v>1190263076.5025001</v>
      </c>
      <c s="7">
        <v>0</v>
      </c>
      <c s="7">
        <v>1056689474.4214</v>
      </c>
      <c s="20">
        <v>8393571.7371999994</v>
      </c>
      <c s="7">
        <v>1160709674.6791999</v>
      </c>
      <c s="7">
        <v>0</v>
      </c>
      <c s="7">
        <v>1062361927.7118</v>
      </c>
      <c s="20">
        <v>8984708.9995000008</v>
      </c>
      <c s="7">
        <v>1219624665.1461999</v>
      </c>
      <c s="7">
        <v>0</v>
      </c>
      <c s="7">
        <v>1215559139.0063</v>
      </c>
      <c s="20">
        <v>8475815.6547999997</v>
      </c>
      <c s="7">
        <v>1166727609.2999001</v>
      </c>
      <c s="7">
        <v>0</v>
      </c>
      <c s="7">
        <v>1129874323.0694001</v>
      </c>
      <c s="20">
        <v>7834799.3044999996</v>
      </c>
      <c s="7">
        <v>1088398051.7432001</v>
      </c>
      <c s="7">
        <v>0</v>
      </c>
      <c s="7">
        <v>978740695.52429998</v>
      </c>
      <c s="20">
        <v>8029194.2278000005</v>
      </c>
      <c s="7">
        <v>1105400630.8491001</v>
      </c>
      <c s="7">
        <v>0</v>
      </c>
      <c s="7">
        <v>961861798.06760001</v>
      </c>
      <c s="20">
        <v>7565297.6763000004</v>
      </c>
      <c s="7">
        <v>1066933308.7221</v>
      </c>
      <c s="7">
        <v>0</v>
      </c>
      <c s="7">
        <v>871978903.86619997</v>
      </c>
      <c s="20">
        <v>7874893.9654999999</v>
      </c>
      <c s="7">
        <v>1212338866.2253001</v>
      </c>
      <c s="7">
        <v>0</v>
      </c>
      <c s="7">
        <v>893833153.74430001</v>
      </c>
      <c s="20">
        <v>7538298.2006999999</v>
      </c>
      <c s="7">
        <v>1091597827.253</v>
      </c>
      <c s="7">
        <v>0</v>
      </c>
      <c s="7">
        <v>871083897.26730001</v>
      </c>
      <c s="20">
        <v>7691864.7432000004</v>
      </c>
      <c s="7">
        <v>1093440918.3747001</v>
      </c>
      <c s="7">
        <v>0</v>
      </c>
      <c s="7">
        <v>856568421.81570005</v>
      </c>
      <c s="20">
        <v>8460899.6274999995</v>
      </c>
      <c s="7">
        <v>1194568409.4105999</v>
      </c>
      <c s="7">
        <v>0</v>
      </c>
      <c s="57">
        <v>964777845.01590002</v>
      </c>
      <c s="1"/>
    </row>
    <row>
      <c s="1"/>
      <c s="61" t="str">
        <f>$B$60</f>
        <v>項目4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$B$61</f>
        <v>項目5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$B$62</f>
        <v>項目6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$B$63</f>
        <v>項目7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$B$64</f>
        <v>項目8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$B$65</f>
        <v>項目9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$B$66</f>
        <v>項目10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$B$67</f>
        <v>項目11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$B$68</f>
        <v>項目12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$B$69</f>
        <v>項目13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$B$70</f>
        <v>項目14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$B$71</f>
        <v>項目15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$B$72</f>
        <v>項目16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$B$73</f>
        <v>項目17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$B$74</f>
        <v>項目18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$B$75</f>
        <v>項目19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$B$76</f>
        <v>項目20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$B$77</f>
        <v>項目21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$B$78</f>
        <v>項目22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$B$79</f>
        <v>項目23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$B$80</f>
        <v>項目24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$B$81</f>
        <v>項目25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$B$82</f>
        <v>項目26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$B$83</f>
        <v>項目27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$B$84</f>
        <v>項目28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$B$85</f>
        <v>項目29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$B$86</f>
        <v>項目30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$B$87</f>
        <v>項目31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$B$88</f>
        <v>項目32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$B$89</f>
        <v>項目33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$B$90</f>
        <v>項目34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$B$91</f>
        <v>項目35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$B$92</f>
        <v>項目36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$B$93</f>
        <v>項目37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$B$94</f>
        <v>項目38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$B$95</f>
        <v>項目39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$B$96</f>
        <v>項目40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$B$97</f>
        <v>項目41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$B$98</f>
        <v>項目42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$B$99</f>
        <v>項目43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$B$100</f>
        <v>項目44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$B$101</f>
        <v>項目45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$B$102</f>
        <v>項目46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$B$103</f>
        <v>項目47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$B$104</f>
        <v>項目48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$B$105</f>
        <v>項目49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58" t="str">
        <f>$B$106</f>
        <v>項目50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2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7" t="s">
        <v>47</v>
      </c>
      <c s="13" t="s">
        <v>35</v>
      </c>
      <c s="4"/>
      <c s="4"/>
      <c s="16"/>
      <c s="1"/>
      <c s="76" t="s">
        <v>96</v>
      </c>
      <c s="13" t="s">
        <v>35</v>
      </c>
      <c s="4"/>
      <c s="4"/>
      <c s="1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ht="10.5" customHeight="1">
      <c s="1"/>
      <c s="80"/>
      <c s="14" t="s">
        <v>0</v>
      </c>
      <c s="15" t="s">
        <v>1</v>
      </c>
      <c s="12" t="s">
        <v>2</v>
      </c>
      <c s="39" t="s">
        <v>3</v>
      </c>
      <c s="1"/>
      <c s="73"/>
      <c s="14" t="s">
        <v>0</v>
      </c>
      <c s="15" t="s">
        <v>1</v>
      </c>
      <c s="12" t="s">
        <v>2</v>
      </c>
      <c s="39" t="s">
        <v>3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2" t="str">
        <f>$B$57</f>
        <v>加工食品</v>
      </c>
      <c s="23"/>
      <c s="9"/>
      <c s="9"/>
      <c s="55"/>
      <c s="1"/>
      <c s="62" t="str">
        <f>$B$57</f>
        <v>加工食品</v>
      </c>
      <c s="23"/>
      <c s="9"/>
      <c s="9"/>
      <c s="55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$B$58</f>
        <v>生鮮食品</v>
      </c>
      <c s="20"/>
      <c s="7"/>
      <c s="7"/>
      <c s="57"/>
      <c s="1"/>
      <c s="61" t="str">
        <f>$B$58</f>
        <v>生鮮食品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$B$59</f>
        <v>菓子類</v>
      </c>
      <c s="20"/>
      <c s="7"/>
      <c s="7"/>
      <c s="57"/>
      <c s="1"/>
      <c s="61" t="str">
        <f>$B$59</f>
        <v>菓子類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$B$60</f>
        <v>項目4</v>
      </c>
      <c s="20"/>
      <c s="7"/>
      <c s="7"/>
      <c s="57"/>
      <c s="1"/>
      <c s="61" t="str">
        <f>$B$60</f>
        <v>項目4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$B$61</f>
        <v>項目5</v>
      </c>
      <c s="20"/>
      <c s="7"/>
      <c s="7"/>
      <c s="57"/>
      <c s="1"/>
      <c s="61" t="str">
        <f>$B$61</f>
        <v>項目5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$B$62</f>
        <v>項目6</v>
      </c>
      <c s="20"/>
      <c s="7"/>
      <c s="7"/>
      <c s="57"/>
      <c s="1"/>
      <c s="61" t="str">
        <f>$B$62</f>
        <v>項目6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$B$63</f>
        <v>項目7</v>
      </c>
      <c s="20"/>
      <c s="7"/>
      <c s="7"/>
      <c s="57"/>
      <c s="1"/>
      <c s="61" t="str">
        <f>$B$63</f>
        <v>項目7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$B$64</f>
        <v>項目8</v>
      </c>
      <c s="20"/>
      <c s="7"/>
      <c s="7"/>
      <c s="57"/>
      <c s="1"/>
      <c s="61" t="str">
        <f>$B$64</f>
        <v>項目8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$B$65</f>
        <v>項目9</v>
      </c>
      <c s="20"/>
      <c s="7"/>
      <c s="7"/>
      <c s="57"/>
      <c s="1"/>
      <c s="61" t="str">
        <f>$B$65</f>
        <v>項目9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$B$66</f>
        <v>項目10</v>
      </c>
      <c s="20"/>
      <c s="7"/>
      <c s="7"/>
      <c s="57"/>
      <c s="1"/>
      <c s="61" t="str">
        <f>$B$66</f>
        <v>項目10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$B$67</f>
        <v>項目11</v>
      </c>
      <c s="20"/>
      <c s="7"/>
      <c s="7"/>
      <c s="57"/>
      <c s="1"/>
      <c s="61" t="str">
        <f>$B$67</f>
        <v>項目11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$B$68</f>
        <v>項目12</v>
      </c>
      <c s="20"/>
      <c s="7"/>
      <c s="7"/>
      <c s="57"/>
      <c s="1"/>
      <c s="61" t="str">
        <f>$B$68</f>
        <v>項目12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$B$69</f>
        <v>項目13</v>
      </c>
      <c s="20"/>
      <c s="7"/>
      <c s="7"/>
      <c s="57"/>
      <c s="1"/>
      <c s="61" t="str">
        <f>$B$69</f>
        <v>項目13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$B$70</f>
        <v>項目14</v>
      </c>
      <c s="20"/>
      <c s="7"/>
      <c s="7"/>
      <c s="57"/>
      <c s="1"/>
      <c s="61" t="str">
        <f>$B$70</f>
        <v>項目14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$B$71</f>
        <v>項目15</v>
      </c>
      <c s="20"/>
      <c s="7"/>
      <c s="7"/>
      <c s="57"/>
      <c s="1"/>
      <c s="61" t="str">
        <f>$B$71</f>
        <v>項目15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$B$72</f>
        <v>項目16</v>
      </c>
      <c s="20"/>
      <c s="7"/>
      <c s="7"/>
      <c s="57"/>
      <c s="1"/>
      <c s="61" t="str">
        <f>$B$72</f>
        <v>項目16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$B$73</f>
        <v>項目17</v>
      </c>
      <c s="20"/>
      <c s="7"/>
      <c s="7"/>
      <c s="57"/>
      <c s="1"/>
      <c s="61" t="str">
        <f>$B$73</f>
        <v>項目17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$B$74</f>
        <v>項目18</v>
      </c>
      <c s="20"/>
      <c s="7"/>
      <c s="7"/>
      <c s="57"/>
      <c s="1"/>
      <c s="61" t="str">
        <f>$B$74</f>
        <v>項目18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$B$75</f>
        <v>項目19</v>
      </c>
      <c s="20"/>
      <c s="7"/>
      <c s="7"/>
      <c s="57"/>
      <c s="1"/>
      <c s="61" t="str">
        <f>$B$75</f>
        <v>項目19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$B$76</f>
        <v>項目20</v>
      </c>
      <c s="20"/>
      <c s="7"/>
      <c s="7"/>
      <c s="57"/>
      <c s="1"/>
      <c s="61" t="str">
        <f>$B$76</f>
        <v>項目20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$B$77</f>
        <v>項目21</v>
      </c>
      <c s="20"/>
      <c s="7"/>
      <c s="7"/>
      <c s="57"/>
      <c s="1"/>
      <c s="61" t="str">
        <f>$B$77</f>
        <v>項目21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$B$78</f>
        <v>項目22</v>
      </c>
      <c s="20"/>
      <c s="7"/>
      <c s="7"/>
      <c s="57"/>
      <c s="1"/>
      <c s="61" t="str">
        <f>$B$78</f>
        <v>項目22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$B$79</f>
        <v>項目23</v>
      </c>
      <c s="20"/>
      <c s="7"/>
      <c s="7"/>
      <c s="57"/>
      <c s="1"/>
      <c s="61" t="str">
        <f>$B$79</f>
        <v>項目23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$B$80</f>
        <v>項目24</v>
      </c>
      <c s="20"/>
      <c s="7"/>
      <c s="7"/>
      <c s="57"/>
      <c s="1"/>
      <c s="61" t="str">
        <f>$B$80</f>
        <v>項目24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$B$81</f>
        <v>項目25</v>
      </c>
      <c s="20"/>
      <c s="7"/>
      <c s="7"/>
      <c s="57"/>
      <c s="1"/>
      <c s="61" t="str">
        <f>$B$81</f>
        <v>項目25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$B$82</f>
        <v>項目26</v>
      </c>
      <c s="20"/>
      <c s="7"/>
      <c s="7"/>
      <c s="57"/>
      <c s="1"/>
      <c s="61" t="str">
        <f>$B$82</f>
        <v>項目26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$B$83</f>
        <v>項目27</v>
      </c>
      <c s="20"/>
      <c s="7"/>
      <c s="7"/>
      <c s="57"/>
      <c s="1"/>
      <c s="61" t="str">
        <f>$B$83</f>
        <v>項目27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$B$84</f>
        <v>項目28</v>
      </c>
      <c s="20"/>
      <c s="7"/>
      <c s="7"/>
      <c s="57"/>
      <c s="1"/>
      <c s="61" t="str">
        <f>$B$84</f>
        <v>項目28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$B$85</f>
        <v>項目29</v>
      </c>
      <c s="20"/>
      <c s="7"/>
      <c s="7"/>
      <c s="57"/>
      <c s="1"/>
      <c s="61" t="str">
        <f>$B$85</f>
        <v>項目29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$B$86</f>
        <v>項目30</v>
      </c>
      <c s="20"/>
      <c s="7"/>
      <c s="7"/>
      <c s="57"/>
      <c s="1"/>
      <c s="61" t="str">
        <f>$B$86</f>
        <v>項目30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$B$87</f>
        <v>項目31</v>
      </c>
      <c s="20"/>
      <c s="7"/>
      <c s="7"/>
      <c s="57"/>
      <c s="1"/>
      <c s="61" t="str">
        <f>$B$87</f>
        <v>項目31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$B$88</f>
        <v>項目32</v>
      </c>
      <c s="20"/>
      <c s="7"/>
      <c s="7"/>
      <c s="57"/>
      <c s="1"/>
      <c s="61" t="str">
        <f>$B$88</f>
        <v>項目32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$B$89</f>
        <v>項目33</v>
      </c>
      <c s="20"/>
      <c s="7"/>
      <c s="7"/>
      <c s="57"/>
      <c s="1"/>
      <c s="61" t="str">
        <f>$B$89</f>
        <v>項目33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$B$90</f>
        <v>項目34</v>
      </c>
      <c s="20"/>
      <c s="7"/>
      <c s="7"/>
      <c s="57"/>
      <c s="1"/>
      <c s="61" t="str">
        <f>$B$90</f>
        <v>項目34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$B$91</f>
        <v>項目35</v>
      </c>
      <c s="20"/>
      <c s="7"/>
      <c s="7"/>
      <c s="57"/>
      <c s="1"/>
      <c s="61" t="str">
        <f>$B$91</f>
        <v>項目35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$B$92</f>
        <v>項目36</v>
      </c>
      <c s="20"/>
      <c s="7"/>
      <c s="7"/>
      <c s="57"/>
      <c s="1"/>
      <c s="61" t="str">
        <f>$B$92</f>
        <v>項目36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$B$93</f>
        <v>項目37</v>
      </c>
      <c s="20"/>
      <c s="7"/>
      <c s="7"/>
      <c s="57"/>
      <c s="1"/>
      <c s="61" t="str">
        <f>$B$93</f>
        <v>項目37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$B$94</f>
        <v>項目38</v>
      </c>
      <c s="20"/>
      <c s="7"/>
      <c s="7"/>
      <c s="57"/>
      <c s="1"/>
      <c s="61" t="str">
        <f>$B$94</f>
        <v>項目38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$B$95</f>
        <v>項目39</v>
      </c>
      <c s="20"/>
      <c s="7"/>
      <c s="7"/>
      <c s="57"/>
      <c s="1"/>
      <c s="61" t="str">
        <f>$B$95</f>
        <v>項目39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$B$96</f>
        <v>項目40</v>
      </c>
      <c s="20"/>
      <c s="7"/>
      <c s="7"/>
      <c s="57"/>
      <c s="1"/>
      <c s="61" t="str">
        <f>$B$96</f>
        <v>項目40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$B$97</f>
        <v>項目41</v>
      </c>
      <c s="20"/>
      <c s="7"/>
      <c s="7"/>
      <c s="57"/>
      <c s="1"/>
      <c s="61" t="str">
        <f>$B$97</f>
        <v>項目41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$B$98</f>
        <v>項目42</v>
      </c>
      <c s="20"/>
      <c s="7"/>
      <c s="7"/>
      <c s="57"/>
      <c s="1"/>
      <c s="61" t="str">
        <f>$B$98</f>
        <v>項目42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$B$99</f>
        <v>項目43</v>
      </c>
      <c s="20"/>
      <c s="7"/>
      <c s="7"/>
      <c s="57"/>
      <c s="1"/>
      <c s="61" t="str">
        <f>$B$99</f>
        <v>項目43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$B$100</f>
        <v>項目44</v>
      </c>
      <c s="20"/>
      <c s="7"/>
      <c s="7"/>
      <c s="57"/>
      <c s="1"/>
      <c s="61" t="str">
        <f>$B$100</f>
        <v>項目44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$B$101</f>
        <v>項目45</v>
      </c>
      <c s="20"/>
      <c s="7"/>
      <c s="7"/>
      <c s="57"/>
      <c s="1"/>
      <c s="61" t="str">
        <f>$B$101</f>
        <v>項目45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$B$102</f>
        <v>項目46</v>
      </c>
      <c s="20"/>
      <c s="7"/>
      <c s="7"/>
      <c s="57"/>
      <c s="1"/>
      <c s="61" t="str">
        <f>$B$102</f>
        <v>項目46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$B$103</f>
        <v>項目47</v>
      </c>
      <c s="20"/>
      <c s="7"/>
      <c s="7"/>
      <c s="57"/>
      <c s="1"/>
      <c s="61" t="str">
        <f>$B$103</f>
        <v>項目47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$B$104</f>
        <v>項目48</v>
      </c>
      <c s="20"/>
      <c s="7"/>
      <c s="7"/>
      <c s="57"/>
      <c s="1"/>
      <c s="61" t="str">
        <f>$B$104</f>
        <v>項目48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$B$105</f>
        <v>項目49</v>
      </c>
      <c s="20"/>
      <c s="7"/>
      <c s="7"/>
      <c s="57"/>
      <c s="1"/>
      <c s="61" t="str">
        <f>$B$105</f>
        <v>項目49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8" t="str">
        <f>$B$106</f>
        <v>項目50</v>
      </c>
      <c s="21"/>
      <c s="8"/>
      <c s="8"/>
      <c s="52"/>
      <c s="1"/>
      <c s="58" t="str">
        <f>$B$106</f>
        <v>項目50</v>
      </c>
      <c s="21"/>
      <c s="8"/>
      <c s="8"/>
      <c s="52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="81" customFormat="1">
      <c s="5"/>
      <c s="5"/>
      <c s="26"/>
      <c s="26"/>
      <c s="26"/>
      <c s="26"/>
      <c s="5"/>
      <c s="5"/>
      <c s="26"/>
      <c s="26"/>
      <c s="26"/>
      <c s="26"/>
      <c s="5"/>
    </row>
    <row ht="10.5" customHeight="1">
      <c s="1"/>
      <c s="77" t="s">
        <v>48</v>
      </c>
      <c s="13" t="s">
        <v>35</v>
      </c>
      <c s="4"/>
      <c s="4"/>
      <c s="16"/>
      <c s="1"/>
      <c s="76" t="s">
        <v>97</v>
      </c>
      <c s="13" t="s">
        <v>35</v>
      </c>
      <c s="4"/>
      <c s="4"/>
      <c s="1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ht="10.5" customHeight="1">
      <c s="1"/>
      <c s="80"/>
      <c s="14" t="s">
        <v>0</v>
      </c>
      <c s="15" t="s">
        <v>1</v>
      </c>
      <c s="12" t="s">
        <v>2</v>
      </c>
      <c s="39" t="s">
        <v>3</v>
      </c>
      <c s="1"/>
      <c s="73"/>
      <c s="14" t="s">
        <v>0</v>
      </c>
      <c s="15" t="s">
        <v>1</v>
      </c>
      <c s="12" t="s">
        <v>2</v>
      </c>
      <c s="39" t="s">
        <v>3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2" t="str">
        <f>$B$57</f>
        <v>加工食品</v>
      </c>
      <c s="23"/>
      <c s="9"/>
      <c s="9"/>
      <c s="55"/>
      <c s="1"/>
      <c s="62" t="str">
        <f>$B$57</f>
        <v>加工食品</v>
      </c>
      <c s="23"/>
      <c s="9"/>
      <c s="9"/>
      <c s="55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$B$58</f>
        <v>生鮮食品</v>
      </c>
      <c s="20"/>
      <c s="7"/>
      <c s="7"/>
      <c s="57"/>
      <c s="1"/>
      <c s="61" t="str">
        <f>$B$58</f>
        <v>生鮮食品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$B$59</f>
        <v>菓子類</v>
      </c>
      <c s="20"/>
      <c s="7"/>
      <c s="7"/>
      <c s="57"/>
      <c s="1"/>
      <c s="61" t="str">
        <f>$B$59</f>
        <v>菓子類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$B$60</f>
        <v>項目4</v>
      </c>
      <c s="20"/>
      <c s="7"/>
      <c s="7"/>
      <c s="57"/>
      <c s="1"/>
      <c s="61" t="str">
        <f>$B$60</f>
        <v>項目4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$B$61</f>
        <v>項目5</v>
      </c>
      <c s="20"/>
      <c s="7"/>
      <c s="7"/>
      <c s="57"/>
      <c s="1"/>
      <c s="61" t="str">
        <f>$B$61</f>
        <v>項目5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$B$62</f>
        <v>項目6</v>
      </c>
      <c s="20"/>
      <c s="7"/>
      <c s="7"/>
      <c s="57"/>
      <c s="1"/>
      <c s="61" t="str">
        <f>$B$62</f>
        <v>項目6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$B$63</f>
        <v>項目7</v>
      </c>
      <c s="20"/>
      <c s="7"/>
      <c s="7"/>
      <c s="57"/>
      <c s="1"/>
      <c s="61" t="str">
        <f>$B$63</f>
        <v>項目7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$B$64</f>
        <v>項目8</v>
      </c>
      <c s="20"/>
      <c s="7"/>
      <c s="7"/>
      <c s="57"/>
      <c s="1"/>
      <c s="61" t="str">
        <f>$B$64</f>
        <v>項目8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$B$65</f>
        <v>項目9</v>
      </c>
      <c s="20"/>
      <c s="7"/>
      <c s="7"/>
      <c s="57"/>
      <c s="1"/>
      <c s="61" t="str">
        <f>$B$65</f>
        <v>項目9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$B$66</f>
        <v>項目10</v>
      </c>
      <c s="20"/>
      <c s="7"/>
      <c s="7"/>
      <c s="57"/>
      <c s="1"/>
      <c s="61" t="str">
        <f>$B$66</f>
        <v>項目10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$B$67</f>
        <v>項目11</v>
      </c>
      <c s="20"/>
      <c s="7"/>
      <c s="7"/>
      <c s="57"/>
      <c s="1"/>
      <c s="61" t="str">
        <f>$B$67</f>
        <v>項目11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$B$68</f>
        <v>項目12</v>
      </c>
      <c s="20"/>
      <c s="7"/>
      <c s="7"/>
      <c s="57"/>
      <c s="1"/>
      <c s="61" t="str">
        <f>$B$68</f>
        <v>項目12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$B$69</f>
        <v>項目13</v>
      </c>
      <c s="20"/>
      <c s="7"/>
      <c s="7"/>
      <c s="57"/>
      <c s="1"/>
      <c s="61" t="str">
        <f>$B$69</f>
        <v>項目13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$B$70</f>
        <v>項目14</v>
      </c>
      <c s="20"/>
      <c s="7"/>
      <c s="7"/>
      <c s="57"/>
      <c s="1"/>
      <c s="61" t="str">
        <f>$B$70</f>
        <v>項目14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$B$71</f>
        <v>項目15</v>
      </c>
      <c s="20"/>
      <c s="7"/>
      <c s="7"/>
      <c s="57"/>
      <c s="1"/>
      <c s="61" t="str">
        <f>$B$71</f>
        <v>項目15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$B$72</f>
        <v>項目16</v>
      </c>
      <c s="20"/>
      <c s="7"/>
      <c s="7"/>
      <c s="57"/>
      <c s="1"/>
      <c s="61" t="str">
        <f>$B$72</f>
        <v>項目16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$B$73</f>
        <v>項目17</v>
      </c>
      <c s="20"/>
      <c s="7"/>
      <c s="7"/>
      <c s="57"/>
      <c s="1"/>
      <c s="61" t="str">
        <f>$B$73</f>
        <v>項目17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$B$74</f>
        <v>項目18</v>
      </c>
      <c s="20"/>
      <c s="7"/>
      <c s="7"/>
      <c s="57"/>
      <c s="1"/>
      <c s="61" t="str">
        <f>$B$74</f>
        <v>項目18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$B$75</f>
        <v>項目19</v>
      </c>
      <c s="20"/>
      <c s="7"/>
      <c s="7"/>
      <c s="57"/>
      <c s="1"/>
      <c s="61" t="str">
        <f>$B$75</f>
        <v>項目19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$B$76</f>
        <v>項目20</v>
      </c>
      <c s="20"/>
      <c s="7"/>
      <c s="7"/>
      <c s="57"/>
      <c s="1"/>
      <c s="61" t="str">
        <f>$B$76</f>
        <v>項目20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$B$77</f>
        <v>項目21</v>
      </c>
      <c s="20"/>
      <c s="7"/>
      <c s="7"/>
      <c s="57"/>
      <c s="1"/>
      <c s="61" t="str">
        <f>$B$77</f>
        <v>項目21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$B$78</f>
        <v>項目22</v>
      </c>
      <c s="20"/>
      <c s="7"/>
      <c s="7"/>
      <c s="57"/>
      <c s="1"/>
      <c s="61" t="str">
        <f>$B$78</f>
        <v>項目22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$B$79</f>
        <v>項目23</v>
      </c>
      <c s="20"/>
      <c s="7"/>
      <c s="7"/>
      <c s="57"/>
      <c s="1"/>
      <c s="61" t="str">
        <f>$B$79</f>
        <v>項目23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$B$80</f>
        <v>項目24</v>
      </c>
      <c s="20"/>
      <c s="7"/>
      <c s="7"/>
      <c s="57"/>
      <c s="1"/>
      <c s="61" t="str">
        <f>$B$80</f>
        <v>項目24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$B$81</f>
        <v>項目25</v>
      </c>
      <c s="20"/>
      <c s="7"/>
      <c s="7"/>
      <c s="57"/>
      <c s="1"/>
      <c s="61" t="str">
        <f>$B$81</f>
        <v>項目25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$B$82</f>
        <v>項目26</v>
      </c>
      <c s="20"/>
      <c s="7"/>
      <c s="7"/>
      <c s="57"/>
      <c s="1"/>
      <c s="61" t="str">
        <f>$B$82</f>
        <v>項目26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$B$83</f>
        <v>項目27</v>
      </c>
      <c s="20"/>
      <c s="7"/>
      <c s="7"/>
      <c s="57"/>
      <c s="1"/>
      <c s="61" t="str">
        <f>$B$83</f>
        <v>項目27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$B$84</f>
        <v>項目28</v>
      </c>
      <c s="20"/>
      <c s="7"/>
      <c s="7"/>
      <c s="57"/>
      <c s="1"/>
      <c s="61" t="str">
        <f>$B$84</f>
        <v>項目28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$B$85</f>
        <v>項目29</v>
      </c>
      <c s="20"/>
      <c s="7"/>
      <c s="7"/>
      <c s="57"/>
      <c s="1"/>
      <c s="61" t="str">
        <f>$B$85</f>
        <v>項目29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$B$86</f>
        <v>項目30</v>
      </c>
      <c s="20"/>
      <c s="7"/>
      <c s="7"/>
      <c s="57"/>
      <c s="1"/>
      <c s="61" t="str">
        <f>$B$86</f>
        <v>項目30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$B$87</f>
        <v>項目31</v>
      </c>
      <c s="20"/>
      <c s="7"/>
      <c s="7"/>
      <c s="57"/>
      <c s="1"/>
      <c s="61" t="str">
        <f>$B$87</f>
        <v>項目31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$B$88</f>
        <v>項目32</v>
      </c>
      <c s="20"/>
      <c s="7"/>
      <c s="7"/>
      <c s="57"/>
      <c s="1"/>
      <c s="61" t="str">
        <f>$B$88</f>
        <v>項目32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$B$89</f>
        <v>項目33</v>
      </c>
      <c s="20"/>
      <c s="7"/>
      <c s="7"/>
      <c s="57"/>
      <c s="1"/>
      <c s="61" t="str">
        <f>$B$89</f>
        <v>項目33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$B$90</f>
        <v>項目34</v>
      </c>
      <c s="20"/>
      <c s="7"/>
      <c s="7"/>
      <c s="57"/>
      <c s="1"/>
      <c s="61" t="str">
        <f>$B$90</f>
        <v>項目34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$B$91</f>
        <v>項目35</v>
      </c>
      <c s="20"/>
      <c s="7"/>
      <c s="7"/>
      <c s="57"/>
      <c s="1"/>
      <c s="61" t="str">
        <f>$B$91</f>
        <v>項目35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$B$92</f>
        <v>項目36</v>
      </c>
      <c s="20"/>
      <c s="7"/>
      <c s="7"/>
      <c s="57"/>
      <c s="1"/>
      <c s="61" t="str">
        <f>$B$92</f>
        <v>項目36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$B$93</f>
        <v>項目37</v>
      </c>
      <c s="20"/>
      <c s="7"/>
      <c s="7"/>
      <c s="57"/>
      <c s="1"/>
      <c s="61" t="str">
        <f>$B$93</f>
        <v>項目37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$B$94</f>
        <v>項目38</v>
      </c>
      <c s="20"/>
      <c s="7"/>
      <c s="7"/>
      <c s="57"/>
      <c s="1"/>
      <c s="61" t="str">
        <f>$B$94</f>
        <v>項目38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$B$95</f>
        <v>項目39</v>
      </c>
      <c s="20"/>
      <c s="7"/>
      <c s="7"/>
      <c s="57"/>
      <c s="1"/>
      <c s="61" t="str">
        <f>$B$95</f>
        <v>項目39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$B$96</f>
        <v>項目40</v>
      </c>
      <c s="20"/>
      <c s="7"/>
      <c s="7"/>
      <c s="57"/>
      <c s="1"/>
      <c s="61" t="str">
        <f>$B$96</f>
        <v>項目40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$B$97</f>
        <v>項目41</v>
      </c>
      <c s="20"/>
      <c s="7"/>
      <c s="7"/>
      <c s="57"/>
      <c s="1"/>
      <c s="61" t="str">
        <f>$B$97</f>
        <v>項目41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$B$98</f>
        <v>項目42</v>
      </c>
      <c s="20"/>
      <c s="7"/>
      <c s="7"/>
      <c s="57"/>
      <c s="1"/>
      <c s="61" t="str">
        <f>$B$98</f>
        <v>項目42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$B$99</f>
        <v>項目43</v>
      </c>
      <c s="20"/>
      <c s="7"/>
      <c s="7"/>
      <c s="57"/>
      <c s="1"/>
      <c s="61" t="str">
        <f>$B$99</f>
        <v>項目43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$B$100</f>
        <v>項目44</v>
      </c>
      <c s="20"/>
      <c s="7"/>
      <c s="7"/>
      <c s="57"/>
      <c s="1"/>
      <c s="61" t="str">
        <f>$B$100</f>
        <v>項目44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$B$101</f>
        <v>項目45</v>
      </c>
      <c s="20"/>
      <c s="7"/>
      <c s="7"/>
      <c s="57"/>
      <c s="1"/>
      <c s="61" t="str">
        <f>$B$101</f>
        <v>項目45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$B$102</f>
        <v>項目46</v>
      </c>
      <c s="20"/>
      <c s="7"/>
      <c s="7"/>
      <c s="57"/>
      <c s="1"/>
      <c s="61" t="str">
        <f>$B$102</f>
        <v>項目46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$B$103</f>
        <v>項目47</v>
      </c>
      <c s="20"/>
      <c s="7"/>
      <c s="7"/>
      <c s="57"/>
      <c s="1"/>
      <c s="61" t="str">
        <f>$B$103</f>
        <v>項目47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$B$104</f>
        <v>項目48</v>
      </c>
      <c s="20"/>
      <c s="7"/>
      <c s="7"/>
      <c s="57"/>
      <c s="1"/>
      <c s="61" t="str">
        <f>$B$104</f>
        <v>項目48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$B$105</f>
        <v>項目49</v>
      </c>
      <c s="20"/>
      <c s="7"/>
      <c s="7"/>
      <c s="57"/>
      <c s="1"/>
      <c s="61" t="str">
        <f>$B$105</f>
        <v>項目49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8" t="str">
        <f>$B$106</f>
        <v>項目50</v>
      </c>
      <c s="21"/>
      <c s="8"/>
      <c s="8"/>
      <c s="52"/>
      <c s="1"/>
      <c s="58" t="str">
        <f>$B$106</f>
        <v>項目50</v>
      </c>
      <c s="21"/>
      <c s="8"/>
      <c s="8"/>
      <c s="52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="81" customFormat="1">
      <c s="5"/>
      <c s="5"/>
      <c s="26"/>
      <c s="26"/>
      <c s="26"/>
      <c s="26"/>
      <c s="5"/>
      <c s="5"/>
      <c s="26"/>
      <c s="26"/>
      <c s="26"/>
      <c s="26"/>
      <c s="5"/>
    </row>
    <row ht="10.5" customHeight="1">
      <c s="1"/>
      <c s="77" t="s">
        <v>49</v>
      </c>
      <c s="13" t="s">
        <v>35</v>
      </c>
      <c s="4"/>
      <c s="4"/>
      <c s="16"/>
      <c s="1"/>
      <c s="76" t="s">
        <v>98</v>
      </c>
      <c s="13" t="s">
        <v>35</v>
      </c>
      <c s="4"/>
      <c s="4"/>
      <c s="1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ht="10.5" customHeight="1">
      <c s="1"/>
      <c s="80"/>
      <c s="14" t="s">
        <v>0</v>
      </c>
      <c s="15" t="s">
        <v>1</v>
      </c>
      <c s="12" t="s">
        <v>2</v>
      </c>
      <c s="39" t="s">
        <v>3</v>
      </c>
      <c s="1"/>
      <c s="73"/>
      <c s="14" t="s">
        <v>0</v>
      </c>
      <c s="15" t="s">
        <v>1</v>
      </c>
      <c s="12" t="s">
        <v>2</v>
      </c>
      <c s="39" t="s">
        <v>3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2" t="str">
        <f>$B$57</f>
        <v>加工食品</v>
      </c>
      <c s="23"/>
      <c s="9"/>
      <c s="9"/>
      <c s="55"/>
      <c s="1"/>
      <c s="62" t="str">
        <f>$B$57</f>
        <v>加工食品</v>
      </c>
      <c s="23"/>
      <c s="9"/>
      <c s="9"/>
      <c s="55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$B$58</f>
        <v>生鮮食品</v>
      </c>
      <c s="20"/>
      <c s="7"/>
      <c s="7"/>
      <c s="57"/>
      <c s="1"/>
      <c s="61" t="str">
        <f>$B$58</f>
        <v>生鮮食品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$B$59</f>
        <v>菓子類</v>
      </c>
      <c s="20"/>
      <c s="7"/>
      <c s="7"/>
      <c s="57"/>
      <c s="1"/>
      <c s="61" t="str">
        <f>$B$59</f>
        <v>菓子類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$B$60</f>
        <v>項目4</v>
      </c>
      <c s="20"/>
      <c s="7"/>
      <c s="7"/>
      <c s="57"/>
      <c s="1"/>
      <c s="61" t="str">
        <f>$B$60</f>
        <v>項目4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$B$61</f>
        <v>項目5</v>
      </c>
      <c s="20"/>
      <c s="7"/>
      <c s="7"/>
      <c s="57"/>
      <c s="1"/>
      <c s="61" t="str">
        <f>$B$61</f>
        <v>項目5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$B$62</f>
        <v>項目6</v>
      </c>
      <c s="20"/>
      <c s="7"/>
      <c s="7"/>
      <c s="57"/>
      <c s="1"/>
      <c s="61" t="str">
        <f>$B$62</f>
        <v>項目6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$B$63</f>
        <v>項目7</v>
      </c>
      <c s="20"/>
      <c s="7"/>
      <c s="7"/>
      <c s="57"/>
      <c s="1"/>
      <c s="61" t="str">
        <f>$B$63</f>
        <v>項目7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$B$64</f>
        <v>項目8</v>
      </c>
      <c s="20"/>
      <c s="7"/>
      <c s="7"/>
      <c s="57"/>
      <c s="1"/>
      <c s="61" t="str">
        <f>$B$64</f>
        <v>項目8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$B$65</f>
        <v>項目9</v>
      </c>
      <c s="20"/>
      <c s="7"/>
      <c s="7"/>
      <c s="57"/>
      <c s="1"/>
      <c s="61" t="str">
        <f>$B$65</f>
        <v>項目9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$B$66</f>
        <v>項目10</v>
      </c>
      <c s="20"/>
      <c s="7"/>
      <c s="7"/>
      <c s="57"/>
      <c s="1"/>
      <c s="61" t="str">
        <f>$B$66</f>
        <v>項目10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$B$67</f>
        <v>項目11</v>
      </c>
      <c s="20"/>
      <c s="7"/>
      <c s="7"/>
      <c s="57"/>
      <c s="1"/>
      <c s="61" t="str">
        <f>$B$67</f>
        <v>項目11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$B$68</f>
        <v>項目12</v>
      </c>
      <c s="20"/>
      <c s="7"/>
      <c s="7"/>
      <c s="57"/>
      <c s="1"/>
      <c s="61" t="str">
        <f>$B$68</f>
        <v>項目12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$B$69</f>
        <v>項目13</v>
      </c>
      <c s="20"/>
      <c s="7"/>
      <c s="7"/>
      <c s="57"/>
      <c s="1"/>
      <c s="61" t="str">
        <f>$B$69</f>
        <v>項目13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$B$70</f>
        <v>項目14</v>
      </c>
      <c s="20"/>
      <c s="7"/>
      <c s="7"/>
      <c s="57"/>
      <c s="1"/>
      <c s="61" t="str">
        <f>$B$70</f>
        <v>項目14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$B$71</f>
        <v>項目15</v>
      </c>
      <c s="20"/>
      <c s="7"/>
      <c s="7"/>
      <c s="57"/>
      <c s="1"/>
      <c s="61" t="str">
        <f>$B$71</f>
        <v>項目15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$B$72</f>
        <v>項目16</v>
      </c>
      <c s="20"/>
      <c s="7"/>
      <c s="7"/>
      <c s="57"/>
      <c s="1"/>
      <c s="61" t="str">
        <f>$B$72</f>
        <v>項目16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$B$73</f>
        <v>項目17</v>
      </c>
      <c s="20"/>
      <c s="7"/>
      <c s="7"/>
      <c s="57"/>
      <c s="1"/>
      <c s="61" t="str">
        <f>$B$73</f>
        <v>項目17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$B$74</f>
        <v>項目18</v>
      </c>
      <c s="20"/>
      <c s="7"/>
      <c s="7"/>
      <c s="57"/>
      <c s="1"/>
      <c s="61" t="str">
        <f>$B$74</f>
        <v>項目18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$B$75</f>
        <v>項目19</v>
      </c>
      <c s="20"/>
      <c s="7"/>
      <c s="7"/>
      <c s="57"/>
      <c s="1"/>
      <c s="61" t="str">
        <f>$B$75</f>
        <v>項目19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$B$76</f>
        <v>項目20</v>
      </c>
      <c s="20"/>
      <c s="7"/>
      <c s="7"/>
      <c s="57"/>
      <c s="1"/>
      <c s="61" t="str">
        <f>$B$76</f>
        <v>項目20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$B$77</f>
        <v>項目21</v>
      </c>
      <c s="20"/>
      <c s="7"/>
      <c s="7"/>
      <c s="57"/>
      <c s="1"/>
      <c s="61" t="str">
        <f>$B$77</f>
        <v>項目21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$B$78</f>
        <v>項目22</v>
      </c>
      <c s="20"/>
      <c s="7"/>
      <c s="7"/>
      <c s="57"/>
      <c s="1"/>
      <c s="61" t="str">
        <f>$B$78</f>
        <v>項目22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$B$79</f>
        <v>項目23</v>
      </c>
      <c s="20"/>
      <c s="7"/>
      <c s="7"/>
      <c s="57"/>
      <c s="1"/>
      <c s="61" t="str">
        <f>$B$79</f>
        <v>項目23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$B$80</f>
        <v>項目24</v>
      </c>
      <c s="20"/>
      <c s="7"/>
      <c s="7"/>
      <c s="57"/>
      <c s="1"/>
      <c s="61" t="str">
        <f>$B$80</f>
        <v>項目24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$B$81</f>
        <v>項目25</v>
      </c>
      <c s="20"/>
      <c s="7"/>
      <c s="7"/>
      <c s="57"/>
      <c s="1"/>
      <c s="61" t="str">
        <f>$B$81</f>
        <v>項目25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$B$82</f>
        <v>項目26</v>
      </c>
      <c s="20"/>
      <c s="7"/>
      <c s="7"/>
      <c s="57"/>
      <c s="1"/>
      <c s="61" t="str">
        <f>$B$82</f>
        <v>項目26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$B$83</f>
        <v>項目27</v>
      </c>
      <c s="20"/>
      <c s="7"/>
      <c s="7"/>
      <c s="57"/>
      <c s="1"/>
      <c s="61" t="str">
        <f>$B$83</f>
        <v>項目27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$B$84</f>
        <v>項目28</v>
      </c>
      <c s="20"/>
      <c s="7"/>
      <c s="7"/>
      <c s="57"/>
      <c s="1"/>
      <c s="61" t="str">
        <f>$B$84</f>
        <v>項目28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$B$85</f>
        <v>項目29</v>
      </c>
      <c s="20"/>
      <c s="7"/>
      <c s="7"/>
      <c s="57"/>
      <c s="1"/>
      <c s="61" t="str">
        <f>$B$85</f>
        <v>項目29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$B$86</f>
        <v>項目30</v>
      </c>
      <c s="20"/>
      <c s="7"/>
      <c s="7"/>
      <c s="57"/>
      <c s="1"/>
      <c s="61" t="str">
        <f>$B$86</f>
        <v>項目30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$B$87</f>
        <v>項目31</v>
      </c>
      <c s="20"/>
      <c s="7"/>
      <c s="7"/>
      <c s="57"/>
      <c s="1"/>
      <c s="61" t="str">
        <f>$B$87</f>
        <v>項目31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$B$88</f>
        <v>項目32</v>
      </c>
      <c s="20"/>
      <c s="7"/>
      <c s="7"/>
      <c s="57"/>
      <c s="1"/>
      <c s="61" t="str">
        <f>$B$88</f>
        <v>項目32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$B$89</f>
        <v>項目33</v>
      </c>
      <c s="20"/>
      <c s="7"/>
      <c s="7"/>
      <c s="57"/>
      <c s="1"/>
      <c s="61" t="str">
        <f>$B$89</f>
        <v>項目33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$B$90</f>
        <v>項目34</v>
      </c>
      <c s="20"/>
      <c s="7"/>
      <c s="7"/>
      <c s="57"/>
      <c s="1"/>
      <c s="61" t="str">
        <f>$B$90</f>
        <v>項目34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$B$91</f>
        <v>項目35</v>
      </c>
      <c s="20"/>
      <c s="7"/>
      <c s="7"/>
      <c s="57"/>
      <c s="1"/>
      <c s="61" t="str">
        <f>$B$91</f>
        <v>項目35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$B$92</f>
        <v>項目36</v>
      </c>
      <c s="20"/>
      <c s="7"/>
      <c s="7"/>
      <c s="57"/>
      <c s="1"/>
      <c s="61" t="str">
        <f>$B$92</f>
        <v>項目36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$B$93</f>
        <v>項目37</v>
      </c>
      <c s="20"/>
      <c s="7"/>
      <c s="7"/>
      <c s="57"/>
      <c s="1"/>
      <c s="61" t="str">
        <f>$B$93</f>
        <v>項目37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$B$94</f>
        <v>項目38</v>
      </c>
      <c s="20"/>
      <c s="7"/>
      <c s="7"/>
      <c s="57"/>
      <c s="1"/>
      <c s="61" t="str">
        <f>$B$94</f>
        <v>項目38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$B$95</f>
        <v>項目39</v>
      </c>
      <c s="20"/>
      <c s="7"/>
      <c s="7"/>
      <c s="57"/>
      <c s="1"/>
      <c s="61" t="str">
        <f>$B$95</f>
        <v>項目39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$B$96</f>
        <v>項目40</v>
      </c>
      <c s="20"/>
      <c s="7"/>
      <c s="7"/>
      <c s="57"/>
      <c s="1"/>
      <c s="61" t="str">
        <f>$B$96</f>
        <v>項目40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$B$97</f>
        <v>項目41</v>
      </c>
      <c s="20"/>
      <c s="7"/>
      <c s="7"/>
      <c s="57"/>
      <c s="1"/>
      <c s="61" t="str">
        <f>$B$97</f>
        <v>項目41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$B$98</f>
        <v>項目42</v>
      </c>
      <c s="20"/>
      <c s="7"/>
      <c s="7"/>
      <c s="57"/>
      <c s="1"/>
      <c s="61" t="str">
        <f>$B$98</f>
        <v>項目42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$B$99</f>
        <v>項目43</v>
      </c>
      <c s="20"/>
      <c s="7"/>
      <c s="7"/>
      <c s="57"/>
      <c s="1"/>
      <c s="61" t="str">
        <f>$B$99</f>
        <v>項目43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$B$100</f>
        <v>項目44</v>
      </c>
      <c s="20"/>
      <c s="7"/>
      <c s="7"/>
      <c s="57"/>
      <c s="1"/>
      <c s="61" t="str">
        <f>$B$100</f>
        <v>項目44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$B$101</f>
        <v>項目45</v>
      </c>
      <c s="20"/>
      <c s="7"/>
      <c s="7"/>
      <c s="57"/>
      <c s="1"/>
      <c s="61" t="str">
        <f>$B$101</f>
        <v>項目45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$B$102</f>
        <v>項目46</v>
      </c>
      <c s="20"/>
      <c s="7"/>
      <c s="7"/>
      <c s="57"/>
      <c s="1"/>
      <c s="61" t="str">
        <f>$B$102</f>
        <v>項目46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$B$103</f>
        <v>項目47</v>
      </c>
      <c s="20"/>
      <c s="7"/>
      <c s="7"/>
      <c s="57"/>
      <c s="1"/>
      <c s="61" t="str">
        <f>$B$103</f>
        <v>項目47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$B$104</f>
        <v>項目48</v>
      </c>
      <c s="20"/>
      <c s="7"/>
      <c s="7"/>
      <c s="57"/>
      <c s="1"/>
      <c s="61" t="str">
        <f>$B$104</f>
        <v>項目48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$B$105</f>
        <v>項目49</v>
      </c>
      <c s="20"/>
      <c s="7"/>
      <c s="7"/>
      <c s="57"/>
      <c s="1"/>
      <c s="61" t="str">
        <f>$B$105</f>
        <v>項目49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8" t="str">
        <f>$B$106</f>
        <v>項目50</v>
      </c>
      <c s="21"/>
      <c s="8"/>
      <c s="8"/>
      <c s="52"/>
      <c s="1"/>
      <c s="58" t="str">
        <f>$B$106</f>
        <v>項目50</v>
      </c>
      <c s="21"/>
      <c s="8"/>
      <c s="8"/>
      <c s="52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="81" customFormat="1">
      <c s="5"/>
      <c s="5"/>
      <c s="26"/>
      <c s="26"/>
      <c s="26"/>
      <c s="26"/>
      <c s="5"/>
      <c s="5"/>
      <c s="26"/>
      <c s="26"/>
      <c s="26"/>
      <c s="26"/>
      <c s="5"/>
    </row>
    <row ht="10.5" customHeight="1">
      <c s="1"/>
      <c s="77" t="s">
        <v>50</v>
      </c>
      <c s="13" t="s">
        <v>35</v>
      </c>
      <c s="4"/>
      <c s="4"/>
      <c s="16"/>
      <c s="1"/>
      <c s="76" t="s">
        <v>99</v>
      </c>
      <c s="13" t="s">
        <v>35</v>
      </c>
      <c s="4"/>
      <c s="4"/>
      <c s="1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80"/>
      <c s="14" t="s">
        <v>0</v>
      </c>
      <c s="15" t="s">
        <v>1</v>
      </c>
      <c s="12" t="s">
        <v>2</v>
      </c>
      <c s="39" t="s">
        <v>3</v>
      </c>
      <c s="1"/>
      <c s="73"/>
      <c s="14" t="s">
        <v>0</v>
      </c>
      <c s="15" t="s">
        <v>1</v>
      </c>
      <c s="12" t="s">
        <v>2</v>
      </c>
      <c s="39" t="s">
        <v>3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2" t="str">
        <f>$B$57</f>
        <v>加工食品</v>
      </c>
      <c s="23"/>
      <c s="9"/>
      <c s="9"/>
      <c s="55"/>
      <c s="1"/>
      <c s="62" t="str">
        <f>$B$57</f>
        <v>加工食品</v>
      </c>
      <c s="23"/>
      <c s="9"/>
      <c s="9"/>
      <c s="55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$B$58</f>
        <v>生鮮食品</v>
      </c>
      <c s="20"/>
      <c s="7"/>
      <c s="7"/>
      <c s="57"/>
      <c s="1"/>
      <c s="61" t="str">
        <f>$B$58</f>
        <v>生鮮食品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$B$59</f>
        <v>菓子類</v>
      </c>
      <c s="20"/>
      <c s="7"/>
      <c s="7"/>
      <c s="57"/>
      <c s="1"/>
      <c s="61" t="str">
        <f>$B$59</f>
        <v>菓子類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$B$60</f>
        <v>項目4</v>
      </c>
      <c s="20"/>
      <c s="7"/>
      <c s="7"/>
      <c s="57"/>
      <c s="1"/>
      <c s="61" t="str">
        <f>$B$60</f>
        <v>項目4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$B$61</f>
        <v>項目5</v>
      </c>
      <c s="20"/>
      <c s="7"/>
      <c s="7"/>
      <c s="57"/>
      <c s="1"/>
      <c s="61" t="str">
        <f>$B$61</f>
        <v>項目5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$B$62</f>
        <v>項目6</v>
      </c>
      <c s="20"/>
      <c s="7"/>
      <c s="7"/>
      <c s="57"/>
      <c s="1"/>
      <c s="61" t="str">
        <f>$B$62</f>
        <v>項目6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$B$63</f>
        <v>項目7</v>
      </c>
      <c s="20"/>
      <c s="7"/>
      <c s="7"/>
      <c s="57"/>
      <c s="1"/>
      <c s="61" t="str">
        <f>$B$63</f>
        <v>項目7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$B$64</f>
        <v>項目8</v>
      </c>
      <c s="20"/>
      <c s="7"/>
      <c s="7"/>
      <c s="57"/>
      <c s="1"/>
      <c s="61" t="str">
        <f>$B$64</f>
        <v>項目8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$B$65</f>
        <v>項目9</v>
      </c>
      <c s="20"/>
      <c s="7"/>
      <c s="7"/>
      <c s="57"/>
      <c s="1"/>
      <c s="61" t="str">
        <f>$B$65</f>
        <v>項目9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$B$66</f>
        <v>項目10</v>
      </c>
      <c s="20"/>
      <c s="7"/>
      <c s="7"/>
      <c s="57"/>
      <c s="1"/>
      <c s="61" t="str">
        <f>$B$66</f>
        <v>項目10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$B$67</f>
        <v>項目11</v>
      </c>
      <c s="20"/>
      <c s="7"/>
      <c s="7"/>
      <c s="57"/>
      <c s="1"/>
      <c s="61" t="str">
        <f>$B$67</f>
        <v>項目11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$B$68</f>
        <v>項目12</v>
      </c>
      <c s="20"/>
      <c s="7"/>
      <c s="7"/>
      <c s="57"/>
      <c s="1"/>
      <c s="61" t="str">
        <f>$B$68</f>
        <v>項目12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$B$69</f>
        <v>項目13</v>
      </c>
      <c s="20"/>
      <c s="7"/>
      <c s="7"/>
      <c s="57"/>
      <c s="1"/>
      <c s="61" t="str">
        <f>$B$69</f>
        <v>項目13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$B$70</f>
        <v>項目14</v>
      </c>
      <c s="20"/>
      <c s="7"/>
      <c s="7"/>
      <c s="57"/>
      <c s="1"/>
      <c s="61" t="str">
        <f>$B$70</f>
        <v>項目14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$B$71</f>
        <v>項目15</v>
      </c>
      <c s="20"/>
      <c s="7"/>
      <c s="7"/>
      <c s="57"/>
      <c s="1"/>
      <c s="61" t="str">
        <f>$B$71</f>
        <v>項目15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$B$72</f>
        <v>項目16</v>
      </c>
      <c s="20"/>
      <c s="7"/>
      <c s="7"/>
      <c s="57"/>
      <c s="1"/>
      <c s="61" t="str">
        <f>$B$72</f>
        <v>項目16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$B$73</f>
        <v>項目17</v>
      </c>
      <c s="20"/>
      <c s="7"/>
      <c s="7"/>
      <c s="57"/>
      <c s="1"/>
      <c s="61" t="str">
        <f>$B$73</f>
        <v>項目17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$B$74</f>
        <v>項目18</v>
      </c>
      <c s="20"/>
      <c s="7"/>
      <c s="7"/>
      <c s="57"/>
      <c s="1"/>
      <c s="61" t="str">
        <f>$B$74</f>
        <v>項目18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$B$75</f>
        <v>項目19</v>
      </c>
      <c s="20"/>
      <c s="7"/>
      <c s="7"/>
      <c s="57"/>
      <c s="1"/>
      <c s="61" t="str">
        <f>$B$75</f>
        <v>項目19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$B$76</f>
        <v>項目20</v>
      </c>
      <c s="20"/>
      <c s="7"/>
      <c s="7"/>
      <c s="57"/>
      <c s="1"/>
      <c s="61" t="str">
        <f>$B$76</f>
        <v>項目20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$B$77</f>
        <v>項目21</v>
      </c>
      <c s="20"/>
      <c s="7"/>
      <c s="7"/>
      <c s="57"/>
      <c s="1"/>
      <c s="61" t="str">
        <f>$B$77</f>
        <v>項目21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$B$78</f>
        <v>項目22</v>
      </c>
      <c s="20"/>
      <c s="7"/>
      <c s="7"/>
      <c s="57"/>
      <c s="1"/>
      <c s="61" t="str">
        <f>$B$78</f>
        <v>項目22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$B$79</f>
        <v>項目23</v>
      </c>
      <c s="20"/>
      <c s="7"/>
      <c s="7"/>
      <c s="57"/>
      <c s="1"/>
      <c s="61" t="str">
        <f>$B$79</f>
        <v>項目23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$B$80</f>
        <v>項目24</v>
      </c>
      <c s="20"/>
      <c s="7"/>
      <c s="7"/>
      <c s="57"/>
      <c s="1"/>
      <c s="61" t="str">
        <f>$B$80</f>
        <v>項目24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$B$81</f>
        <v>項目25</v>
      </c>
      <c s="20"/>
      <c s="7"/>
      <c s="7"/>
      <c s="57"/>
      <c s="1"/>
      <c s="61" t="str">
        <f>$B$81</f>
        <v>項目25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$B$82</f>
        <v>項目26</v>
      </c>
      <c s="20"/>
      <c s="7"/>
      <c s="7"/>
      <c s="57"/>
      <c s="1"/>
      <c s="61" t="str">
        <f>$B$82</f>
        <v>項目26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$B$83</f>
        <v>項目27</v>
      </c>
      <c s="20"/>
      <c s="7"/>
      <c s="7"/>
      <c s="57"/>
      <c s="1"/>
      <c s="61" t="str">
        <f>$B$83</f>
        <v>項目27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$B$84</f>
        <v>項目28</v>
      </c>
      <c s="20"/>
      <c s="7"/>
      <c s="7"/>
      <c s="57"/>
      <c s="1"/>
      <c s="61" t="str">
        <f>$B$84</f>
        <v>項目28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$B$85</f>
        <v>項目29</v>
      </c>
      <c s="20"/>
      <c s="7"/>
      <c s="7"/>
      <c s="57"/>
      <c s="1"/>
      <c s="61" t="str">
        <f>$B$85</f>
        <v>項目29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$B$86</f>
        <v>項目30</v>
      </c>
      <c s="20"/>
      <c s="7"/>
      <c s="7"/>
      <c s="57"/>
      <c s="1"/>
      <c s="61" t="str">
        <f>$B$86</f>
        <v>項目30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$B$87</f>
        <v>項目31</v>
      </c>
      <c s="20"/>
      <c s="7"/>
      <c s="7"/>
      <c s="57"/>
      <c s="1"/>
      <c s="61" t="str">
        <f>$B$87</f>
        <v>項目31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$B$88</f>
        <v>項目32</v>
      </c>
      <c s="20"/>
      <c s="7"/>
      <c s="7"/>
      <c s="57"/>
      <c s="1"/>
      <c s="61" t="str">
        <f>$B$88</f>
        <v>項目32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$B$89</f>
        <v>項目33</v>
      </c>
      <c s="20"/>
      <c s="7"/>
      <c s="7"/>
      <c s="57"/>
      <c s="1"/>
      <c s="61" t="str">
        <f>$B$89</f>
        <v>項目33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$B$90</f>
        <v>項目34</v>
      </c>
      <c s="20"/>
      <c s="7"/>
      <c s="7"/>
      <c s="57"/>
      <c s="1"/>
      <c s="61" t="str">
        <f>$B$90</f>
        <v>項目34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$B$91</f>
        <v>項目35</v>
      </c>
      <c s="20"/>
      <c s="7"/>
      <c s="7"/>
      <c s="57"/>
      <c s="1"/>
      <c s="61" t="str">
        <f>$B$91</f>
        <v>項目35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$B$92</f>
        <v>項目36</v>
      </c>
      <c s="20"/>
      <c s="7"/>
      <c s="7"/>
      <c s="57"/>
      <c s="1"/>
      <c s="61" t="str">
        <f>$B$92</f>
        <v>項目36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$B$93</f>
        <v>項目37</v>
      </c>
      <c s="20"/>
      <c s="7"/>
      <c s="7"/>
      <c s="57"/>
      <c s="1"/>
      <c s="61" t="str">
        <f>$B$93</f>
        <v>項目37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$B$94</f>
        <v>項目38</v>
      </c>
      <c s="20"/>
      <c s="7"/>
      <c s="7"/>
      <c s="57"/>
      <c s="1"/>
      <c s="61" t="str">
        <f>$B$94</f>
        <v>項目38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$B$95</f>
        <v>項目39</v>
      </c>
      <c s="20"/>
      <c s="7"/>
      <c s="7"/>
      <c s="57"/>
      <c s="1"/>
      <c s="61" t="str">
        <f>$B$95</f>
        <v>項目39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$B$96</f>
        <v>項目40</v>
      </c>
      <c s="20"/>
      <c s="7"/>
      <c s="7"/>
      <c s="57"/>
      <c s="1"/>
      <c s="61" t="str">
        <f>$B$96</f>
        <v>項目40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$B$97</f>
        <v>項目41</v>
      </c>
      <c s="20"/>
      <c s="7"/>
      <c s="7"/>
      <c s="57"/>
      <c s="1"/>
      <c s="61" t="str">
        <f>$B$97</f>
        <v>項目41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$B$98</f>
        <v>項目42</v>
      </c>
      <c s="20"/>
      <c s="7"/>
      <c s="7"/>
      <c s="57"/>
      <c s="1"/>
      <c s="61" t="str">
        <f>$B$98</f>
        <v>項目42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$B$99</f>
        <v>項目43</v>
      </c>
      <c s="20"/>
      <c s="7"/>
      <c s="7"/>
      <c s="57"/>
      <c s="1"/>
      <c s="61" t="str">
        <f>$B$99</f>
        <v>項目43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$B$100</f>
        <v>項目44</v>
      </c>
      <c s="20"/>
      <c s="7"/>
      <c s="7"/>
      <c s="57"/>
      <c s="1"/>
      <c s="61" t="str">
        <f>$B$100</f>
        <v>項目44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$B$101</f>
        <v>項目45</v>
      </c>
      <c s="20"/>
      <c s="7"/>
      <c s="7"/>
      <c s="57"/>
      <c s="1"/>
      <c s="61" t="str">
        <f>$B$101</f>
        <v>項目45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$B$102</f>
        <v>項目46</v>
      </c>
      <c s="20"/>
      <c s="7"/>
      <c s="7"/>
      <c s="57"/>
      <c s="1"/>
      <c s="61" t="str">
        <f>$B$102</f>
        <v>項目46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$B$103</f>
        <v>項目47</v>
      </c>
      <c s="20"/>
      <c s="7"/>
      <c s="7"/>
      <c s="57"/>
      <c s="1"/>
      <c s="61" t="str">
        <f>$B$103</f>
        <v>項目47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$B$104</f>
        <v>項目48</v>
      </c>
      <c s="20"/>
      <c s="7"/>
      <c s="7"/>
      <c s="57"/>
      <c s="1"/>
      <c s="61" t="str">
        <f>$B$104</f>
        <v>項目48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1" t="str">
        <f>$B$105</f>
        <v>項目49</v>
      </c>
      <c s="20"/>
      <c s="7"/>
      <c s="7"/>
      <c s="57"/>
      <c s="1"/>
      <c s="61" t="str">
        <f>$B$105</f>
        <v>項目49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8" t="str">
        <f>$B$106</f>
        <v>項目50</v>
      </c>
      <c s="21"/>
      <c s="8"/>
      <c s="8"/>
      <c s="52"/>
      <c s="1"/>
      <c s="58" t="str">
        <f>$B$106</f>
        <v>項目50</v>
      </c>
      <c s="21"/>
      <c s="8"/>
      <c s="8"/>
      <c s="52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="81" customFormat="1">
      <c s="5"/>
      <c s="5"/>
      <c s="26">
        <v>0</v>
      </c>
      <c s="26"/>
      <c s="26"/>
      <c s="26"/>
      <c s="5"/>
      <c s="5"/>
      <c s="26">
        <v>0</v>
      </c>
      <c s="26"/>
      <c s="26"/>
      <c s="26"/>
      <c s="5">
        <v>1</v>
      </c>
      <c s="5"/>
      <c s="5">
        <v>3</v>
      </c>
      <c s="5"/>
      <c s="5"/>
      <c s="5"/>
      <c s="5">
        <v>4</v>
      </c>
      <c s="5"/>
      <c s="5"/>
      <c s="5"/>
      <c s="5">
        <v>5</v>
      </c>
      <c s="5"/>
      <c s="5"/>
      <c s="5"/>
      <c s="5">
        <v>6</v>
      </c>
      <c s="5"/>
      <c s="5"/>
      <c s="5"/>
      <c s="5">
        <v>7</v>
      </c>
      <c s="5"/>
      <c s="5"/>
      <c s="5"/>
      <c s="5">
        <v>8</v>
      </c>
      <c s="5"/>
      <c s="5"/>
      <c s="5"/>
      <c s="5">
        <v>9</v>
      </c>
      <c s="5"/>
      <c s="5"/>
      <c s="5"/>
      <c s="5">
        <v>10</v>
      </c>
      <c s="5"/>
      <c s="5"/>
      <c s="5"/>
      <c s="5">
        <v>11</v>
      </c>
      <c s="5"/>
      <c s="5"/>
      <c s="5"/>
      <c s="5"/>
    </row>
    <row ht="10.5" customHeight="1" s="165" customFormat="1">
      <c s="85"/>
      <c s="74" t="s">
        <v>51</v>
      </c>
      <c s="13" t="str">
        <f>INDEX(INFO!$AC$4:$AN$5,1,DATA!C$213+1)</f>
        <v>4月</v>
      </c>
      <c s="4"/>
      <c s="4"/>
      <c s="16"/>
      <c s="13" t="str">
        <f>INDEX(INFO!$AC$4:$AN$5,1,DATA!G$213+1)</f>
        <v>5月</v>
      </c>
      <c s="4"/>
      <c s="4"/>
      <c s="16"/>
      <c s="13" t="str">
        <f>INDEX(INFO!$AC$4:$AN$5,1,DATA!K$213+1)</f>
        <v>6月</v>
      </c>
      <c s="4"/>
      <c s="4"/>
      <c s="16"/>
      <c s="13" t="str">
        <f>INDEX(INFO!$AC$4:$AN$5,1,DATA!O$213+1)</f>
        <v>7月</v>
      </c>
      <c s="4"/>
      <c s="4"/>
      <c s="16"/>
      <c s="13" t="str">
        <f>INDEX(INFO!$AC$4:$AN$5,1,DATA!S$213+1)</f>
        <v>8月</v>
      </c>
      <c s="4"/>
      <c s="4"/>
      <c s="16"/>
      <c s="13" t="str">
        <f>INDEX(INFO!$AC$4:$AN$5,1,DATA!W$213+1)</f>
        <v>9月</v>
      </c>
      <c s="4"/>
      <c s="4"/>
      <c s="16"/>
      <c s="13" t="str">
        <f>INDEX(INFO!$AC$4:$AN$5,1,DATA!AA$213+1)</f>
        <v>10月</v>
      </c>
      <c s="4"/>
      <c s="4"/>
      <c s="16"/>
      <c s="13" t="str">
        <f>INDEX(INFO!$AC$4:$AN$5,1,DATA!AE$213+1)</f>
        <v>11月</v>
      </c>
      <c s="4"/>
      <c s="4"/>
      <c s="16"/>
      <c s="13" t="str">
        <f>INDEX(INFO!$AC$4:$AN$5,1,DATA!AI$213+1)</f>
        <v>12月</v>
      </c>
      <c s="4"/>
      <c s="4"/>
      <c s="16"/>
      <c s="13" t="str">
        <f>INDEX(INFO!$AC$4:$AN$5,1,DATA!AM$213+1)</f>
        <v>1月</v>
      </c>
      <c s="4"/>
      <c s="4"/>
      <c s="16"/>
      <c s="13" t="str">
        <f>INDEX(INFO!$AC$4:$AN$5,1,DATA!AQ$213+1)</f>
        <v>2月</v>
      </c>
      <c s="4"/>
      <c s="4"/>
      <c s="16"/>
      <c s="13" t="str">
        <f>INDEX(INFO!$AC$4:$AN$5,1,DATA!AU$213+1)</f>
        <v>3月</v>
      </c>
      <c s="4"/>
      <c s="4"/>
      <c s="16"/>
      <c s="85"/>
    </row>
    <row s="165" customFormat="1">
      <c s="85"/>
      <c s="72"/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39" t="s">
        <v>3</v>
      </c>
      <c s="85"/>
    </row>
    <row>
      <c s="1"/>
      <c s="62" t="str">
        <f>$B$57</f>
        <v>加工食品</v>
      </c>
      <c s="23">
        <v>21465684.214899998</v>
      </c>
      <c s="9">
        <v>3946504086.8632002</v>
      </c>
      <c s="9">
        <v>0</v>
      </c>
      <c s="9">
        <v>2972091399.9057999</v>
      </c>
      <c s="23">
        <v>21526253.705400001</v>
      </c>
      <c s="9">
        <v>3971531297.3945999</v>
      </c>
      <c s="9">
        <v>0</v>
      </c>
      <c s="9">
        <v>3022771912.8871999</v>
      </c>
      <c s="23">
        <v>20902876.4201</v>
      </c>
      <c s="9">
        <v>3871812869.7519002</v>
      </c>
      <c s="9">
        <v>0</v>
      </c>
      <c s="9">
        <v>3048405624.0948</v>
      </c>
      <c s="23">
        <v>21125168.973099999</v>
      </c>
      <c s="9">
        <v>3926607697.8435998</v>
      </c>
      <c s="9">
        <v>0</v>
      </c>
      <c s="9">
        <v>3010522094.5296998</v>
      </c>
      <c s="23">
        <v>21301898.755800001</v>
      </c>
      <c s="9">
        <v>4098441443.6834002</v>
      </c>
      <c s="9">
        <v>0</v>
      </c>
      <c s="9">
        <v>3062224829.4225998</v>
      </c>
      <c s="23">
        <v>21120221.978</v>
      </c>
      <c s="9">
        <v>3957499616.8301001</v>
      </c>
      <c s="9">
        <v>0</v>
      </c>
      <c s="9">
        <v>3049012593.0472002</v>
      </c>
      <c s="23">
        <v>21728099.320099998</v>
      </c>
      <c s="9">
        <v>4020451468.2774</v>
      </c>
      <c s="9">
        <v>0</v>
      </c>
      <c s="9">
        <v>3032098997.1841998</v>
      </c>
      <c s="23">
        <v>20894975.1987</v>
      </c>
      <c s="9">
        <v>3878326893.0830002</v>
      </c>
      <c s="9">
        <v>0</v>
      </c>
      <c s="9">
        <v>2933185264.1903</v>
      </c>
      <c s="23">
        <v>23547192.8442</v>
      </c>
      <c s="9">
        <v>4887963446.8533001</v>
      </c>
      <c s="9">
        <v>0</v>
      </c>
      <c s="9">
        <v>3563816675.191</v>
      </c>
      <c s="23">
        <v>20139398.8473</v>
      </c>
      <c s="9">
        <v>3781648518.9917998</v>
      </c>
      <c s="9">
        <v>0</v>
      </c>
      <c s="9">
        <v>2807304821.2793999</v>
      </c>
      <c s="23">
        <v>21254650.056899998</v>
      </c>
      <c s="9">
        <v>3998841873.349</v>
      </c>
      <c s="9">
        <v>0</v>
      </c>
      <c s="9">
        <v>3033322248.8978</v>
      </c>
      <c s="23">
        <v>23127781.3453</v>
      </c>
      <c s="9">
        <v>4379669190.9587002</v>
      </c>
      <c s="9">
        <v>0</v>
      </c>
      <c s="55">
        <v>3475929952.2950001</v>
      </c>
      <c s="1"/>
    </row>
    <row>
      <c s="1"/>
      <c s="61" t="str">
        <f>$B$58</f>
        <v>生鮮食品</v>
      </c>
      <c s="20">
        <v>18996012.3783</v>
      </c>
      <c s="7">
        <v>4100224923.6820002</v>
      </c>
      <c s="7">
        <v>0</v>
      </c>
      <c s="7">
        <v>374884857.88990003</v>
      </c>
      <c s="20">
        <v>19093899.4531</v>
      </c>
      <c s="7">
        <v>4116517669.5493999</v>
      </c>
      <c s="7">
        <v>0</v>
      </c>
      <c s="7">
        <v>362067382.49059999</v>
      </c>
      <c s="20">
        <v>18264559.430300001</v>
      </c>
      <c s="7">
        <v>3979256460.4478998</v>
      </c>
      <c s="7">
        <v>0</v>
      </c>
      <c s="7">
        <v>366746301.79430002</v>
      </c>
      <c s="20">
        <v>17862776.4267</v>
      </c>
      <c s="7">
        <v>3955551913.2472</v>
      </c>
      <c s="7">
        <v>0</v>
      </c>
      <c s="7">
        <v>369846840.22369999</v>
      </c>
      <c s="20">
        <v>18411737.576200001</v>
      </c>
      <c s="7">
        <v>4311220438.9890003</v>
      </c>
      <c s="7">
        <v>0</v>
      </c>
      <c s="7">
        <v>378685728.5158</v>
      </c>
      <c s="20">
        <v>18508697.690299999</v>
      </c>
      <c s="7">
        <v>4162987912.8849001</v>
      </c>
      <c s="7">
        <v>0</v>
      </c>
      <c s="7">
        <v>372121284.69239998</v>
      </c>
      <c s="20">
        <v>19684109.170899998</v>
      </c>
      <c s="7">
        <v>4269068609.2112999</v>
      </c>
      <c s="7">
        <v>0</v>
      </c>
      <c s="7">
        <v>395637532.63739997</v>
      </c>
      <c s="20">
        <v>18571740.5244</v>
      </c>
      <c s="7">
        <v>4017732129.7891998</v>
      </c>
      <c s="7">
        <v>0</v>
      </c>
      <c s="7">
        <v>393968861.63529998</v>
      </c>
      <c s="20">
        <v>19913020.7894</v>
      </c>
      <c s="7">
        <v>5013957998.5754004</v>
      </c>
      <c s="7">
        <v>0</v>
      </c>
      <c s="7">
        <v>434920534.86489999</v>
      </c>
      <c s="20">
        <v>17835623.0145</v>
      </c>
      <c s="7">
        <v>4128172795.1278</v>
      </c>
      <c s="7">
        <v>0</v>
      </c>
      <c s="7">
        <v>381301921.64829999</v>
      </c>
      <c s="20">
        <v>18110553.858100001</v>
      </c>
      <c s="7">
        <v>4011830988.1465998</v>
      </c>
      <c s="7">
        <v>0</v>
      </c>
      <c s="7">
        <v>377684556.47710001</v>
      </c>
      <c s="20">
        <v>19788964.8761</v>
      </c>
      <c s="7">
        <v>4414592683.7258997</v>
      </c>
      <c s="7">
        <v>0</v>
      </c>
      <c s="57">
        <v>425098628.26749998</v>
      </c>
      <c s="1"/>
    </row>
    <row>
      <c s="1"/>
      <c s="61" t="str">
        <f>$B$59</f>
        <v>菓子類</v>
      </c>
      <c s="20">
        <v>7136769.9910000004</v>
      </c>
      <c s="7">
        <v>981868212.14199996</v>
      </c>
      <c s="7">
        <v>0</v>
      </c>
      <c s="7">
        <v>783158757.56159997</v>
      </c>
      <c s="20">
        <v>7309926.0483999997</v>
      </c>
      <c s="7">
        <v>998629102.04320002</v>
      </c>
      <c s="7">
        <v>0</v>
      </c>
      <c s="7">
        <v>851718388.39479995</v>
      </c>
      <c s="20">
        <v>7139560.9755999995</v>
      </c>
      <c s="7">
        <v>969685323.9914</v>
      </c>
      <c s="7">
        <v>0</v>
      </c>
      <c s="7">
        <v>857270281.66050005</v>
      </c>
      <c s="20">
        <v>7346791.0181999998</v>
      </c>
      <c s="7">
        <v>993141710.90680003</v>
      </c>
      <c s="7">
        <v>0</v>
      </c>
      <c s="7">
        <v>902520171.21029997</v>
      </c>
      <c s="20">
        <v>7556608.7615999999</v>
      </c>
      <c s="7">
        <v>1044617757.9622</v>
      </c>
      <c s="7">
        <v>0</v>
      </c>
      <c s="7">
        <v>945776007.7464</v>
      </c>
      <c s="20">
        <v>6856682.8137999997</v>
      </c>
      <c s="7">
        <v>947113228.03629994</v>
      </c>
      <c s="7">
        <v>0</v>
      </c>
      <c s="7">
        <v>819246445.2493</v>
      </c>
      <c s="20">
        <v>6814843.7800000003</v>
      </c>
      <c s="7">
        <v>942774546.42219996</v>
      </c>
      <c s="7">
        <v>0</v>
      </c>
      <c s="7">
        <v>762545831.62300003</v>
      </c>
      <c s="20">
        <v>6307931.3583000004</v>
      </c>
      <c s="7">
        <v>889805684.19149995</v>
      </c>
      <c s="7">
        <v>0</v>
      </c>
      <c s="7">
        <v>681669972.06570005</v>
      </c>
      <c s="20">
        <v>6820768.1705</v>
      </c>
      <c s="7">
        <v>1062810833.1648999</v>
      </c>
      <c s="7">
        <v>0</v>
      </c>
      <c s="7">
        <v>729990965.36380005</v>
      </c>
      <c s="20">
        <v>6256911.3033999996</v>
      </c>
      <c s="7">
        <v>898534501.71759999</v>
      </c>
      <c s="7">
        <v>0</v>
      </c>
      <c s="7">
        <v>677569974.52600002</v>
      </c>
      <c s="20">
        <v>6900267.4526000004</v>
      </c>
      <c s="7">
        <v>993338382.27919996</v>
      </c>
      <c s="7">
        <v>0</v>
      </c>
      <c s="7">
        <v>725861494.42900002</v>
      </c>
      <c s="20">
        <v>7599768.4617999997</v>
      </c>
      <c s="7">
        <v>1084319685.7103</v>
      </c>
      <c s="7">
        <v>0</v>
      </c>
      <c s="57">
        <v>820196575.31789994</v>
      </c>
      <c s="1"/>
    </row>
    <row>
      <c s="1"/>
      <c s="61" t="str">
        <f>$B$60</f>
        <v>項目4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$B$61</f>
        <v>項目5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$B$62</f>
        <v>項目6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$B$63</f>
        <v>項目7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$B$64</f>
        <v>項目8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$B$65</f>
        <v>項目9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$B$66</f>
        <v>項目10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$B$67</f>
        <v>項目11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$B$68</f>
        <v>項目12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$B$69</f>
        <v>項目13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$B$70</f>
        <v>項目14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$B$71</f>
        <v>項目15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$B$72</f>
        <v>項目16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$B$73</f>
        <v>項目17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$B$74</f>
        <v>項目18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$B$75</f>
        <v>項目19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$B$76</f>
        <v>項目20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$B$77</f>
        <v>項目21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$B$78</f>
        <v>項目22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$B$79</f>
        <v>項目23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$B$80</f>
        <v>項目24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$B$81</f>
        <v>項目25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$B$82</f>
        <v>項目26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$B$83</f>
        <v>項目27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$B$84</f>
        <v>項目28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$B$85</f>
        <v>項目29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$B$86</f>
        <v>項目30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$B$87</f>
        <v>項目31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$B$88</f>
        <v>項目32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$B$89</f>
        <v>項目33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$B$90</f>
        <v>項目34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$B$91</f>
        <v>項目35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$B$92</f>
        <v>項目36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$B$93</f>
        <v>項目37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$B$94</f>
        <v>項目38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$B$95</f>
        <v>項目39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$B$96</f>
        <v>項目40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$B$97</f>
        <v>項目41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$B$98</f>
        <v>項目42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$B$99</f>
        <v>項目43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$B$100</f>
        <v>項目44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$B$101</f>
        <v>項目45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$B$102</f>
        <v>項目46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$B$103</f>
        <v>項目47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$B$104</f>
        <v>項目48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$B$105</f>
        <v>項目49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58" t="str">
        <f>$B$106</f>
        <v>項目50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2"/>
      <c s="1"/>
    </row>
    <row s="81" customFormat="1">
      <c s="5"/>
      <c s="5"/>
      <c s="26"/>
      <c s="26"/>
      <c s="26"/>
      <c s="26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0.5" customHeight="1" s="165" customFormat="1">
      <c s="85"/>
      <c s="74" t="s">
        <v>52</v>
      </c>
      <c s="13" t="str">
        <f>INDEX(INFO!$AC$4:$AN$5,1,DATA!C$213+1)</f>
        <v>4月</v>
      </c>
      <c s="4"/>
      <c s="4"/>
      <c s="16"/>
      <c s="13" t="str">
        <f>INDEX(INFO!$AC$4:$AN$5,1,DATA!G$213+1)</f>
        <v>5月</v>
      </c>
      <c s="4"/>
      <c s="4"/>
      <c s="16"/>
      <c s="13" t="str">
        <f>INDEX(INFO!$AC$4:$AN$5,1,DATA!K$213+1)</f>
        <v>6月</v>
      </c>
      <c s="4"/>
      <c s="4"/>
      <c s="16"/>
      <c s="13" t="str">
        <f>INDEX(INFO!$AC$4:$AN$5,1,DATA!O$213+1)</f>
        <v>7月</v>
      </c>
      <c s="4"/>
      <c s="4"/>
      <c s="16"/>
      <c s="13" t="str">
        <f>INDEX(INFO!$AC$4:$AN$5,1,DATA!S$213+1)</f>
        <v>8月</v>
      </c>
      <c s="4"/>
      <c s="4"/>
      <c s="16"/>
      <c s="13" t="str">
        <f>INDEX(INFO!$AC$4:$AN$5,1,DATA!W$213+1)</f>
        <v>9月</v>
      </c>
      <c s="4"/>
      <c s="4"/>
      <c s="16"/>
      <c s="13" t="str">
        <f>INDEX(INFO!$AC$4:$AN$5,1,DATA!AA$213+1)</f>
        <v>10月</v>
      </c>
      <c s="4"/>
      <c s="4"/>
      <c s="16"/>
      <c s="13" t="str">
        <f>INDEX(INFO!$AC$4:$AN$5,1,DATA!AE$213+1)</f>
        <v>11月</v>
      </c>
      <c s="4"/>
      <c s="4"/>
      <c s="16"/>
      <c s="13" t="str">
        <f>INDEX(INFO!$AC$4:$AN$5,1,DATA!AI$213+1)</f>
        <v>12月</v>
      </c>
      <c s="4"/>
      <c s="4"/>
      <c s="16"/>
      <c s="13" t="str">
        <f>INDEX(INFO!$AC$4:$AN$5,1,DATA!AM$213+1)</f>
        <v>1月</v>
      </c>
      <c s="4"/>
      <c s="4"/>
      <c s="16"/>
      <c s="13" t="str">
        <f>INDEX(INFO!$AC$4:$AN$5,1,DATA!AQ$213+1)</f>
        <v>2月</v>
      </c>
      <c s="4"/>
      <c s="4"/>
      <c s="16"/>
      <c s="13" t="str">
        <f>INDEX(INFO!$AC$4:$AN$5,1,DATA!AU$213+1)</f>
        <v>3月</v>
      </c>
      <c s="4"/>
      <c s="4"/>
      <c s="16"/>
      <c s="85"/>
    </row>
    <row s="165" customFormat="1">
      <c s="85"/>
      <c s="72"/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39" t="s">
        <v>3</v>
      </c>
      <c s="85"/>
    </row>
    <row>
      <c s="1"/>
      <c s="62" t="str">
        <f>$B$57</f>
        <v>加工食品</v>
      </c>
      <c s="23">
        <v>16726665.775599999</v>
      </c>
      <c s="9">
        <v>2854683334.0440998</v>
      </c>
      <c s="9">
        <v>0</v>
      </c>
      <c s="9">
        <v>3019410297.0925002</v>
      </c>
      <c s="23">
        <v>16863880.7766</v>
      </c>
      <c s="9">
        <v>2890674239.1574001</v>
      </c>
      <c s="9">
        <v>0</v>
      </c>
      <c s="9">
        <v>3070016065.1827002</v>
      </c>
      <c s="23">
        <v>16529079.9684</v>
      </c>
      <c s="9">
        <v>2848409438.9521999</v>
      </c>
      <c s="9">
        <v>0</v>
      </c>
      <c s="9">
        <v>3090652349.9562001</v>
      </c>
      <c s="23">
        <v>16778755.2612</v>
      </c>
      <c s="9">
        <v>2907473689.8221002</v>
      </c>
      <c s="9">
        <v>0</v>
      </c>
      <c s="9">
        <v>3179674731.3014998</v>
      </c>
      <c s="23">
        <v>16730400.312200001</v>
      </c>
      <c s="9">
        <v>2933368663.8578</v>
      </c>
      <c s="9">
        <v>0</v>
      </c>
      <c s="9">
        <v>3138396610.6378002</v>
      </c>
      <c s="23">
        <v>16564570.472899999</v>
      </c>
      <c s="9">
        <v>2874834745.9703002</v>
      </c>
      <c s="9">
        <v>0</v>
      </c>
      <c s="9">
        <v>3115319803.9060001</v>
      </c>
      <c s="23">
        <v>17177106.9947</v>
      </c>
      <c s="9">
        <v>2953157508.1208</v>
      </c>
      <c s="9">
        <v>0</v>
      </c>
      <c s="9">
        <v>3152146199.7564001</v>
      </c>
      <c s="23">
        <v>16415993.916300001</v>
      </c>
      <c s="9">
        <v>2838582885.0352001</v>
      </c>
      <c s="9">
        <v>0</v>
      </c>
      <c s="9">
        <v>3029401441.4931998</v>
      </c>
      <c s="23">
        <v>18700888.104699999</v>
      </c>
      <c s="9">
        <v>3600216184.0123</v>
      </c>
      <c s="9">
        <v>0</v>
      </c>
      <c s="9">
        <v>3673875645.7442002</v>
      </c>
      <c s="23">
        <v>20548213.159899998</v>
      </c>
      <c s="9">
        <v>3823323064.1687999</v>
      </c>
      <c s="9">
        <v>0</v>
      </c>
      <c s="9">
        <v>2925450479.7389998</v>
      </c>
      <c s="23">
        <v>20083217.417199999</v>
      </c>
      <c s="9">
        <v>3700971689.9095001</v>
      </c>
      <c s="9">
        <v>0</v>
      </c>
      <c s="9">
        <v>2826347071.8752999</v>
      </c>
      <c s="23">
        <v>21799197.686900001</v>
      </c>
      <c s="9">
        <v>4006515159.0633998</v>
      </c>
      <c s="9">
        <v>0</v>
      </c>
      <c s="55">
        <v>3047584003.5771999</v>
      </c>
      <c s="1"/>
    </row>
    <row>
      <c s="1"/>
      <c s="61" t="str">
        <f>$B$58</f>
        <v>生鮮食品</v>
      </c>
      <c s="20">
        <v>4067490.2777</v>
      </c>
      <c s="7">
        <v>507749153.51190001</v>
      </c>
      <c s="7">
        <v>0</v>
      </c>
      <c s="7">
        <v>343661059.47729999</v>
      </c>
      <c s="20">
        <v>4238838.1018000003</v>
      </c>
      <c s="7">
        <v>532880927.01959997</v>
      </c>
      <c s="7">
        <v>0</v>
      </c>
      <c s="7">
        <v>344350681.93919998</v>
      </c>
      <c s="20">
        <v>4101908.0287000001</v>
      </c>
      <c s="7">
        <v>531195387.30559999</v>
      </c>
      <c s="7">
        <v>0</v>
      </c>
      <c s="7">
        <v>325198342.75059998</v>
      </c>
      <c s="20">
        <v>3986102.3158</v>
      </c>
      <c s="7">
        <v>514895609.89709997</v>
      </c>
      <c s="7">
        <v>0</v>
      </c>
      <c s="7">
        <v>307693140.95560002</v>
      </c>
      <c s="20">
        <v>3927728.6066999999</v>
      </c>
      <c s="7">
        <v>525482944.05400002</v>
      </c>
      <c s="7">
        <v>0</v>
      </c>
      <c s="7">
        <v>315801529.38980001</v>
      </c>
      <c s="20">
        <v>4044738.8928</v>
      </c>
      <c s="7">
        <v>537961829.34239995</v>
      </c>
      <c s="7">
        <v>0</v>
      </c>
      <c s="7">
        <v>338293695.68849999</v>
      </c>
      <c s="20">
        <v>4293317.7674000002</v>
      </c>
      <c s="7">
        <v>569205406.67509997</v>
      </c>
      <c s="7">
        <v>0</v>
      </c>
      <c s="7">
        <v>368240954.99970001</v>
      </c>
      <c s="20">
        <v>4120187.4473999999</v>
      </c>
      <c s="7">
        <v>538557926.95120001</v>
      </c>
      <c s="7">
        <v>0</v>
      </c>
      <c s="7">
        <v>352812959.69419998</v>
      </c>
      <c s="20">
        <v>4260003.4769000001</v>
      </c>
      <c s="7">
        <v>582978532.70179999</v>
      </c>
      <c s="7">
        <v>0</v>
      </c>
      <c s="7">
        <v>368303646.2705</v>
      </c>
      <c s="20">
        <v>17837044.793900002</v>
      </c>
      <c s="7">
        <v>4143607603.4986</v>
      </c>
      <c s="7">
        <v>0</v>
      </c>
      <c s="7">
        <v>384520958.50120002</v>
      </c>
      <c s="20">
        <v>17505768.558600001</v>
      </c>
      <c s="7">
        <v>3843732803.1647</v>
      </c>
      <c s="7">
        <v>0</v>
      </c>
      <c s="7">
        <v>368401320.45920002</v>
      </c>
      <c s="20">
        <v>19125546.806699999</v>
      </c>
      <c s="7">
        <v>4131248135.5798998</v>
      </c>
      <c s="7">
        <v>0</v>
      </c>
      <c s="57">
        <v>399872108.81650001</v>
      </c>
      <c s="1"/>
    </row>
    <row>
      <c s="1"/>
      <c s="61" t="str">
        <f>$B$59</f>
        <v>菓子類</v>
      </c>
      <c s="20">
        <v>7367878.2869999995</v>
      </c>
      <c s="7">
        <v>995404306.45159996</v>
      </c>
      <c s="7">
        <v>0</v>
      </c>
      <c s="7">
        <v>835420575.54499996</v>
      </c>
      <c s="20">
        <v>7526290.3227000004</v>
      </c>
      <c s="7">
        <v>1012821718.9471999</v>
      </c>
      <c s="7">
        <v>0</v>
      </c>
      <c s="7">
        <v>876151907.38390005</v>
      </c>
      <c s="20">
        <v>7443561.5795999998</v>
      </c>
      <c s="7">
        <v>993914114.69169998</v>
      </c>
      <c s="7">
        <v>0</v>
      </c>
      <c s="7">
        <v>905997731.67270005</v>
      </c>
      <c s="20">
        <v>7980785.2944</v>
      </c>
      <c s="7">
        <v>1052785881.7029999</v>
      </c>
      <c s="7">
        <v>0</v>
      </c>
      <c s="7">
        <v>1044467027.0579</v>
      </c>
      <c s="20">
        <v>7769874.1886</v>
      </c>
      <c s="7">
        <v>1059584227.3890001</v>
      </c>
      <c s="7">
        <v>0</v>
      </c>
      <c s="7">
        <v>993567312.94459999</v>
      </c>
      <c s="20">
        <v>6950218.2784000002</v>
      </c>
      <c s="7">
        <v>945916976.54089999</v>
      </c>
      <c s="7">
        <v>0</v>
      </c>
      <c s="7">
        <v>818361177.77160001</v>
      </c>
      <c s="20">
        <v>6990093.3046000004</v>
      </c>
      <c s="7">
        <v>947892915.26489997</v>
      </c>
      <c s="7">
        <v>0</v>
      </c>
      <c s="7">
        <v>782827921.13380003</v>
      </c>
      <c s="20">
        <v>6499191.3305000002</v>
      </c>
      <c s="7">
        <v>900245635.01090002</v>
      </c>
      <c s="7">
        <v>0</v>
      </c>
      <c s="7">
        <v>704541666.921</v>
      </c>
      <c s="20">
        <v>6984084.0509000001</v>
      </c>
      <c s="7">
        <v>1077703459.4932001</v>
      </c>
      <c s="7">
        <v>0</v>
      </c>
      <c s="7">
        <v>744468954.68900001</v>
      </c>
      <c s="20">
        <v>6532600.8865999999</v>
      </c>
      <c s="7">
        <v>931565228.75660002</v>
      </c>
      <c s="7">
        <v>0</v>
      </c>
      <c s="7">
        <v>709881224.40180004</v>
      </c>
      <c s="20">
        <v>6716199.6364000002</v>
      </c>
      <c s="7">
        <v>959650186.05219996</v>
      </c>
      <c s="7">
        <v>0</v>
      </c>
      <c s="7">
        <v>700719708.44560003</v>
      </c>
      <c s="20">
        <v>7323950.6385000004</v>
      </c>
      <c s="7">
        <v>1025777925.7961</v>
      </c>
      <c s="7">
        <v>0</v>
      </c>
      <c s="57">
        <v>783301929.51259995</v>
      </c>
      <c s="1"/>
    </row>
    <row>
      <c s="1"/>
      <c s="61" t="str">
        <f>$B$60</f>
        <v>項目4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$B$61</f>
        <v>項目5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$B$62</f>
        <v>項目6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$B$63</f>
        <v>項目7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$B$64</f>
        <v>項目8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$B$65</f>
        <v>項目9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$B$66</f>
        <v>項目10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$B$67</f>
        <v>項目11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$B$68</f>
        <v>項目12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$B$69</f>
        <v>項目13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$B$70</f>
        <v>項目14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$B$71</f>
        <v>項目15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$B$72</f>
        <v>項目16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$B$73</f>
        <v>項目17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$B$74</f>
        <v>項目18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$B$75</f>
        <v>項目19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$B$76</f>
        <v>項目20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$B$77</f>
        <v>項目21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$B$78</f>
        <v>項目22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$B$79</f>
        <v>項目23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$B$80</f>
        <v>項目24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$B$81</f>
        <v>項目25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$B$82</f>
        <v>項目26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$B$83</f>
        <v>項目27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$B$84</f>
        <v>項目28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$B$85</f>
        <v>項目29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$B$86</f>
        <v>項目30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$B$87</f>
        <v>項目31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$B$88</f>
        <v>項目32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$B$89</f>
        <v>項目33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$B$90</f>
        <v>項目34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$B$91</f>
        <v>項目35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$B$92</f>
        <v>項目36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$B$93</f>
        <v>項目37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$B$94</f>
        <v>項目38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$B$95</f>
        <v>項目39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$B$96</f>
        <v>項目40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$B$97</f>
        <v>項目41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$B$98</f>
        <v>項目42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$B$99</f>
        <v>項目43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$B$100</f>
        <v>項目44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$B$101</f>
        <v>項目45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$B$102</f>
        <v>項目46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$B$103</f>
        <v>項目47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$B$104</f>
        <v>項目48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$B$105</f>
        <v>項目49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58" t="str">
        <f>$B$106</f>
        <v>項目50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2"/>
      <c s="1"/>
    </row>
    <row s="81" customFormat="1">
      <c s="5"/>
      <c s="5"/>
      <c s="26"/>
      <c s="26"/>
      <c s="26"/>
      <c s="26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0.5" customHeight="1">
      <c s="1"/>
      <c s="74" t="s">
        <v>53</v>
      </c>
      <c s="13" t="str">
        <f>INDEX(INFO!$AC$4:$AN$5,1,DATA!C$213+1)</f>
        <v>4月</v>
      </c>
      <c s="4"/>
      <c s="4"/>
      <c s="16"/>
      <c s="13" t="str">
        <f>INDEX(INFO!$AC$4:$AN$5,1,DATA!G$213+1)</f>
        <v>5月</v>
      </c>
      <c s="4"/>
      <c s="4"/>
      <c s="16"/>
      <c s="13" t="str">
        <f>INDEX(INFO!$AC$4:$AN$5,1,DATA!K$213+1)</f>
        <v>6月</v>
      </c>
      <c s="4"/>
      <c s="4"/>
      <c s="16"/>
      <c s="13" t="str">
        <f>INDEX(INFO!$AC$4:$AN$5,1,DATA!O$213+1)</f>
        <v>7月</v>
      </c>
      <c s="4"/>
      <c s="4"/>
      <c s="16"/>
      <c s="13" t="str">
        <f>INDEX(INFO!$AC$4:$AN$5,1,DATA!S$213+1)</f>
        <v>8月</v>
      </c>
      <c s="4"/>
      <c s="4"/>
      <c s="16"/>
      <c s="13" t="str">
        <f>INDEX(INFO!$AC$4:$AN$5,1,DATA!W$213+1)</f>
        <v>9月</v>
      </c>
      <c s="4"/>
      <c s="4"/>
      <c s="16"/>
      <c s="13" t="str">
        <f>INDEX(INFO!$AC$4:$AN$5,1,DATA!AA$213+1)</f>
        <v>10月</v>
      </c>
      <c s="4"/>
      <c s="4"/>
      <c s="16"/>
      <c s="13" t="str">
        <f>INDEX(INFO!$AC$4:$AN$5,1,DATA!AE$213+1)</f>
        <v>11月</v>
      </c>
      <c s="4"/>
      <c s="4"/>
      <c s="16"/>
      <c s="13" t="str">
        <f>INDEX(INFO!$AC$4:$AN$5,1,DATA!AI$213+1)</f>
        <v>12月</v>
      </c>
      <c s="4"/>
      <c s="4"/>
      <c s="16"/>
      <c s="13" t="str">
        <f>INDEX(INFO!$AC$4:$AN$5,1,DATA!AM$213+1)</f>
        <v>1月</v>
      </c>
      <c s="4"/>
      <c s="4"/>
      <c s="16"/>
      <c s="13" t="str">
        <f>INDEX(INFO!$AC$4:$AN$5,1,DATA!AQ$213+1)</f>
        <v>2月</v>
      </c>
      <c s="4"/>
      <c s="4"/>
      <c s="16"/>
      <c s="13" t="str">
        <f>INDEX(INFO!$AC$4:$AN$5,1,DATA!AU$213+1)</f>
        <v>3月</v>
      </c>
      <c s="4"/>
      <c s="4"/>
      <c s="16"/>
      <c s="1"/>
    </row>
    <row ht="10.5" customHeight="1">
      <c s="1"/>
      <c s="72"/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39" t="s">
        <v>3</v>
      </c>
      <c s="1"/>
    </row>
    <row>
      <c s="1"/>
      <c s="62" t="str">
        <f>$B$57</f>
        <v>加工食品</v>
      </c>
      <c s="23">
        <v>24833454.846500002</v>
      </c>
      <c s="9">
        <v>4856325546.1007996</v>
      </c>
      <c s="9">
        <v>0</v>
      </c>
      <c s="9">
        <v>3738035295.1287999</v>
      </c>
      <c s="23">
        <v>24982476.697799999</v>
      </c>
      <c s="9">
        <v>4871087597.4129</v>
      </c>
      <c s="9">
        <v>0</v>
      </c>
      <c s="9">
        <v>3770522228.7632999</v>
      </c>
      <c s="23">
        <v>23674220.680500001</v>
      </c>
      <c s="9">
        <v>4655880647.0812998</v>
      </c>
      <c s="9">
        <v>0</v>
      </c>
      <c s="9">
        <v>3745719377.2082</v>
      </c>
      <c s="23">
        <v>23819295.034200002</v>
      </c>
      <c s="9">
        <v>4733175065.2356005</v>
      </c>
      <c s="9">
        <v>0</v>
      </c>
      <c s="9">
        <v>3649728659.1034002</v>
      </c>
      <c s="23">
        <v>23463837.484299999</v>
      </c>
      <c s="9">
        <v>4722516823.2653999</v>
      </c>
      <c s="9">
        <v>0</v>
      </c>
      <c s="9">
        <v>3618638776.9215999</v>
      </c>
      <c s="23">
        <v>23421701.346799999</v>
      </c>
      <c s="9">
        <v>4708171878.3148003</v>
      </c>
      <c s="9">
        <v>0</v>
      </c>
      <c s="9">
        <v>3711859844.6896</v>
      </c>
      <c s="23">
        <v>24634229.734299999</v>
      </c>
      <c s="9">
        <v>4859828347.1702003</v>
      </c>
      <c s="9">
        <v>0</v>
      </c>
      <c s="9">
        <v>3773684879.4885998</v>
      </c>
      <c s="23">
        <v>23641373.5704</v>
      </c>
      <c s="9">
        <v>4670471108.6546001</v>
      </c>
      <c s="9">
        <v>0</v>
      </c>
      <c s="9">
        <v>3554540851.8523998</v>
      </c>
      <c s="23">
        <v>26462288.329700001</v>
      </c>
      <c s="9">
        <v>5809551273.0710001</v>
      </c>
      <c s="9">
        <v>0</v>
      </c>
      <c s="9">
        <v>4311534634.7047997</v>
      </c>
      <c s="23">
        <v>22815054.751699999</v>
      </c>
      <c s="9">
        <v>4567963944.4561005</v>
      </c>
      <c s="9">
        <v>0</v>
      </c>
      <c s="9">
        <v>3461506138.6644001</v>
      </c>
      <c s="23">
        <v>24165799.403900001</v>
      </c>
      <c s="9">
        <v>4873110252.8070002</v>
      </c>
      <c s="9">
        <v>0</v>
      </c>
      <c s="9">
        <v>3805219538.8807998</v>
      </c>
      <c s="23">
        <v>27603370.379799999</v>
      </c>
      <c s="9">
        <v>5616429538.2083998</v>
      </c>
      <c s="9">
        <v>0</v>
      </c>
      <c s="55">
        <v>4547381095.0469999</v>
      </c>
      <c s="1"/>
    </row>
    <row>
      <c s="1"/>
      <c s="61" t="str">
        <f>$B$58</f>
        <v>生鮮食品</v>
      </c>
      <c s="20">
        <v>22115557.595600002</v>
      </c>
      <c s="7">
        <v>4939181682.8663998</v>
      </c>
      <c s="7">
        <v>0</v>
      </c>
      <c s="7">
        <v>453744214.94370002</v>
      </c>
      <c s="20">
        <v>24588880.925299998</v>
      </c>
      <c s="7">
        <v>5238830845.1773005</v>
      </c>
      <c s="7">
        <v>0</v>
      </c>
      <c s="7">
        <v>507396930.0273</v>
      </c>
      <c s="20">
        <v>20198443.434900001</v>
      </c>
      <c s="7">
        <v>4610606813.3896999</v>
      </c>
      <c s="7">
        <v>0</v>
      </c>
      <c s="7">
        <v>441228411.71390003</v>
      </c>
      <c s="20">
        <v>21656200.481800001</v>
      </c>
      <c s="7">
        <v>4989820898.5509996</v>
      </c>
      <c s="7">
        <v>0</v>
      </c>
      <c s="7">
        <v>542615857.21210003</v>
      </c>
      <c s="20">
        <v>20762687.084399998</v>
      </c>
      <c s="7">
        <v>4980413134.9937</v>
      </c>
      <c s="7">
        <v>0</v>
      </c>
      <c s="7">
        <v>551266891.07089996</v>
      </c>
      <c s="20">
        <v>19772526.101100001</v>
      </c>
      <c s="7">
        <v>4675864591.4547005</v>
      </c>
      <c s="7">
        <v>0</v>
      </c>
      <c s="7">
        <v>475089409.67860001</v>
      </c>
      <c s="20">
        <v>21788211.767200001</v>
      </c>
      <c s="7">
        <v>4913055199.9636002</v>
      </c>
      <c s="7">
        <v>0</v>
      </c>
      <c s="7">
        <v>454933999.13999999</v>
      </c>
      <c s="20">
        <v>19768562.363499999</v>
      </c>
      <c s="7">
        <v>4460252264.3882999</v>
      </c>
      <c s="7">
        <v>0</v>
      </c>
      <c s="7">
        <v>425454486.98220003</v>
      </c>
      <c s="20">
        <v>21619705.516100001</v>
      </c>
      <c s="7">
        <v>5686471339.6400003</v>
      </c>
      <c s="7">
        <v>0</v>
      </c>
      <c s="7">
        <v>501159316.78109998</v>
      </c>
      <c s="20">
        <v>19702858.889199998</v>
      </c>
      <c s="7">
        <v>4757216130.2628002</v>
      </c>
      <c s="7">
        <v>0</v>
      </c>
      <c s="7">
        <v>445411268.49760002</v>
      </c>
      <c s="20">
        <v>21022041.629799999</v>
      </c>
      <c s="7">
        <v>4896923326.3417997</v>
      </c>
      <c s="7">
        <v>0</v>
      </c>
      <c s="7">
        <v>452986410.91280001</v>
      </c>
      <c s="20">
        <v>22524949.985599998</v>
      </c>
      <c s="7">
        <v>5330797050.7284002</v>
      </c>
      <c s="7">
        <v>0</v>
      </c>
      <c s="57">
        <v>566045386.78670001</v>
      </c>
      <c s="1"/>
    </row>
    <row>
      <c s="1"/>
      <c s="61" t="str">
        <f>$B$59</f>
        <v>菓子類</v>
      </c>
      <c s="20">
        <v>8218884.5192999998</v>
      </c>
      <c s="7">
        <v>1152809683.6745</v>
      </c>
      <c s="7">
        <v>0</v>
      </c>
      <c s="7">
        <v>956184689.46370006</v>
      </c>
      <c s="20">
        <v>8390944.4971999992</v>
      </c>
      <c s="7">
        <v>1169149345.1721001</v>
      </c>
      <c s="7">
        <v>0</v>
      </c>
      <c s="7">
        <v>1020726468.9289</v>
      </c>
      <c s="20">
        <v>8114484.9747000001</v>
      </c>
      <c s="7">
        <v>1127873176.8701999</v>
      </c>
      <c s="7">
        <v>0</v>
      </c>
      <c s="7">
        <v>1008027102.8945</v>
      </c>
      <c s="20">
        <v>8231692.4398999996</v>
      </c>
      <c s="7">
        <v>1137014993.9177999</v>
      </c>
      <c s="7">
        <v>0</v>
      </c>
      <c s="7">
        <v>1047481389.5697</v>
      </c>
      <c s="20">
        <v>8237654.5580000002</v>
      </c>
      <c s="7">
        <v>1138702709.9586</v>
      </c>
      <c s="7">
        <v>0</v>
      </c>
      <c s="7">
        <v>1088112660.3073001</v>
      </c>
      <c s="20">
        <v>7626422.8020000001</v>
      </c>
      <c s="7">
        <v>1073647268.3891</v>
      </c>
      <c s="7">
        <v>0</v>
      </c>
      <c s="7">
        <v>951771143.12600005</v>
      </c>
      <c s="20">
        <v>7799329.4626000002</v>
      </c>
      <c s="7">
        <v>1097006992.1217</v>
      </c>
      <c s="7">
        <v>0</v>
      </c>
      <c s="7">
        <v>921577389.01339996</v>
      </c>
      <c s="20">
        <v>7163405.1831999999</v>
      </c>
      <c s="7">
        <v>1022763211.4985</v>
      </c>
      <c s="7">
        <v>0</v>
      </c>
      <c s="7">
        <v>818421495.07700002</v>
      </c>
      <c s="20">
        <v>7694760.9658000004</v>
      </c>
      <c s="7">
        <v>1198730309.4988999</v>
      </c>
      <c s="7">
        <v>0</v>
      </c>
      <c s="7">
        <v>876501955.87919998</v>
      </c>
      <c s="20">
        <v>7100206.2038000003</v>
      </c>
      <c s="7">
        <v>1033642480.0416</v>
      </c>
      <c s="7">
        <v>0</v>
      </c>
      <c s="7">
        <v>812462770.74049997</v>
      </c>
      <c s="20">
        <v>8024068.7433000002</v>
      </c>
      <c s="7">
        <v>1157469097.4633</v>
      </c>
      <c s="7">
        <v>0</v>
      </c>
      <c s="7">
        <v>892973039.72520006</v>
      </c>
      <c s="20">
        <v>8917735.6242999993</v>
      </c>
      <c s="7">
        <v>1293363735.3041</v>
      </c>
      <c s="7">
        <v>0</v>
      </c>
      <c s="57">
        <v>1014836977.4904</v>
      </c>
      <c s="1"/>
    </row>
    <row>
      <c s="1"/>
      <c s="61" t="str">
        <f>$B$60</f>
        <v>項目4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$B$61</f>
        <v>項目5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$B$62</f>
        <v>項目6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$B$63</f>
        <v>項目7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$B$64</f>
        <v>項目8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$B$65</f>
        <v>項目9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$B$66</f>
        <v>項目10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$B$67</f>
        <v>項目11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$B$68</f>
        <v>項目12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$B$69</f>
        <v>項目13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$B$70</f>
        <v>項目14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$B$71</f>
        <v>項目15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$B$72</f>
        <v>項目16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$B$73</f>
        <v>項目17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$B$74</f>
        <v>項目18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$B$75</f>
        <v>項目19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$B$76</f>
        <v>項目20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$B$77</f>
        <v>項目21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$B$78</f>
        <v>項目22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$B$79</f>
        <v>項目23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$B$80</f>
        <v>項目24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$B$81</f>
        <v>項目25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$B$82</f>
        <v>項目26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$B$83</f>
        <v>項目27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$B$84</f>
        <v>項目28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$B$85</f>
        <v>項目29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$B$86</f>
        <v>項目30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$B$87</f>
        <v>項目31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$B$88</f>
        <v>項目32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$B$89</f>
        <v>項目33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$B$90</f>
        <v>項目34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$B$91</f>
        <v>項目35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$B$92</f>
        <v>項目36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$B$93</f>
        <v>項目37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$B$94</f>
        <v>項目38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$B$95</f>
        <v>項目39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$B$96</f>
        <v>項目40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$B$97</f>
        <v>項目41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$B$98</f>
        <v>項目42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$B$99</f>
        <v>項目43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$B$100</f>
        <v>項目44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$B$101</f>
        <v>項目45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$B$102</f>
        <v>項目46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$B$103</f>
        <v>項目47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$B$104</f>
        <v>項目48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$B$105</f>
        <v>項目49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58" t="str">
        <f>$B$106</f>
        <v>項目50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2"/>
      <c s="1"/>
    </row>
    <row s="81" customFormat="1">
      <c s="5"/>
      <c s="5"/>
      <c s="26"/>
      <c s="26"/>
      <c s="26"/>
      <c s="26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0.5" customHeight="1">
      <c s="1"/>
      <c s="74" t="s">
        <v>54</v>
      </c>
      <c s="13" t="str">
        <f>INDEX(INFO!$AC$4:$AN$5,1,DATA!C$213+1)</f>
        <v>4月</v>
      </c>
      <c s="4"/>
      <c s="4"/>
      <c s="16"/>
      <c s="13" t="str">
        <f>INDEX(INFO!$AC$4:$AN$5,1,DATA!G$213+1)</f>
        <v>5月</v>
      </c>
      <c s="4"/>
      <c s="4"/>
      <c s="16"/>
      <c s="13" t="str">
        <f>INDEX(INFO!$AC$4:$AN$5,1,DATA!K$213+1)</f>
        <v>6月</v>
      </c>
      <c s="4"/>
      <c s="4"/>
      <c s="16"/>
      <c s="13" t="str">
        <f>INDEX(INFO!$AC$4:$AN$5,1,DATA!O$213+1)</f>
        <v>7月</v>
      </c>
      <c s="4"/>
      <c s="4"/>
      <c s="16"/>
      <c s="13" t="str">
        <f>INDEX(INFO!$AC$4:$AN$5,1,DATA!S$213+1)</f>
        <v>8月</v>
      </c>
      <c s="4"/>
      <c s="4"/>
      <c s="16"/>
      <c s="13" t="str">
        <f>INDEX(INFO!$AC$4:$AN$5,1,DATA!W$213+1)</f>
        <v>9月</v>
      </c>
      <c s="4"/>
      <c s="4"/>
      <c s="16"/>
      <c s="13" t="str">
        <f>INDEX(INFO!$AC$4:$AN$5,1,DATA!AA$213+1)</f>
        <v>10月</v>
      </c>
      <c s="4"/>
      <c s="4"/>
      <c s="16"/>
      <c s="13" t="str">
        <f>INDEX(INFO!$AC$4:$AN$5,1,DATA!AE$213+1)</f>
        <v>11月</v>
      </c>
      <c s="4"/>
      <c s="4"/>
      <c s="16"/>
      <c s="13" t="str">
        <f>INDEX(INFO!$AC$4:$AN$5,1,DATA!AI$213+1)</f>
        <v>12月</v>
      </c>
      <c s="4"/>
      <c s="4"/>
      <c s="16"/>
      <c s="13" t="str">
        <f>INDEX(INFO!$AC$4:$AN$5,1,DATA!AM$213+1)</f>
        <v>1月</v>
      </c>
      <c s="4"/>
      <c s="4"/>
      <c s="16"/>
      <c s="13" t="str">
        <f>INDEX(INFO!$AC$4:$AN$5,1,DATA!AQ$213+1)</f>
        <v>2月</v>
      </c>
      <c s="4"/>
      <c s="4"/>
      <c s="16"/>
      <c s="13" t="str">
        <f>INDEX(INFO!$AC$4:$AN$5,1,DATA!AU$213+1)</f>
        <v>3月</v>
      </c>
      <c s="4"/>
      <c s="4"/>
      <c s="16"/>
      <c s="1"/>
    </row>
    <row ht="10.5" customHeight="1">
      <c s="1"/>
      <c s="72"/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39" t="s">
        <v>3</v>
      </c>
      <c s="1"/>
    </row>
    <row>
      <c s="1"/>
      <c s="62" t="str">
        <f>$B$57</f>
        <v>加工食品</v>
      </c>
      <c s="23">
        <v>19583896.253699999</v>
      </c>
      <c s="9">
        <v>3610362803.4871001</v>
      </c>
      <c s="9">
        <v>0</v>
      </c>
      <c s="9">
        <v>3700434665.9124999</v>
      </c>
      <c s="23">
        <v>20010785.115200002</v>
      </c>
      <c s="9">
        <v>3687638010.5290999</v>
      </c>
      <c s="9">
        <v>0</v>
      </c>
      <c s="9">
        <v>3750789367.7083001</v>
      </c>
      <c s="23">
        <v>19408334.322900001</v>
      </c>
      <c s="9">
        <v>3596464765.5323</v>
      </c>
      <c s="9">
        <v>0</v>
      </c>
      <c s="9">
        <v>3692995513.1448998</v>
      </c>
      <c s="23">
        <v>19618479.423599999</v>
      </c>
      <c s="9">
        <v>3675442146.0014</v>
      </c>
      <c s="9">
        <v>0</v>
      </c>
      <c s="9">
        <v>3869902697.1447001</v>
      </c>
      <c s="23">
        <v>19175702.557</v>
      </c>
      <c s="9">
        <v>3587625055.0474</v>
      </c>
      <c s="9">
        <v>0</v>
      </c>
      <c s="9">
        <v>3735134091.8358998</v>
      </c>
      <c s="23">
        <v>19669616.444899999</v>
      </c>
      <c s="9">
        <v>3648105284.5592999</v>
      </c>
      <c s="9">
        <v>0</v>
      </c>
      <c s="9">
        <v>3836512670.4703999</v>
      </c>
      <c s="23">
        <v>20473939.0451</v>
      </c>
      <c s="9">
        <v>3751158026.9526</v>
      </c>
      <c s="9">
        <v>0</v>
      </c>
      <c s="9">
        <v>3847907423.9155002</v>
      </c>
      <c s="23">
        <v>19588087.6131</v>
      </c>
      <c s="9">
        <v>3636182532.9011998</v>
      </c>
      <c s="9">
        <v>0</v>
      </c>
      <c s="9">
        <v>3719203109.7357998</v>
      </c>
      <c s="23">
        <v>22070332.324499998</v>
      </c>
      <c s="9">
        <v>4569766408.9642</v>
      </c>
      <c s="9">
        <v>0</v>
      </c>
      <c s="9">
        <v>4435049547.4418001</v>
      </c>
      <c s="23">
        <v>24023755.408799998</v>
      </c>
      <c s="9">
        <v>4760629232.9854002</v>
      </c>
      <c s="9">
        <v>0</v>
      </c>
      <c s="9">
        <v>3681245457.7930002</v>
      </c>
      <c s="23">
        <v>23179457.2064</v>
      </c>
      <c s="9">
        <v>4543541445.2377996</v>
      </c>
      <c s="9">
        <v>0</v>
      </c>
      <c s="9">
        <v>3533609772.5261002</v>
      </c>
      <c s="23">
        <v>25324614.214499999</v>
      </c>
      <c s="9">
        <v>4940726211.8316002</v>
      </c>
      <c s="9">
        <v>0</v>
      </c>
      <c s="55">
        <v>3871076916.4282999</v>
      </c>
      <c s="1"/>
    </row>
    <row>
      <c s="1"/>
      <c s="61" t="str">
        <f>$B$58</f>
        <v>生鮮食品</v>
      </c>
      <c s="20">
        <v>4671657.0631999997</v>
      </c>
      <c s="7">
        <v>638570571.39160001</v>
      </c>
      <c s="7">
        <v>0</v>
      </c>
      <c s="7">
        <v>327364066.33399999</v>
      </c>
      <c s="20">
        <v>4850101.5944999997</v>
      </c>
      <c s="7">
        <v>663038086.06669998</v>
      </c>
      <c s="7">
        <v>0</v>
      </c>
      <c s="7">
        <v>324300898.921</v>
      </c>
      <c s="20">
        <v>4703567.3169999998</v>
      </c>
      <c s="7">
        <v>668764899.90059996</v>
      </c>
      <c s="7">
        <v>0</v>
      </c>
      <c s="7">
        <v>324233023.81999999</v>
      </c>
      <c s="20">
        <v>4690688.3517000005</v>
      </c>
      <c s="7">
        <v>665563499.21430004</v>
      </c>
      <c s="7">
        <v>0</v>
      </c>
      <c s="7">
        <v>319878721.71530002</v>
      </c>
      <c s="20">
        <v>4496586.3607999999</v>
      </c>
      <c s="7">
        <v>658299688.48119998</v>
      </c>
      <c s="7">
        <v>0</v>
      </c>
      <c s="7">
        <v>326416584.14069998</v>
      </c>
      <c s="20">
        <v>4872259.4527000003</v>
      </c>
      <c s="7">
        <v>700366514.78719997</v>
      </c>
      <c s="7">
        <v>0</v>
      </c>
      <c s="7">
        <v>351291500.77060002</v>
      </c>
      <c s="20">
        <v>5261962.0209999997</v>
      </c>
      <c s="7">
        <v>744459829.45899999</v>
      </c>
      <c s="7">
        <v>0</v>
      </c>
      <c s="7">
        <v>378990230.39660001</v>
      </c>
      <c s="20">
        <v>5463554.3076999998</v>
      </c>
      <c s="7">
        <v>757639424.81889999</v>
      </c>
      <c s="7">
        <v>0</v>
      </c>
      <c s="7">
        <v>389604836.42400002</v>
      </c>
      <c s="20">
        <v>5341940.2950999998</v>
      </c>
      <c s="7">
        <v>784526785.42879999</v>
      </c>
      <c s="7">
        <v>0</v>
      </c>
      <c s="7">
        <v>406996422.05729997</v>
      </c>
      <c s="20">
        <v>19953382.8092</v>
      </c>
      <c s="7">
        <v>4807331667.0045004</v>
      </c>
      <c s="7">
        <v>0</v>
      </c>
      <c s="7">
        <v>423422375.05379999</v>
      </c>
      <c s="20">
        <v>20671554.694800001</v>
      </c>
      <c s="7">
        <v>4730627323.2156</v>
      </c>
      <c s="7">
        <v>0</v>
      </c>
      <c s="7">
        <v>440295233.56349999</v>
      </c>
      <c s="20">
        <v>21767778.9604</v>
      </c>
      <c s="7">
        <v>4862996250.2349005</v>
      </c>
      <c s="7">
        <v>0</v>
      </c>
      <c s="57">
        <v>463069696.11110002</v>
      </c>
      <c s="1"/>
    </row>
    <row>
      <c s="1"/>
      <c s="61" t="str">
        <f>$B$59</f>
        <v>菓子類</v>
      </c>
      <c s="20">
        <v>8274632.0494999997</v>
      </c>
      <c s="7">
        <v>1151949838.8306999</v>
      </c>
      <c s="7">
        <v>0</v>
      </c>
      <c s="7">
        <v>994513089.99160004</v>
      </c>
      <c s="20">
        <v>8592974.4218000006</v>
      </c>
      <c s="7">
        <v>1190263076.5025001</v>
      </c>
      <c s="7">
        <v>0</v>
      </c>
      <c s="7">
        <v>1056689474.4214</v>
      </c>
      <c s="20">
        <v>8393571.7371999994</v>
      </c>
      <c s="7">
        <v>1160709674.6791999</v>
      </c>
      <c s="7">
        <v>0</v>
      </c>
      <c s="7">
        <v>1062361927.7118</v>
      </c>
      <c s="20">
        <v>8984708.9995000008</v>
      </c>
      <c s="7">
        <v>1219624665.1461999</v>
      </c>
      <c s="7">
        <v>0</v>
      </c>
      <c s="7">
        <v>1215559139.0063</v>
      </c>
      <c s="20">
        <v>8475815.6547999997</v>
      </c>
      <c s="7">
        <v>1166727609.2999001</v>
      </c>
      <c s="7">
        <v>0</v>
      </c>
      <c s="7">
        <v>1129874323.0694001</v>
      </c>
      <c s="20">
        <v>7834799.3044999996</v>
      </c>
      <c s="7">
        <v>1088398051.7432001</v>
      </c>
      <c s="7">
        <v>0</v>
      </c>
      <c s="7">
        <v>978740695.52429998</v>
      </c>
      <c s="20">
        <v>8029194.2278000005</v>
      </c>
      <c s="7">
        <v>1105400630.8491001</v>
      </c>
      <c s="7">
        <v>0</v>
      </c>
      <c s="7">
        <v>961861798.06760001</v>
      </c>
      <c s="20">
        <v>7565297.6763000004</v>
      </c>
      <c s="7">
        <v>1066933308.7221</v>
      </c>
      <c s="7">
        <v>0</v>
      </c>
      <c s="7">
        <v>871978903.86619997</v>
      </c>
      <c s="20">
        <v>7874893.9654999999</v>
      </c>
      <c s="7">
        <v>1212338866.2253001</v>
      </c>
      <c s="7">
        <v>0</v>
      </c>
      <c s="7">
        <v>893833153.74430001</v>
      </c>
      <c s="20">
        <v>7538298.2006999999</v>
      </c>
      <c s="7">
        <v>1091597827.253</v>
      </c>
      <c s="7">
        <v>0</v>
      </c>
      <c s="7">
        <v>871083897.26730001</v>
      </c>
      <c s="20">
        <v>7691864.7432000004</v>
      </c>
      <c s="7">
        <v>1093440918.3747001</v>
      </c>
      <c s="7">
        <v>0</v>
      </c>
      <c s="7">
        <v>856568421.81570005</v>
      </c>
      <c s="20">
        <v>8460899.6274999995</v>
      </c>
      <c s="7">
        <v>1194568409.4105999</v>
      </c>
      <c s="7">
        <v>0</v>
      </c>
      <c s="57">
        <v>964777845.01590002</v>
      </c>
      <c s="1"/>
    </row>
    <row>
      <c s="1"/>
      <c s="61" t="str">
        <f>$B$60</f>
        <v>項目4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$B$61</f>
        <v>項目5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$B$62</f>
        <v>項目6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$B$63</f>
        <v>項目7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$B$64</f>
        <v>項目8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$B$65</f>
        <v>項目9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$B$66</f>
        <v>項目10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$B$67</f>
        <v>項目11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$B$68</f>
        <v>項目12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$B$69</f>
        <v>項目13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$B$70</f>
        <v>項目14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$B$71</f>
        <v>項目15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$B$72</f>
        <v>項目16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$B$73</f>
        <v>項目17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$B$74</f>
        <v>項目18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$B$75</f>
        <v>項目19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$B$76</f>
        <v>項目20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$B$77</f>
        <v>項目21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$B$78</f>
        <v>項目22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$B$79</f>
        <v>項目23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$B$80</f>
        <v>項目24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$B$81</f>
        <v>項目25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$B$82</f>
        <v>項目26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$B$83</f>
        <v>項目27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$B$84</f>
        <v>項目28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$B$85</f>
        <v>項目29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$B$86</f>
        <v>項目30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$B$87</f>
        <v>項目31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$B$88</f>
        <v>項目32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$B$89</f>
        <v>項目33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$B$90</f>
        <v>項目34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$B$91</f>
        <v>項目35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$B$92</f>
        <v>項目36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$B$93</f>
        <v>項目37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$B$94</f>
        <v>項目38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$B$95</f>
        <v>項目39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$B$96</f>
        <v>項目40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$B$97</f>
        <v>項目41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$B$98</f>
        <v>項目42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$B$99</f>
        <v>項目43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$B$100</f>
        <v>項目44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$B$101</f>
        <v>項目45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$B$102</f>
        <v>項目46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$B$103</f>
        <v>項目47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$B$104</f>
        <v>項目48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61" t="str">
        <f>$B$105</f>
        <v>項目49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58" t="str">
        <f>$B$106</f>
        <v>項目50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2"/>
      <c s="1"/>
    </row>
    <row>
      <c s="5"/>
      <c s="5"/>
      <c s="26">
        <v>0</v>
      </c>
      <c s="26">
        <v>1</v>
      </c>
      <c s="26">
        <v>2</v>
      </c>
      <c s="26">
        <v>3</v>
      </c>
      <c s="1">
        <v>4</v>
      </c>
      <c s="1">
        <v>5</v>
      </c>
      <c s="1">
        <v>6</v>
      </c>
      <c s="1">
        <v>7</v>
      </c>
      <c s="1">
        <v>8</v>
      </c>
      <c s="1">
        <v>9</v>
      </c>
      <c s="1">
        <v>10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5" customHeight="1">
      <c s="85"/>
      <c s="180" t="s">
        <v>103</v>
      </c>
      <c s="159" t="str">
        <f>INFO!AC$5</f>
        <v>4月</v>
      </c>
      <c s="42" t="str">
        <f>INFO!AD$5</f>
        <v>5月</v>
      </c>
      <c s="42" t="str">
        <f>INFO!AE$5</f>
        <v>6月</v>
      </c>
      <c s="42" t="str">
        <f>INFO!AF$5</f>
        <v>7月</v>
      </c>
      <c s="42" t="str">
        <f>INFO!AG$5</f>
        <v>8月</v>
      </c>
      <c s="42" t="str">
        <f>INFO!AH$5</f>
        <v>9月</v>
      </c>
      <c s="42" t="str">
        <f>INFO!AI$5</f>
        <v>10月</v>
      </c>
      <c s="42" t="str">
        <f>INFO!AJ$5</f>
        <v>11月</v>
      </c>
      <c s="42" t="str">
        <f>INFO!AK$5</f>
        <v>12月</v>
      </c>
      <c s="42" t="str">
        <f>INFO!AL$5</f>
        <v>1月</v>
      </c>
      <c s="42" t="str">
        <f>INFO!AM$5</f>
        <v>2月</v>
      </c>
      <c s="185" t="str">
        <f>INFO!AN$5</f>
        <v>3月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50" t="s">
        <v>102</v>
      </c>
      <c s="150"/>
      <c s="37"/>
      <c s="37"/>
      <c s="37"/>
      <c s="37"/>
      <c s="37"/>
      <c s="37"/>
      <c s="37"/>
      <c s="37"/>
      <c s="37"/>
      <c s="37"/>
      <c s="16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5" customHeight="1">
      <c s="85"/>
      <c s="180" t="s">
        <v>104</v>
      </c>
      <c s="159" t="str">
        <f>INFO!AC$5</f>
        <v>4月</v>
      </c>
      <c s="42" t="str">
        <f>INFO!AD$5</f>
        <v>5月</v>
      </c>
      <c s="42" t="str">
        <f>INFO!AE$5</f>
        <v>6月</v>
      </c>
      <c s="42" t="str">
        <f>INFO!AF$5</f>
        <v>7月</v>
      </c>
      <c s="42" t="str">
        <f>INFO!AG$5</f>
        <v>8月</v>
      </c>
      <c s="42" t="str">
        <f>INFO!AH$5</f>
        <v>9月</v>
      </c>
      <c s="42" t="str">
        <f>INFO!AI$5</f>
        <v>10月</v>
      </c>
      <c s="42" t="str">
        <f>INFO!AJ$5</f>
        <v>11月</v>
      </c>
      <c s="42" t="str">
        <f>INFO!AK$5</f>
        <v>12月</v>
      </c>
      <c s="42" t="str">
        <f>INFO!AL$5</f>
        <v>1月</v>
      </c>
      <c s="42" t="str">
        <f>INFO!AM$5</f>
        <v>2月</v>
      </c>
      <c s="185" t="str">
        <f>INFO!AN$5</f>
        <v>3月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50" t="s">
        <v>102</v>
      </c>
      <c s="150"/>
      <c s="37"/>
      <c s="37"/>
      <c s="37"/>
      <c s="37"/>
      <c s="37"/>
      <c s="37"/>
      <c s="37"/>
      <c s="37"/>
      <c s="37"/>
      <c s="37"/>
      <c s="16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5" customHeight="1">
      <c s="85"/>
      <c s="180" t="s">
        <v>105</v>
      </c>
      <c s="159" t="str">
        <f>INFO!AC$5</f>
        <v>4月</v>
      </c>
      <c s="42" t="str">
        <f>INFO!AD$5</f>
        <v>5月</v>
      </c>
      <c s="42" t="str">
        <f>INFO!AE$5</f>
        <v>6月</v>
      </c>
      <c s="42" t="str">
        <f>INFO!AF$5</f>
        <v>7月</v>
      </c>
      <c s="42" t="str">
        <f>INFO!AG$5</f>
        <v>8月</v>
      </c>
      <c s="42" t="str">
        <f>INFO!AH$5</f>
        <v>9月</v>
      </c>
      <c s="42" t="str">
        <f>INFO!AI$5</f>
        <v>10月</v>
      </c>
      <c s="42" t="str">
        <f>INFO!AJ$5</f>
        <v>11月</v>
      </c>
      <c s="42" t="str">
        <f>INFO!AK$5</f>
        <v>12月</v>
      </c>
      <c s="42" t="str">
        <f>INFO!AL$5</f>
        <v>1月</v>
      </c>
      <c s="42" t="str">
        <f>INFO!AM$5</f>
        <v>2月</v>
      </c>
      <c s="185" t="str">
        <f>INFO!AN$5</f>
        <v>3月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50" t="s">
        <v>102</v>
      </c>
      <c s="150"/>
      <c s="37"/>
      <c s="37"/>
      <c s="37"/>
      <c s="37"/>
      <c s="37"/>
      <c s="37"/>
      <c s="37"/>
      <c s="37"/>
      <c s="37"/>
      <c s="37"/>
      <c s="16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5" customHeight="1">
      <c s="85"/>
      <c s="180" t="s">
        <v>106</v>
      </c>
      <c s="159" t="str">
        <f>INFO!AC$5</f>
        <v>4月</v>
      </c>
      <c s="42" t="str">
        <f>INFO!AD$5</f>
        <v>5月</v>
      </c>
      <c s="42" t="str">
        <f>INFO!AE$5</f>
        <v>6月</v>
      </c>
      <c s="42" t="str">
        <f>INFO!AF$5</f>
        <v>7月</v>
      </c>
      <c s="42" t="str">
        <f>INFO!AG$5</f>
        <v>8月</v>
      </c>
      <c s="42" t="str">
        <f>INFO!AH$5</f>
        <v>9月</v>
      </c>
      <c s="42" t="str">
        <f>INFO!AI$5</f>
        <v>10月</v>
      </c>
      <c s="42" t="str">
        <f>INFO!AJ$5</f>
        <v>11月</v>
      </c>
      <c s="42" t="str">
        <f>INFO!AK$5</f>
        <v>12月</v>
      </c>
      <c s="42" t="str">
        <f>INFO!AL$5</f>
        <v>1月</v>
      </c>
      <c s="42" t="str">
        <f>INFO!AM$5</f>
        <v>2月</v>
      </c>
      <c s="185" t="str">
        <f>INFO!AN$5</f>
        <v>3月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50" t="s">
        <v>102</v>
      </c>
      <c s="150"/>
      <c s="37"/>
      <c s="37"/>
      <c s="37"/>
      <c s="37"/>
      <c s="37"/>
      <c s="37"/>
      <c s="37"/>
      <c s="37"/>
      <c s="37"/>
      <c s="37"/>
      <c s="16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7" t="s">
        <v>40</v>
      </c>
      <c s="13" t="s">
        <v>35</v>
      </c>
      <c s="4"/>
      <c s="4"/>
      <c s="16"/>
      <c s="5"/>
      <c s="76" t="s">
        <v>92</v>
      </c>
      <c s="13" t="s">
        <v>35</v>
      </c>
      <c s="4"/>
      <c s="4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80"/>
      <c s="14" t="s">
        <v>0</v>
      </c>
      <c s="15" t="s">
        <v>1</v>
      </c>
      <c s="12" t="s">
        <v>2</v>
      </c>
      <c s="39" t="s">
        <v>3</v>
      </c>
      <c s="5"/>
      <c s="73"/>
      <c s="14" t="s">
        <v>0</v>
      </c>
      <c s="15" t="s">
        <v>1</v>
      </c>
      <c s="12" t="s">
        <v>2</v>
      </c>
      <c s="39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50" t="s">
        <v>61</v>
      </c>
      <c s="22">
        <v>567222726.98329997</v>
      </c>
      <c s="10">
        <v>111007051895.82401</v>
      </c>
      <c s="10">
        <v>0</v>
      </c>
      <c s="53">
        <v>51201175709.210503</v>
      </c>
      <c s="82"/>
      <c s="50" t="s">
        <v>61</v>
      </c>
      <c s="22">
        <v>567222726.98329997</v>
      </c>
      <c s="10">
        <v>111007051895.82401</v>
      </c>
      <c s="10">
        <v>0</v>
      </c>
      <c s="53">
        <v>51201175709.210503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7" t="s">
        <v>41</v>
      </c>
      <c s="13" t="s">
        <v>35</v>
      </c>
      <c s="4"/>
      <c s="4"/>
      <c s="16"/>
      <c s="5"/>
      <c s="76" t="s">
        <v>93</v>
      </c>
      <c s="13" t="s">
        <v>35</v>
      </c>
      <c s="4"/>
      <c s="4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80"/>
      <c s="14" t="s">
        <v>0</v>
      </c>
      <c s="15" t="s">
        <v>1</v>
      </c>
      <c s="12" t="s">
        <v>2</v>
      </c>
      <c s="39" t="s">
        <v>3</v>
      </c>
      <c s="5"/>
      <c s="73"/>
      <c s="14" t="s">
        <v>0</v>
      </c>
      <c s="15" t="s">
        <v>1</v>
      </c>
      <c s="12" t="s">
        <v>2</v>
      </c>
      <c s="39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50" t="s">
        <v>61</v>
      </c>
      <c s="22">
        <v>392511372.71920002</v>
      </c>
      <c s="10">
        <v>67094969437.913101</v>
      </c>
      <c s="10">
        <v>0</v>
      </c>
      <c s="53">
        <v>51385132236.6838</v>
      </c>
      <c s="82"/>
      <c s="50" t="s">
        <v>61</v>
      </c>
      <c s="22">
        <v>392511372.71920002</v>
      </c>
      <c s="10">
        <v>67094969437.913101</v>
      </c>
      <c s="10">
        <v>0</v>
      </c>
      <c s="53">
        <v>51385132236.6838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251"/>
      <c s="231"/>
      <c s="26"/>
      <c s="26"/>
      <c s="260"/>
      <c s="1"/>
      <c s="251"/>
      <c s="231"/>
      <c s="26"/>
      <c s="26"/>
      <c s="26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7" t="s">
        <v>42</v>
      </c>
      <c s="13" t="s">
        <v>35</v>
      </c>
      <c s="4"/>
      <c s="4"/>
      <c s="16"/>
      <c s="5"/>
      <c s="76" t="s">
        <v>94</v>
      </c>
      <c s="13" t="s">
        <v>35</v>
      </c>
      <c s="4"/>
      <c s="4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80"/>
      <c s="14" t="s">
        <v>0</v>
      </c>
      <c s="15" t="s">
        <v>1</v>
      </c>
      <c s="12" t="s">
        <v>2</v>
      </c>
      <c s="39" t="s">
        <v>3</v>
      </c>
      <c s="5"/>
      <c s="73"/>
      <c s="14" t="s">
        <v>0</v>
      </c>
      <c s="15" t="s">
        <v>1</v>
      </c>
      <c s="12" t="s">
        <v>2</v>
      </c>
      <c s="39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50" t="s">
        <v>61</v>
      </c>
      <c s="22">
        <v>644557318.00849998</v>
      </c>
      <c s="10">
        <v>132026118303.446</v>
      </c>
      <c s="10">
        <v>0</v>
      </c>
      <c s="53">
        <v>62914780986.415604</v>
      </c>
      <c s="82"/>
      <c s="50" t="s">
        <v>61</v>
      </c>
      <c s="22">
        <v>644557318.00849998</v>
      </c>
      <c s="10">
        <v>132026118303.446</v>
      </c>
      <c s="10">
        <v>0</v>
      </c>
      <c s="53">
        <v>62914780986.415604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7" t="s">
        <v>43</v>
      </c>
      <c s="13" t="s">
        <v>35</v>
      </c>
      <c s="4"/>
      <c s="4"/>
      <c s="16"/>
      <c s="5"/>
      <c s="76" t="s">
        <v>95</v>
      </c>
      <c s="13" t="s">
        <v>35</v>
      </c>
      <c s="4"/>
      <c s="4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80"/>
      <c s="14" t="s">
        <v>0</v>
      </c>
      <c s="15" t="s">
        <v>1</v>
      </c>
      <c s="12" t="s">
        <v>2</v>
      </c>
      <c s="39" t="s">
        <v>3</v>
      </c>
      <c s="5"/>
      <c s="73"/>
      <c s="14" t="s">
        <v>0</v>
      </c>
      <c s="15" t="s">
        <v>1</v>
      </c>
      <c s="12" t="s">
        <v>2</v>
      </c>
      <c s="39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50" t="s">
        <v>61</v>
      </c>
      <c s="22">
        <v>456588983.76609999</v>
      </c>
      <c s="10">
        <v>82431779341.069199</v>
      </c>
      <c s="10">
        <v>0</v>
      </c>
      <c s="53">
        <v>62007567492.866898</v>
      </c>
      <c s="82"/>
      <c s="50" t="s">
        <v>61</v>
      </c>
      <c s="22">
        <v>456588983.76609999</v>
      </c>
      <c s="10">
        <v>82431779341.069199</v>
      </c>
      <c s="10">
        <v>0</v>
      </c>
      <c s="53">
        <v>62007567492.866898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4" t="s">
        <v>36</v>
      </c>
      <c s="13" t="str">
        <f>INDEX(INFO!$AC$4:$AN$5,1,DATA!C$213+1)</f>
        <v>4月</v>
      </c>
      <c s="4"/>
      <c s="4"/>
      <c s="16"/>
      <c s="13" t="str">
        <f>INDEX(INFO!$AC$4:$AN$5,1,DATA!G$213+1)</f>
        <v>5月</v>
      </c>
      <c s="4"/>
      <c s="4"/>
      <c s="16"/>
      <c s="13" t="str">
        <f>INDEX(INFO!$AC$4:$AN$5,1,DATA!K$213+1)</f>
        <v>6月</v>
      </c>
      <c s="4"/>
      <c s="4"/>
      <c s="16"/>
      <c s="13" t="str">
        <f>INDEX(INFO!$AC$4:$AN$5,1,DATA!O$213+1)</f>
        <v>7月</v>
      </c>
      <c s="4"/>
      <c s="4"/>
      <c s="16"/>
      <c s="13" t="str">
        <f>INDEX(INFO!$AC$4:$AN$5,1,DATA!S$213+1)</f>
        <v>8月</v>
      </c>
      <c s="4"/>
      <c s="4"/>
      <c s="16"/>
      <c s="13" t="str">
        <f>INDEX(INFO!$AC$4:$AN$5,1,DATA!W$213+1)</f>
        <v>9月</v>
      </c>
      <c s="4"/>
      <c s="4"/>
      <c s="16"/>
      <c s="13" t="str">
        <f>INDEX(INFO!$AC$4:$AN$5,1,DATA!AA$213+1)</f>
        <v>10月</v>
      </c>
      <c s="4"/>
      <c s="4"/>
      <c s="16"/>
      <c s="13" t="str">
        <f>INDEX(INFO!$AC$4:$AN$5,1,DATA!AE$213+1)</f>
        <v>11月</v>
      </c>
      <c s="4"/>
      <c s="4"/>
      <c s="16"/>
      <c s="13" t="str">
        <f>INDEX(INFO!$AC$4:$AN$5,1,DATA!AI$213+1)</f>
        <v>12月</v>
      </c>
      <c s="4"/>
      <c s="4"/>
      <c s="16"/>
      <c s="13" t="str">
        <f>INDEX(INFO!$AC$4:$AN$5,1,DATA!AM$213+1)</f>
        <v>1月</v>
      </c>
      <c s="4"/>
      <c s="4"/>
      <c s="16"/>
      <c s="13" t="str">
        <f>INDEX(INFO!$AC$4:$AN$5,1,DATA!AQ$213+1)</f>
        <v>2月</v>
      </c>
      <c s="4"/>
      <c s="4"/>
      <c s="16"/>
      <c s="13" t="str">
        <f>INDEX(INFO!$AC$4:$AN$5,1,DATA!AU$213+1)</f>
        <v>3月</v>
      </c>
      <c s="4"/>
      <c s="4"/>
      <c s="16"/>
      <c s="85"/>
    </row>
    <row>
      <c s="1"/>
      <c s="72"/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39" t="s">
        <v>3</v>
      </c>
      <c s="85"/>
    </row>
    <row>
      <c s="1"/>
      <c s="50" t="s">
        <v>61</v>
      </c>
      <c s="22">
        <v>47598466.584200002</v>
      </c>
      <c s="37">
        <v>9028597222.6872005</v>
      </c>
      <c s="37">
        <v>0</v>
      </c>
      <c s="37">
        <v>4130135015.3572998</v>
      </c>
      <c s="22">
        <v>47930079.206900001</v>
      </c>
      <c s="10">
        <v>9086678068.9871998</v>
      </c>
      <c s="10">
        <v>0</v>
      </c>
      <c s="10">
        <v>4236557683.7726002</v>
      </c>
      <c s="150">
        <v>46306996.825999998</v>
      </c>
      <c s="37">
        <v>8820754654.1912003</v>
      </c>
      <c s="37">
        <v>0</v>
      </c>
      <c s="37">
        <v>4272422207.5496001</v>
      </c>
      <c s="22">
        <v>46334736.417999998</v>
      </c>
      <c s="10">
        <v>8875301321.9976006</v>
      </c>
      <c s="10">
        <v>0</v>
      </c>
      <c s="10">
        <v>4282889105.9636998</v>
      </c>
      <c s="22">
        <v>47270245.093599997</v>
      </c>
      <c s="10">
        <v>9454279640.6345997</v>
      </c>
      <c s="10">
        <v>0</v>
      </c>
      <c s="10">
        <v>4386686565.6848001</v>
      </c>
      <c s="22">
        <v>46485602.482100002</v>
      </c>
      <c s="10">
        <v>9067600757.7513008</v>
      </c>
      <c s="10">
        <v>0</v>
      </c>
      <c s="10">
        <v>4240380322.9889002</v>
      </c>
      <c s="22">
        <v>48227052.270999998</v>
      </c>
      <c s="10">
        <v>9232294623.9109001</v>
      </c>
      <c s="10">
        <v>0</v>
      </c>
      <c s="10">
        <v>4190282361.4446001</v>
      </c>
      <c s="22">
        <v>45774647.0814</v>
      </c>
      <c s="10">
        <v>8785864707.0636997</v>
      </c>
      <c s="10">
        <v>0</v>
      </c>
      <c s="10">
        <v>4008824097.8913002</v>
      </c>
      <c s="22">
        <v>50280981.804099999</v>
      </c>
      <c s="10">
        <v>10964732278.593599</v>
      </c>
      <c s="10">
        <v>0</v>
      </c>
      <c s="10">
        <v>4728728175.4196997</v>
      </c>
      <c s="22">
        <v>44231933.165200002</v>
      </c>
      <c s="10">
        <v>8808355815.8372002</v>
      </c>
      <c s="10">
        <v>0</v>
      </c>
      <c s="10">
        <v>3866176717.4537001</v>
      </c>
      <c s="22">
        <v>46265471.367600001</v>
      </c>
      <c s="10">
        <v>9004011243.7747993</v>
      </c>
      <c s="10">
        <v>0</v>
      </c>
      <c s="10">
        <v>4136868299.8038998</v>
      </c>
      <c s="22">
        <v>50516514.683200002</v>
      </c>
      <c s="10">
        <v>9878581560.3948994</v>
      </c>
      <c s="10">
        <v>0</v>
      </c>
      <c s="53">
        <v>4721225155.8803997</v>
      </c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4" t="s">
        <v>37</v>
      </c>
      <c s="13" t="str">
        <f>INDEX(INFO!$AC$4:$AN$5,1,DATA!C$213+1)</f>
        <v>4月</v>
      </c>
      <c s="4"/>
      <c s="4"/>
      <c s="16"/>
      <c s="13" t="str">
        <f>INDEX(INFO!$AC$4:$AN$5,1,DATA!G$213+1)</f>
        <v>5月</v>
      </c>
      <c s="4"/>
      <c s="4"/>
      <c s="16"/>
      <c s="13" t="str">
        <f>INDEX(INFO!$AC$4:$AN$5,1,DATA!K$213+1)</f>
        <v>6月</v>
      </c>
      <c s="4"/>
      <c s="4"/>
      <c s="16"/>
      <c s="13" t="str">
        <f>INDEX(INFO!$AC$4:$AN$5,1,DATA!O$213+1)</f>
        <v>7月</v>
      </c>
      <c s="4"/>
      <c s="4"/>
      <c s="16"/>
      <c s="13" t="str">
        <f>INDEX(INFO!$AC$4:$AN$5,1,DATA!S$213+1)</f>
        <v>8月</v>
      </c>
      <c s="4"/>
      <c s="4"/>
      <c s="16"/>
      <c s="13" t="str">
        <f>INDEX(INFO!$AC$4:$AN$5,1,DATA!W$213+1)</f>
        <v>9月</v>
      </c>
      <c s="4"/>
      <c s="4"/>
      <c s="16"/>
      <c s="13" t="str">
        <f>INDEX(INFO!$AC$4:$AN$5,1,DATA!AA$213+1)</f>
        <v>10月</v>
      </c>
      <c s="4"/>
      <c s="4"/>
      <c s="16"/>
      <c s="13" t="str">
        <f>INDEX(INFO!$AC$4:$AN$5,1,DATA!AE$213+1)</f>
        <v>11月</v>
      </c>
      <c s="4"/>
      <c s="4"/>
      <c s="16"/>
      <c s="13" t="str">
        <f>INDEX(INFO!$AC$4:$AN$5,1,DATA!AI$213+1)</f>
        <v>12月</v>
      </c>
      <c s="4"/>
      <c s="4"/>
      <c s="16"/>
      <c s="13" t="str">
        <f>INDEX(INFO!$AC$4:$AN$5,1,DATA!AM$213+1)</f>
        <v>1月</v>
      </c>
      <c s="4"/>
      <c s="4"/>
      <c s="16"/>
      <c s="13" t="str">
        <f>INDEX(INFO!$AC$4:$AN$5,1,DATA!AQ$213+1)</f>
        <v>2月</v>
      </c>
      <c s="4"/>
      <c s="4"/>
      <c s="16"/>
      <c s="13" t="str">
        <f>INDEX(INFO!$AC$4:$AN$5,1,DATA!AU$213+1)</f>
        <v>3月</v>
      </c>
      <c s="4"/>
      <c s="4"/>
      <c s="16"/>
      <c s="1"/>
    </row>
    <row>
      <c s="1"/>
      <c s="72"/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39" t="s">
        <v>3</v>
      </c>
      <c s="1"/>
    </row>
    <row>
      <c s="1"/>
      <c s="50" t="s">
        <v>61</v>
      </c>
      <c s="22">
        <v>28162034.340300001</v>
      </c>
      <c s="10">
        <v>4357836794.0075998</v>
      </c>
      <c s="10">
        <v>0</v>
      </c>
      <c s="10">
        <v>4198491932.1148</v>
      </c>
      <c s="22">
        <v>28629009.201099999</v>
      </c>
      <c s="10">
        <v>4436376885.1241999</v>
      </c>
      <c s="10">
        <v>0</v>
      </c>
      <c s="10">
        <v>4290518654.5057998</v>
      </c>
      <c s="22">
        <v>28074549.576699998</v>
      </c>
      <c s="37">
        <v>4373518940.9495001</v>
      </c>
      <c s="10">
        <v>0</v>
      </c>
      <c s="10">
        <v>4321848424.3795004</v>
      </c>
      <c s="22">
        <v>28745642.871399999</v>
      </c>
      <c s="10">
        <v>4475155181.4222002</v>
      </c>
      <c s="10">
        <v>0</v>
      </c>
      <c s="10">
        <v>4531834899.3149996</v>
      </c>
      <c s="22">
        <v>28428003.107500002</v>
      </c>
      <c s="10">
        <v>4518435835.3008003</v>
      </c>
      <c s="10">
        <v>0</v>
      </c>
      <c s="10">
        <v>4447765452.9722004</v>
      </c>
      <c s="22">
        <v>27559527.644099999</v>
      </c>
      <c s="10">
        <v>4358713551.8535995</v>
      </c>
      <c s="10">
        <v>0</v>
      </c>
      <c s="10">
        <v>4271974677.3660998</v>
      </c>
      <c s="22">
        <v>28460518.0667</v>
      </c>
      <c s="10">
        <v>4470255830.0607996</v>
      </c>
      <c s="10">
        <v>0</v>
      </c>
      <c s="10">
        <v>4303215075.8899002</v>
      </c>
      <c s="22">
        <v>27035372.694200002</v>
      </c>
      <c s="10">
        <v>4277386446.9973001</v>
      </c>
      <c s="10">
        <v>0</v>
      </c>
      <c s="10">
        <v>4086756068.1083999</v>
      </c>
      <c s="22">
        <v>29944975.6325</v>
      </c>
      <c s="10">
        <v>5260898176.2073002</v>
      </c>
      <c s="10">
        <v>0</v>
      </c>
      <c s="10">
        <v>4786648246.7037001</v>
      </c>
      <c s="22">
        <v>44917858.840400003</v>
      </c>
      <c s="10">
        <v>8898495896.4239998</v>
      </c>
      <c s="10">
        <v>0</v>
      </c>
      <c s="10">
        <v>4019852662.6420002</v>
      </c>
      <c s="22">
        <v>44305185.612199999</v>
      </c>
      <c s="10">
        <v>8504354679.1264</v>
      </c>
      <c s="10">
        <v>0</v>
      </c>
      <c s="10">
        <v>3895468100.7800999</v>
      </c>
      <c s="22">
        <v>48248695.132100001</v>
      </c>
      <c s="10">
        <v>9163541220.4393997</v>
      </c>
      <c s="10">
        <v>0</v>
      </c>
      <c s="53">
        <v>4230758041.9063001</v>
      </c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4" t="s">
        <v>38</v>
      </c>
      <c s="13" t="str">
        <f>INDEX(INFO!$AC$4:$AN$5,1,DATA!C$213+1)</f>
        <v>4月</v>
      </c>
      <c s="4"/>
      <c s="4"/>
      <c s="16"/>
      <c s="13" t="str">
        <f>INDEX(INFO!$AC$4:$AN$5,1,DATA!G$213+1)</f>
        <v>5月</v>
      </c>
      <c s="4"/>
      <c s="4"/>
      <c s="16"/>
      <c s="13" t="str">
        <f>INDEX(INFO!$AC$4:$AN$5,1,DATA!K$213+1)</f>
        <v>6月</v>
      </c>
      <c s="4"/>
      <c s="4"/>
      <c s="16"/>
      <c s="13" t="str">
        <f>INDEX(INFO!$AC$4:$AN$5,1,DATA!O$213+1)</f>
        <v>7月</v>
      </c>
      <c s="4"/>
      <c s="4"/>
      <c s="16"/>
      <c s="13" t="str">
        <f>INDEX(INFO!$AC$4:$AN$5,1,DATA!S$213+1)</f>
        <v>8月</v>
      </c>
      <c s="4"/>
      <c s="4"/>
      <c s="16"/>
      <c s="13" t="str">
        <f>INDEX(INFO!$AC$4:$AN$5,1,DATA!W$213+1)</f>
        <v>9月</v>
      </c>
      <c s="4"/>
      <c s="4"/>
      <c s="16"/>
      <c s="13" t="str">
        <f>INDEX(INFO!$AC$4:$AN$5,1,DATA!AA$213+1)</f>
        <v>10月</v>
      </c>
      <c s="4"/>
      <c s="4"/>
      <c s="16"/>
      <c s="13" t="str">
        <f>INDEX(INFO!$AC$4:$AN$5,1,DATA!AE$213+1)</f>
        <v>11月</v>
      </c>
      <c s="4"/>
      <c s="4"/>
      <c s="16"/>
      <c s="13" t="str">
        <f>INDEX(INFO!$AC$4:$AN$5,1,DATA!AI$213+1)</f>
        <v>12月</v>
      </c>
      <c s="4"/>
      <c s="4"/>
      <c s="16"/>
      <c s="13" t="str">
        <f>INDEX(INFO!$AC$4:$AN$5,1,DATA!AM$213+1)</f>
        <v>1月</v>
      </c>
      <c s="4"/>
      <c s="4"/>
      <c s="16"/>
      <c s="13" t="str">
        <f>INDEX(INFO!$AC$4:$AN$5,1,DATA!AQ$213+1)</f>
        <v>2月</v>
      </c>
      <c s="4"/>
      <c s="4"/>
      <c s="16"/>
      <c s="13" t="str">
        <f>INDEX(INFO!$AC$4:$AN$5,1,DATA!AU$213+1)</f>
        <v>3月</v>
      </c>
      <c s="4"/>
      <c s="4"/>
      <c s="16"/>
      <c s="5"/>
    </row>
    <row>
      <c s="1"/>
      <c s="72"/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39" t="s">
        <v>3</v>
      </c>
      <c s="5"/>
    </row>
    <row>
      <c s="1"/>
      <c s="50" t="s">
        <v>61</v>
      </c>
      <c s="22">
        <v>55167896.961400002</v>
      </c>
      <c s="10">
        <v>10948316912.641701</v>
      </c>
      <c s="10">
        <v>0</v>
      </c>
      <c s="10">
        <v>5147964199.5361996</v>
      </c>
      <c s="22">
        <v>57962302.120300002</v>
      </c>
      <c s="10">
        <v>11279067787.7623</v>
      </c>
      <c s="10">
        <v>0</v>
      </c>
      <c s="10">
        <v>5298645627.7194996</v>
      </c>
      <c s="22">
        <v>51987149.090099998</v>
      </c>
      <c s="37">
        <v>10394360637.3412</v>
      </c>
      <c s="10">
        <v>0</v>
      </c>
      <c s="10">
        <v>5194974891.8165998</v>
      </c>
      <c s="22">
        <v>53707187.955899999</v>
      </c>
      <c s="10">
        <v>10860010957.704399</v>
      </c>
      <c s="10">
        <v>0</v>
      </c>
      <c s="10">
        <v>5239825905.8851995</v>
      </c>
      <c s="22">
        <v>52464179.126699999</v>
      </c>
      <c s="10">
        <v>10841632668.217699</v>
      </c>
      <c s="10">
        <v>0</v>
      </c>
      <c s="10">
        <v>5258018328.2997999</v>
      </c>
      <c s="22">
        <v>50820650.249899998</v>
      </c>
      <c s="10">
        <v>10457683738.1586</v>
      </c>
      <c s="10">
        <v>0</v>
      </c>
      <c s="10">
        <v>5138720397.4941998</v>
      </c>
      <c s="22">
        <v>54221770.964100003</v>
      </c>
      <c s="10">
        <v>10869890539.255501</v>
      </c>
      <c s="10">
        <v>0</v>
      </c>
      <c s="10">
        <v>5150196267.6420002</v>
      </c>
      <c s="22">
        <v>50573341.1171</v>
      </c>
      <c s="10">
        <v>10153486584.541401</v>
      </c>
      <c s="10">
        <v>0</v>
      </c>
      <c s="10">
        <v>4798416833.9116001</v>
      </c>
      <c s="22">
        <v>55776754.8116</v>
      </c>
      <c s="10">
        <v>12694752922.2099</v>
      </c>
      <c s="10">
        <v>0</v>
      </c>
      <c s="10">
        <v>5689195907.3650999</v>
      </c>
      <c s="22">
        <v>49618119.844700001</v>
      </c>
      <c s="10">
        <v>10358822554.7605</v>
      </c>
      <c s="10">
        <v>0</v>
      </c>
      <c s="10">
        <v>4719380177.9025002</v>
      </c>
      <c s="22">
        <v>53211909.777000003</v>
      </c>
      <c s="10">
        <v>10927502676.612101</v>
      </c>
      <c s="10">
        <v>0</v>
      </c>
      <c s="10">
        <v>5151178989.5187998</v>
      </c>
      <c s="22">
        <v>59046055.989699997</v>
      </c>
      <c s="10">
        <v>12240590324.2409</v>
      </c>
      <c s="10">
        <v>0</v>
      </c>
      <c s="53">
        <v>6128263459.3240995</v>
      </c>
      <c s="82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4" t="s">
        <v>39</v>
      </c>
      <c s="13" t="str">
        <f>INDEX(INFO!$AC$4:$AN$5,1,DATA!C$213+1)</f>
        <v>4月</v>
      </c>
      <c s="4"/>
      <c s="4"/>
      <c s="16"/>
      <c s="13" t="str">
        <f>INDEX(INFO!$AC$4:$AN$5,1,DATA!G$213+1)</f>
        <v>5月</v>
      </c>
      <c s="4"/>
      <c s="4"/>
      <c s="16"/>
      <c s="13" t="str">
        <f>INDEX(INFO!$AC$4:$AN$5,1,DATA!K$213+1)</f>
        <v>6月</v>
      </c>
      <c s="4"/>
      <c s="4"/>
      <c s="16"/>
      <c s="13" t="str">
        <f>INDEX(INFO!$AC$4:$AN$5,1,DATA!O$213+1)</f>
        <v>7月</v>
      </c>
      <c s="4"/>
      <c s="4"/>
      <c s="16"/>
      <c s="13" t="str">
        <f>INDEX(INFO!$AC$4:$AN$5,1,DATA!S$213+1)</f>
        <v>8月</v>
      </c>
      <c s="4"/>
      <c s="4"/>
      <c s="16"/>
      <c s="13" t="str">
        <f>INDEX(INFO!$AC$4:$AN$5,1,DATA!W$213+1)</f>
        <v>9月</v>
      </c>
      <c s="4"/>
      <c s="4"/>
      <c s="16"/>
      <c s="13" t="str">
        <f>INDEX(INFO!$AC$4:$AN$5,1,DATA!AA$213+1)</f>
        <v>10月</v>
      </c>
      <c s="4"/>
      <c s="4"/>
      <c s="16"/>
      <c s="13" t="str">
        <f>INDEX(INFO!$AC$4:$AN$5,1,DATA!AE$213+1)</f>
        <v>11月</v>
      </c>
      <c s="4"/>
      <c s="4"/>
      <c s="16"/>
      <c s="13" t="str">
        <f>INDEX(INFO!$AC$4:$AN$5,1,DATA!AI$213+1)</f>
        <v>12月</v>
      </c>
      <c s="4"/>
      <c s="4"/>
      <c s="16"/>
      <c s="13" t="str">
        <f>INDEX(INFO!$AC$4:$AN$5,1,DATA!AM$213+1)</f>
        <v>1月</v>
      </c>
      <c s="4"/>
      <c s="4"/>
      <c s="16"/>
      <c s="13" t="str">
        <f>INDEX(INFO!$AC$4:$AN$5,1,DATA!AQ$213+1)</f>
        <v>2月</v>
      </c>
      <c s="4"/>
      <c s="4"/>
      <c s="16"/>
      <c s="13" t="str">
        <f>INDEX(INFO!$AC$4:$AN$5,1,DATA!AU$213+1)</f>
        <v>3月</v>
      </c>
      <c s="4"/>
      <c s="4"/>
      <c s="16"/>
      <c s="5"/>
    </row>
    <row ht="10.5" customHeight="1">
      <c s="1"/>
      <c s="72"/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39" t="s">
        <v>3</v>
      </c>
      <c s="5"/>
    </row>
    <row>
      <c s="1"/>
      <c s="50" t="s">
        <v>61</v>
      </c>
      <c s="22">
        <v>32530185.3664</v>
      </c>
      <c s="10">
        <v>5400883213.7094002</v>
      </c>
      <c s="10">
        <v>0</v>
      </c>
      <c s="10">
        <v>5022311822.2381001</v>
      </c>
      <c s="22">
        <v>33453861.131499998</v>
      </c>
      <c s="10">
        <v>5540939173.0983</v>
      </c>
      <c s="10">
        <v>0</v>
      </c>
      <c s="10">
        <v>5131779741.0507002</v>
      </c>
      <c s="22">
        <v>32505473.377099998</v>
      </c>
      <c s="37">
        <v>5425939340.1120996</v>
      </c>
      <c s="10">
        <v>0</v>
      </c>
      <c s="10">
        <v>5079590464.6766996</v>
      </c>
      <c s="22">
        <v>33293876.774799999</v>
      </c>
      <c s="10">
        <v>5560630310.3619003</v>
      </c>
      <c s="10">
        <v>0</v>
      </c>
      <c s="10">
        <v>5405340557.8662996</v>
      </c>
      <c s="22">
        <v>32148104.5726</v>
      </c>
      <c s="10">
        <v>5412652352.8284998</v>
      </c>
      <c s="10">
        <v>0</v>
      </c>
      <c s="10">
        <v>5191424999.0459995</v>
      </c>
      <c s="22">
        <v>32376675.202100001</v>
      </c>
      <c s="10">
        <v>5436869851.0896997</v>
      </c>
      <c s="10">
        <v>0</v>
      </c>
      <c s="10">
        <v>5166544866.7652998</v>
      </c>
      <c s="22">
        <v>33765095.293899998</v>
      </c>
      <c s="10">
        <v>5601018487.2607002</v>
      </c>
      <c s="10">
        <v>0</v>
      </c>
      <c s="10">
        <v>5188759452.3796997</v>
      </c>
      <c s="22">
        <v>32616939.597100001</v>
      </c>
      <c s="10">
        <v>5460755266.4421997</v>
      </c>
      <c s="10">
        <v>0</v>
      </c>
      <c s="10">
        <v>4980786850.026</v>
      </c>
      <c s="22">
        <v>35287166.585100003</v>
      </c>
      <c s="10">
        <v>6566632060.6183004</v>
      </c>
      <c s="10">
        <v>0</v>
      </c>
      <c s="10">
        <v>5735879123.2433996</v>
      </c>
      <c s="22">
        <v>51515436.418700002</v>
      </c>
      <c s="10">
        <v>10659558727.242901</v>
      </c>
      <c s="10">
        <v>0</v>
      </c>
      <c s="10">
        <v>4975751730.1141005</v>
      </c>
      <c s="22">
        <v>51542876.644400001</v>
      </c>
      <c s="10">
        <v>10367609686.8281</v>
      </c>
      <c s="10">
        <v>0</v>
      </c>
      <c s="10">
        <v>4830473427.9053001</v>
      </c>
      <c s="22">
        <v>55553292.8024</v>
      </c>
      <c s="10">
        <v>10998290871.4771</v>
      </c>
      <c s="10">
        <v>0</v>
      </c>
      <c s="53">
        <v>5298924457.5552998</v>
      </c>
      <c s="82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7" t="s">
        <v>47</v>
      </c>
      <c s="13" t="s">
        <v>35</v>
      </c>
      <c s="4"/>
      <c s="4"/>
      <c s="16"/>
      <c s="5"/>
      <c s="76" t="s">
        <v>96</v>
      </c>
      <c s="13" t="s">
        <v>35</v>
      </c>
      <c s="4"/>
      <c s="4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80"/>
      <c s="14" t="s">
        <v>0</v>
      </c>
      <c s="15" t="s">
        <v>1</v>
      </c>
      <c s="12" t="s">
        <v>2</v>
      </c>
      <c s="39" t="s">
        <v>3</v>
      </c>
      <c s="5"/>
      <c s="73"/>
      <c s="14" t="s">
        <v>0</v>
      </c>
      <c s="15" t="s">
        <v>1</v>
      </c>
      <c s="12" t="s">
        <v>2</v>
      </c>
      <c s="39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50" t="s">
        <v>61</v>
      </c>
      <c s="22"/>
      <c s="10"/>
      <c s="10"/>
      <c s="53"/>
      <c s="82"/>
      <c s="50" t="s">
        <v>61</v>
      </c>
      <c s="22"/>
      <c s="10"/>
      <c s="10"/>
      <c s="5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7" t="s">
        <v>48</v>
      </c>
      <c s="13" t="s">
        <v>35</v>
      </c>
      <c s="4"/>
      <c s="4"/>
      <c s="16"/>
      <c s="5"/>
      <c s="76" t="s">
        <v>97</v>
      </c>
      <c s="13" t="s">
        <v>35</v>
      </c>
      <c s="4"/>
      <c s="4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80"/>
      <c s="14" t="s">
        <v>0</v>
      </c>
      <c s="15" t="s">
        <v>1</v>
      </c>
      <c s="12" t="s">
        <v>2</v>
      </c>
      <c s="39" t="s">
        <v>3</v>
      </c>
      <c s="5"/>
      <c s="73"/>
      <c s="14" t="s">
        <v>0</v>
      </c>
      <c s="15" t="s">
        <v>1</v>
      </c>
      <c s="12" t="s">
        <v>2</v>
      </c>
      <c s="39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50" t="s">
        <v>61</v>
      </c>
      <c s="22"/>
      <c s="10"/>
      <c s="10"/>
      <c s="53"/>
      <c s="82"/>
      <c s="50" t="s">
        <v>61</v>
      </c>
      <c s="22"/>
      <c s="10"/>
      <c s="10"/>
      <c s="5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7" t="s">
        <v>49</v>
      </c>
      <c s="13" t="s">
        <v>35</v>
      </c>
      <c s="4"/>
      <c s="4"/>
      <c s="16"/>
      <c s="5"/>
      <c s="76" t="s">
        <v>98</v>
      </c>
      <c s="13" t="s">
        <v>35</v>
      </c>
      <c s="4"/>
      <c s="4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80"/>
      <c s="14" t="s">
        <v>0</v>
      </c>
      <c s="15" t="s">
        <v>1</v>
      </c>
      <c s="12" t="s">
        <v>2</v>
      </c>
      <c s="39" t="s">
        <v>3</v>
      </c>
      <c s="5"/>
      <c s="73"/>
      <c s="14" t="s">
        <v>0</v>
      </c>
      <c s="15" t="s">
        <v>1</v>
      </c>
      <c s="12" t="s">
        <v>2</v>
      </c>
      <c s="39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50" t="s">
        <v>61</v>
      </c>
      <c s="22"/>
      <c s="10"/>
      <c s="10"/>
      <c s="53"/>
      <c s="82"/>
      <c s="50" t="s">
        <v>61</v>
      </c>
      <c s="22"/>
      <c s="10"/>
      <c s="10"/>
      <c s="5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7" t="s">
        <v>50</v>
      </c>
      <c s="13" t="s">
        <v>35</v>
      </c>
      <c s="4"/>
      <c s="4"/>
      <c s="16"/>
      <c s="5"/>
      <c s="76" t="s">
        <v>99</v>
      </c>
      <c s="13" t="s">
        <v>35</v>
      </c>
      <c s="4"/>
      <c s="4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80"/>
      <c s="14" t="s">
        <v>0</v>
      </c>
      <c s="15" t="s">
        <v>1</v>
      </c>
      <c s="12" t="s">
        <v>2</v>
      </c>
      <c s="39" t="s">
        <v>3</v>
      </c>
      <c s="5"/>
      <c s="73"/>
      <c s="14" t="s">
        <v>0</v>
      </c>
      <c s="15" t="s">
        <v>1</v>
      </c>
      <c s="12" t="s">
        <v>2</v>
      </c>
      <c s="39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50" t="s">
        <v>61</v>
      </c>
      <c s="22"/>
      <c s="10"/>
      <c s="10"/>
      <c s="53"/>
      <c s="82"/>
      <c s="50" t="s">
        <v>61</v>
      </c>
      <c s="22"/>
      <c s="10"/>
      <c s="10"/>
      <c s="5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4" t="s">
        <v>51</v>
      </c>
      <c s="13" t="str">
        <f>INDEX(INFO!$AC$4:$AN$5,1,DATA!C$213+1)</f>
        <v>4月</v>
      </c>
      <c s="4"/>
      <c s="4"/>
      <c s="16"/>
      <c s="13" t="str">
        <f>INDEX(INFO!$AC$4:$AN$5,1,DATA!G$213+1)</f>
        <v>5月</v>
      </c>
      <c s="4"/>
      <c s="4"/>
      <c s="16"/>
      <c s="13" t="str">
        <f>INDEX(INFO!$AC$4:$AN$5,1,DATA!K$213+1)</f>
        <v>6月</v>
      </c>
      <c s="4"/>
      <c s="4"/>
      <c s="16"/>
      <c s="13" t="str">
        <f>INDEX(INFO!$AC$4:$AN$5,1,DATA!O$213+1)</f>
        <v>7月</v>
      </c>
      <c s="4"/>
      <c s="4"/>
      <c s="16"/>
      <c s="13" t="str">
        <f>INDEX(INFO!$AC$4:$AN$5,1,DATA!S$213+1)</f>
        <v>8月</v>
      </c>
      <c s="4"/>
      <c s="4"/>
      <c s="16"/>
      <c s="13" t="str">
        <f>INDEX(INFO!$AC$4:$AN$5,1,DATA!W$213+1)</f>
        <v>9月</v>
      </c>
      <c s="4"/>
      <c s="4"/>
      <c s="16"/>
      <c s="13" t="str">
        <f>INDEX(INFO!$AC$4:$AN$5,1,DATA!AA$213+1)</f>
        <v>10月</v>
      </c>
      <c s="4"/>
      <c s="4"/>
      <c s="16"/>
      <c s="13" t="str">
        <f>INDEX(INFO!$AC$4:$AN$5,1,DATA!AE$213+1)</f>
        <v>11月</v>
      </c>
      <c s="4"/>
      <c s="4"/>
      <c s="16"/>
      <c s="13" t="str">
        <f>INDEX(INFO!$AC$4:$AN$5,1,DATA!AI$213+1)</f>
        <v>12月</v>
      </c>
      <c s="4"/>
      <c s="4"/>
      <c s="16"/>
      <c s="13" t="str">
        <f>INDEX(INFO!$AC$4:$AN$5,1,DATA!AM$213+1)</f>
        <v>1月</v>
      </c>
      <c s="4"/>
      <c s="4"/>
      <c s="16"/>
      <c s="13" t="str">
        <f>INDEX(INFO!$AC$4:$AN$5,1,DATA!AQ$213+1)</f>
        <v>2月</v>
      </c>
      <c s="4"/>
      <c s="4"/>
      <c s="16"/>
      <c s="13" t="str">
        <f>INDEX(INFO!$AC$4:$AN$5,1,DATA!AU$213+1)</f>
        <v>3月</v>
      </c>
      <c s="4"/>
      <c s="4"/>
      <c s="16"/>
      <c s="239"/>
    </row>
    <row>
      <c s="1"/>
      <c s="72"/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39" t="s">
        <v>3</v>
      </c>
      <c s="239"/>
    </row>
    <row>
      <c s="1"/>
      <c s="50" t="s">
        <v>61</v>
      </c>
      <c s="22">
        <v>47598466.584200002</v>
      </c>
      <c s="10">
        <v>9028597222.6872005</v>
      </c>
      <c s="10">
        <v>0</v>
      </c>
      <c s="10">
        <v>4130135015.3572998</v>
      </c>
      <c s="22">
        <v>47930079.206900001</v>
      </c>
      <c s="10">
        <v>9086678068.9871998</v>
      </c>
      <c s="10">
        <v>0</v>
      </c>
      <c s="10">
        <v>4236557683.7726002</v>
      </c>
      <c s="22">
        <v>46306996.825999998</v>
      </c>
      <c s="10">
        <v>8820754654.1912003</v>
      </c>
      <c s="10">
        <v>0</v>
      </c>
      <c s="10">
        <v>4272422207.5496001</v>
      </c>
      <c s="22">
        <v>46334736.417999998</v>
      </c>
      <c s="10">
        <v>8875301321.9976006</v>
      </c>
      <c s="10">
        <v>0</v>
      </c>
      <c s="10">
        <v>4282889105.9636998</v>
      </c>
      <c s="22">
        <v>47270245.093599997</v>
      </c>
      <c s="10">
        <v>9454279640.6345997</v>
      </c>
      <c s="10">
        <v>0</v>
      </c>
      <c s="10">
        <v>4386686565.6848001</v>
      </c>
      <c s="22">
        <v>46485602.482100002</v>
      </c>
      <c s="10">
        <v>9067600757.7513008</v>
      </c>
      <c s="10">
        <v>0</v>
      </c>
      <c s="10">
        <v>4240380322.9889002</v>
      </c>
      <c s="22">
        <v>48227052.270999998</v>
      </c>
      <c s="10">
        <v>9232294623.9109001</v>
      </c>
      <c s="10">
        <v>0</v>
      </c>
      <c s="10">
        <v>4190282361.4446001</v>
      </c>
      <c s="22">
        <v>45774647.0814</v>
      </c>
      <c s="10">
        <v>8785864707.0636997</v>
      </c>
      <c s="10">
        <v>0</v>
      </c>
      <c s="10">
        <v>4008824097.8913002</v>
      </c>
      <c s="22">
        <v>50280981.804099999</v>
      </c>
      <c s="10">
        <v>10964732278.593599</v>
      </c>
      <c s="10">
        <v>0</v>
      </c>
      <c s="10">
        <v>4728728175.4196997</v>
      </c>
      <c s="22">
        <v>44231933.165200002</v>
      </c>
      <c s="10">
        <v>8808355815.8372002</v>
      </c>
      <c s="10">
        <v>0</v>
      </c>
      <c s="10">
        <v>3866176717.4537001</v>
      </c>
      <c s="22">
        <v>46265471.367600001</v>
      </c>
      <c s="10">
        <v>9004011243.7747993</v>
      </c>
      <c s="10">
        <v>0</v>
      </c>
      <c s="10">
        <v>4136868299.8038998</v>
      </c>
      <c s="22">
        <v>50516514.683200002</v>
      </c>
      <c s="10">
        <v>9878581560.3948994</v>
      </c>
      <c s="10">
        <v>0</v>
      </c>
      <c s="53">
        <v>4721225155.8803997</v>
      </c>
      <c s="82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4" t="s">
        <v>52</v>
      </c>
      <c s="13" t="str">
        <f>INDEX(INFO!$AC$4:$AN$5,1,DATA!C$213+1)</f>
        <v>4月</v>
      </c>
      <c s="4"/>
      <c s="4"/>
      <c s="16"/>
      <c s="13" t="str">
        <f>INDEX(INFO!$AC$4:$AN$5,1,DATA!G$213+1)</f>
        <v>5月</v>
      </c>
      <c s="4"/>
      <c s="4"/>
      <c s="16"/>
      <c s="13" t="str">
        <f>INDEX(INFO!$AC$4:$AN$5,1,DATA!K$213+1)</f>
        <v>6月</v>
      </c>
      <c s="4"/>
      <c s="4"/>
      <c s="16"/>
      <c s="13" t="str">
        <f>INDEX(INFO!$AC$4:$AN$5,1,DATA!O$213+1)</f>
        <v>7月</v>
      </c>
      <c s="4"/>
      <c s="4"/>
      <c s="16"/>
      <c s="13" t="str">
        <f>INDEX(INFO!$AC$4:$AN$5,1,DATA!S$213+1)</f>
        <v>8月</v>
      </c>
      <c s="4"/>
      <c s="4"/>
      <c s="16"/>
      <c s="13" t="str">
        <f>INDEX(INFO!$AC$4:$AN$5,1,DATA!W$213+1)</f>
        <v>9月</v>
      </c>
      <c s="4"/>
      <c s="4"/>
      <c s="16"/>
      <c s="13" t="str">
        <f>INDEX(INFO!$AC$4:$AN$5,1,DATA!AA$213+1)</f>
        <v>10月</v>
      </c>
      <c s="4"/>
      <c s="4"/>
      <c s="16"/>
      <c s="13" t="str">
        <f>INDEX(INFO!$AC$4:$AN$5,1,DATA!AE$213+1)</f>
        <v>11月</v>
      </c>
      <c s="4"/>
      <c s="4"/>
      <c s="16"/>
      <c s="13" t="str">
        <f>INDEX(INFO!$AC$4:$AN$5,1,DATA!AI$213+1)</f>
        <v>12月</v>
      </c>
      <c s="4"/>
      <c s="4"/>
      <c s="16"/>
      <c s="13" t="str">
        <f>INDEX(INFO!$AC$4:$AN$5,1,DATA!AM$213+1)</f>
        <v>1月</v>
      </c>
      <c s="4"/>
      <c s="4"/>
      <c s="16"/>
      <c s="13" t="str">
        <f>INDEX(INFO!$AC$4:$AN$5,1,DATA!AQ$213+1)</f>
        <v>2月</v>
      </c>
      <c s="4"/>
      <c s="4"/>
      <c s="16"/>
      <c s="13" t="str">
        <f>INDEX(INFO!$AC$4:$AN$5,1,DATA!AU$213+1)</f>
        <v>3月</v>
      </c>
      <c s="4"/>
      <c s="4"/>
      <c s="16"/>
      <c s="239"/>
    </row>
    <row>
      <c s="1"/>
      <c s="72"/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39" t="s">
        <v>3</v>
      </c>
      <c s="239"/>
    </row>
    <row>
      <c s="1"/>
      <c s="50" t="s">
        <v>61</v>
      </c>
      <c s="22">
        <v>28162034.340300001</v>
      </c>
      <c s="10">
        <v>4357836794.0075998</v>
      </c>
      <c s="10">
        <v>0</v>
      </c>
      <c s="10">
        <v>4198491932.1148</v>
      </c>
      <c s="22">
        <v>28629009.201099999</v>
      </c>
      <c s="10">
        <v>4436376885.1241999</v>
      </c>
      <c s="10">
        <v>0</v>
      </c>
      <c s="10">
        <v>4290518654.5057998</v>
      </c>
      <c s="22">
        <v>28074549.576699998</v>
      </c>
      <c s="10">
        <v>4373518940.9495001</v>
      </c>
      <c s="10">
        <v>0</v>
      </c>
      <c s="10">
        <v>4321848424.3795004</v>
      </c>
      <c s="22">
        <v>28745642.871399999</v>
      </c>
      <c s="10">
        <v>4475155181.4222002</v>
      </c>
      <c s="10">
        <v>0</v>
      </c>
      <c s="10">
        <v>4531834899.3149996</v>
      </c>
      <c s="22">
        <v>28428003.107500002</v>
      </c>
      <c s="10">
        <v>4518435835.3008003</v>
      </c>
      <c s="10">
        <v>0</v>
      </c>
      <c s="10">
        <v>4447765452.9722004</v>
      </c>
      <c s="22">
        <v>27559527.644099999</v>
      </c>
      <c s="10">
        <v>4358713551.8535995</v>
      </c>
      <c s="10">
        <v>0</v>
      </c>
      <c s="10">
        <v>4271974677.3660998</v>
      </c>
      <c s="22">
        <v>28460518.0667</v>
      </c>
      <c s="10">
        <v>4470255830.0607996</v>
      </c>
      <c s="10">
        <v>0</v>
      </c>
      <c s="10">
        <v>4303215075.8899002</v>
      </c>
      <c s="22">
        <v>27035372.694200002</v>
      </c>
      <c s="10">
        <v>4277386446.9973001</v>
      </c>
      <c s="10">
        <v>0</v>
      </c>
      <c s="10">
        <v>4086756068.1083999</v>
      </c>
      <c s="22">
        <v>29944975.6325</v>
      </c>
      <c s="10">
        <v>5260898176.2073002</v>
      </c>
      <c s="10">
        <v>0</v>
      </c>
      <c s="10">
        <v>4786648246.7037001</v>
      </c>
      <c s="22">
        <v>44917858.840400003</v>
      </c>
      <c s="10">
        <v>8898495896.4239998</v>
      </c>
      <c s="10">
        <v>0</v>
      </c>
      <c s="10">
        <v>4019852662.6420002</v>
      </c>
      <c s="22">
        <v>44305185.612199999</v>
      </c>
      <c s="10">
        <v>8504354679.1264</v>
      </c>
      <c s="10">
        <v>0</v>
      </c>
      <c s="10">
        <v>3895468100.7800999</v>
      </c>
      <c s="22">
        <v>48248695.132100001</v>
      </c>
      <c s="10">
        <v>9163541220.4393997</v>
      </c>
      <c s="10">
        <v>0</v>
      </c>
      <c s="53">
        <v>4230758041.9063001</v>
      </c>
      <c s="82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4" t="s">
        <v>53</v>
      </c>
      <c s="13" t="str">
        <f>INDEX(INFO!$AC$4:$AN$5,1,DATA!C$213+1)</f>
        <v>4月</v>
      </c>
      <c s="4"/>
      <c s="4"/>
      <c s="16"/>
      <c s="13" t="str">
        <f>INDEX(INFO!$AC$4:$AN$5,1,DATA!G$213+1)</f>
        <v>5月</v>
      </c>
      <c s="4"/>
      <c s="4"/>
      <c s="16"/>
      <c s="13" t="str">
        <f>INDEX(INFO!$AC$4:$AN$5,1,DATA!K$213+1)</f>
        <v>6月</v>
      </c>
      <c s="4"/>
      <c s="4"/>
      <c s="16"/>
      <c s="13" t="str">
        <f>INDEX(INFO!$AC$4:$AN$5,1,DATA!O$213+1)</f>
        <v>7月</v>
      </c>
      <c s="4"/>
      <c s="4"/>
      <c s="16"/>
      <c s="13" t="str">
        <f>INDEX(INFO!$AC$4:$AN$5,1,DATA!S$213+1)</f>
        <v>8月</v>
      </c>
      <c s="4"/>
      <c s="4"/>
      <c s="16"/>
      <c s="13" t="str">
        <f>INDEX(INFO!$AC$4:$AN$5,1,DATA!W$213+1)</f>
        <v>9月</v>
      </c>
      <c s="4"/>
      <c s="4"/>
      <c s="16"/>
      <c s="13" t="str">
        <f>INDEX(INFO!$AC$4:$AN$5,1,DATA!AA$213+1)</f>
        <v>10月</v>
      </c>
      <c s="4"/>
      <c s="4"/>
      <c s="16"/>
      <c s="13" t="str">
        <f>INDEX(INFO!$AC$4:$AN$5,1,DATA!AE$213+1)</f>
        <v>11月</v>
      </c>
      <c s="4"/>
      <c s="4"/>
      <c s="16"/>
      <c s="13" t="str">
        <f>INDEX(INFO!$AC$4:$AN$5,1,DATA!AI$213+1)</f>
        <v>12月</v>
      </c>
      <c s="4"/>
      <c s="4"/>
      <c s="16"/>
      <c s="13" t="str">
        <f>INDEX(INFO!$AC$4:$AN$5,1,DATA!AM$213+1)</f>
        <v>1月</v>
      </c>
      <c s="4"/>
      <c s="4"/>
      <c s="16"/>
      <c s="13" t="str">
        <f>INDEX(INFO!$AC$4:$AN$5,1,DATA!AQ$213+1)</f>
        <v>2月</v>
      </c>
      <c s="4"/>
      <c s="4"/>
      <c s="16"/>
      <c s="13" t="str">
        <f>INDEX(INFO!$AC$4:$AN$5,1,DATA!AU$213+1)</f>
        <v>3月</v>
      </c>
      <c s="4"/>
      <c s="4"/>
      <c s="16"/>
      <c s="5"/>
    </row>
    <row ht="10.5" customHeight="1">
      <c s="1"/>
      <c s="72"/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39" t="s">
        <v>3</v>
      </c>
      <c s="5"/>
    </row>
    <row>
      <c s="1"/>
      <c s="50" t="s">
        <v>61</v>
      </c>
      <c s="22">
        <v>55167896.961400002</v>
      </c>
      <c s="10">
        <v>10948316912.641701</v>
      </c>
      <c s="10">
        <v>0</v>
      </c>
      <c s="10">
        <v>5147964199.5361996</v>
      </c>
      <c s="22">
        <v>57962302.120300002</v>
      </c>
      <c s="10">
        <v>11279067787.7623</v>
      </c>
      <c s="10">
        <v>0</v>
      </c>
      <c s="10">
        <v>5298645627.7194996</v>
      </c>
      <c s="22">
        <v>51987149.090099998</v>
      </c>
      <c s="10">
        <v>10394360637.3412</v>
      </c>
      <c s="10">
        <v>0</v>
      </c>
      <c s="10">
        <v>5194974891.8165998</v>
      </c>
      <c s="22">
        <v>53707187.955899999</v>
      </c>
      <c s="10">
        <v>10860010957.704399</v>
      </c>
      <c s="10">
        <v>0</v>
      </c>
      <c s="10">
        <v>5239825905.8851995</v>
      </c>
      <c s="22">
        <v>52464179.126699999</v>
      </c>
      <c s="10">
        <v>10841632668.217699</v>
      </c>
      <c s="10">
        <v>0</v>
      </c>
      <c s="10">
        <v>5258018328.2997999</v>
      </c>
      <c s="22">
        <v>50820650.249899998</v>
      </c>
      <c s="10">
        <v>10457683738.1586</v>
      </c>
      <c s="10">
        <v>0</v>
      </c>
      <c s="10">
        <v>5138720397.4941998</v>
      </c>
      <c s="22">
        <v>54221770.964100003</v>
      </c>
      <c s="10">
        <v>10869890539.255501</v>
      </c>
      <c s="10">
        <v>0</v>
      </c>
      <c s="10">
        <v>5150196267.6420002</v>
      </c>
      <c s="22">
        <v>50573341.1171</v>
      </c>
      <c s="10">
        <v>10153486584.541401</v>
      </c>
      <c s="10">
        <v>0</v>
      </c>
      <c s="10">
        <v>4798416833.9116001</v>
      </c>
      <c s="22">
        <v>55776754.8116</v>
      </c>
      <c s="10">
        <v>12694752922.2099</v>
      </c>
      <c s="10">
        <v>0</v>
      </c>
      <c s="10">
        <v>5689195907.3650999</v>
      </c>
      <c s="22">
        <v>49618119.844700001</v>
      </c>
      <c s="10">
        <v>10358822554.7605</v>
      </c>
      <c s="10">
        <v>0</v>
      </c>
      <c s="10">
        <v>4719380177.9025002</v>
      </c>
      <c s="22">
        <v>53211909.777000003</v>
      </c>
      <c s="10">
        <v>10927502676.612101</v>
      </c>
      <c s="10">
        <v>0</v>
      </c>
      <c s="10">
        <v>5151178989.5187998</v>
      </c>
      <c s="22">
        <v>59046055.989699997</v>
      </c>
      <c s="10">
        <v>12240590324.2409</v>
      </c>
      <c s="10">
        <v>0</v>
      </c>
      <c s="53">
        <v>6128263459.3240995</v>
      </c>
      <c s="82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4" t="s">
        <v>54</v>
      </c>
      <c s="13" t="str">
        <f>INDEX(INFO!$AC$4:$AN$5,1,DATA!C$213+1)</f>
        <v>4月</v>
      </c>
      <c s="4"/>
      <c s="4"/>
      <c s="16"/>
      <c s="13" t="str">
        <f>INDEX(INFO!$AC$4:$AN$5,1,DATA!G$213+1)</f>
        <v>5月</v>
      </c>
      <c s="4"/>
      <c s="4"/>
      <c s="16"/>
      <c s="13" t="str">
        <f>INDEX(INFO!$AC$4:$AN$5,1,DATA!K$213+1)</f>
        <v>6月</v>
      </c>
      <c s="4"/>
      <c s="4"/>
      <c s="16"/>
      <c s="13" t="str">
        <f>INDEX(INFO!$AC$4:$AN$5,1,DATA!O$213+1)</f>
        <v>7月</v>
      </c>
      <c s="4"/>
      <c s="4"/>
      <c s="16"/>
      <c s="13" t="str">
        <f>INDEX(INFO!$AC$4:$AN$5,1,DATA!S$213+1)</f>
        <v>8月</v>
      </c>
      <c s="4"/>
      <c s="4"/>
      <c s="16"/>
      <c s="13" t="str">
        <f>INDEX(INFO!$AC$4:$AN$5,1,DATA!W$213+1)</f>
        <v>9月</v>
      </c>
      <c s="4"/>
      <c s="4"/>
      <c s="16"/>
      <c s="13" t="str">
        <f>INDEX(INFO!$AC$4:$AN$5,1,DATA!AA$213+1)</f>
        <v>10月</v>
      </c>
      <c s="4"/>
      <c s="4"/>
      <c s="16"/>
      <c s="13" t="str">
        <f>INDEX(INFO!$AC$4:$AN$5,1,DATA!AE$213+1)</f>
        <v>11月</v>
      </c>
      <c s="4"/>
      <c s="4"/>
      <c s="16"/>
      <c s="13" t="str">
        <f>INDEX(INFO!$AC$4:$AN$5,1,DATA!AI$213+1)</f>
        <v>12月</v>
      </c>
      <c s="4"/>
      <c s="4"/>
      <c s="16"/>
      <c s="13" t="str">
        <f>INDEX(INFO!$AC$4:$AN$5,1,DATA!AM$213+1)</f>
        <v>1月</v>
      </c>
      <c s="4"/>
      <c s="4"/>
      <c s="16"/>
      <c s="13" t="str">
        <f>INDEX(INFO!$AC$4:$AN$5,1,DATA!AQ$213+1)</f>
        <v>2月</v>
      </c>
      <c s="4"/>
      <c s="4"/>
      <c s="16"/>
      <c s="13" t="str">
        <f>INDEX(INFO!$AC$4:$AN$5,1,DATA!AU$213+1)</f>
        <v>3月</v>
      </c>
      <c s="4"/>
      <c s="4"/>
      <c s="16"/>
      <c s="5"/>
    </row>
    <row ht="10.5" customHeight="1">
      <c s="1"/>
      <c s="72"/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17" t="s">
        <v>3</v>
      </c>
      <c s="14" t="s">
        <v>0</v>
      </c>
      <c s="15" t="s">
        <v>1</v>
      </c>
      <c s="12" t="s">
        <v>2</v>
      </c>
      <c s="39" t="s">
        <v>3</v>
      </c>
      <c s="5"/>
    </row>
    <row>
      <c s="1"/>
      <c s="50" t="s">
        <v>61</v>
      </c>
      <c s="22">
        <v>32530185.3664</v>
      </c>
      <c s="10">
        <v>5400883213.7094002</v>
      </c>
      <c s="10">
        <v>0</v>
      </c>
      <c s="10">
        <v>5022311822.2381001</v>
      </c>
      <c s="22">
        <v>33453861.131499998</v>
      </c>
      <c s="10">
        <v>5540939173.0983</v>
      </c>
      <c s="10">
        <v>0</v>
      </c>
      <c s="10">
        <v>5131779741.0507002</v>
      </c>
      <c s="22">
        <v>32505473.377099998</v>
      </c>
      <c s="10">
        <v>5425939340.1120996</v>
      </c>
      <c s="10">
        <v>0</v>
      </c>
      <c s="10">
        <v>5079590464.6766996</v>
      </c>
      <c s="22">
        <v>33293876.774799999</v>
      </c>
      <c s="10">
        <v>5560630310.3619003</v>
      </c>
      <c s="10">
        <v>0</v>
      </c>
      <c s="10">
        <v>5405340557.8662996</v>
      </c>
      <c s="22">
        <v>32148104.5726</v>
      </c>
      <c s="10">
        <v>5412652352.8284998</v>
      </c>
      <c s="10">
        <v>0</v>
      </c>
      <c s="10">
        <v>5191424999.0459995</v>
      </c>
      <c s="22">
        <v>32376675.202100001</v>
      </c>
      <c s="10">
        <v>5436869851.0896997</v>
      </c>
      <c s="10">
        <v>0</v>
      </c>
      <c s="10">
        <v>5166544866.7652998</v>
      </c>
      <c s="22">
        <v>33765095.293899998</v>
      </c>
      <c s="10">
        <v>5601018487.2607002</v>
      </c>
      <c s="10">
        <v>0</v>
      </c>
      <c s="10">
        <v>5188759452.3796997</v>
      </c>
      <c s="22">
        <v>32616939.597100001</v>
      </c>
      <c s="10">
        <v>5460755266.4421997</v>
      </c>
      <c s="10">
        <v>0</v>
      </c>
      <c s="10">
        <v>4980786850.026</v>
      </c>
      <c s="22">
        <v>35287166.585100003</v>
      </c>
      <c s="10">
        <v>6566632060.6183004</v>
      </c>
      <c s="10">
        <v>0</v>
      </c>
      <c s="10">
        <v>5735879123.2433996</v>
      </c>
      <c s="22">
        <v>51515436.418700002</v>
      </c>
      <c s="10">
        <v>10659558727.242901</v>
      </c>
      <c s="10">
        <v>0</v>
      </c>
      <c s="10">
        <v>4975751730.1141005</v>
      </c>
      <c s="22">
        <v>51542876.644400001</v>
      </c>
      <c s="10">
        <v>10367609686.8281</v>
      </c>
      <c s="10">
        <v>0</v>
      </c>
      <c s="10">
        <v>4830473427.9053001</v>
      </c>
      <c s="22">
        <v>55553292.8024</v>
      </c>
      <c s="10">
        <v>10998290871.4771</v>
      </c>
      <c s="10">
        <v>0</v>
      </c>
      <c s="53">
        <v>5298924457.5552998</v>
      </c>
      <c s="82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</sheetData>
  <mergeCells count="80">
    <mergeCell ref="I479:L479"/>
    <mergeCell ref="H479:H480"/>
    <mergeCell ref="I426:L426"/>
    <mergeCell ref="H426:H427"/>
    <mergeCell ref="I585:L585"/>
    <mergeCell ref="H585:H586"/>
    <mergeCell ref="I532:L532"/>
    <mergeCell ref="H532:H533"/>
    <mergeCell ref="I161:L161"/>
    <mergeCell ref="H161:H162"/>
    <mergeCell ref="I108:L108"/>
    <mergeCell ref="H108:H109"/>
    <mergeCell ref="H2:H3"/>
    <mergeCell ref="I2:L2"/>
    <mergeCell ref="I55:L55"/>
    <mergeCell ref="H55:H56"/>
    <mergeCell ref="B214:B215"/>
    <mergeCell ref="B267:B268"/>
    <mergeCell ref="B638:B639"/>
    <mergeCell ref="B691:B692"/>
    <mergeCell ref="B426:B427"/>
    <mergeCell ref="B479:B480"/>
    <mergeCell ref="B532:B533"/>
    <mergeCell ref="B585:B586"/>
    <mergeCell ref="C2:F2"/>
    <mergeCell ref="C55:F55"/>
    <mergeCell ref="C108:F108"/>
    <mergeCell ref="C161:F161"/>
    <mergeCell ref="B2:B3"/>
    <mergeCell ref="B55:B56"/>
    <mergeCell ref="B108:B109"/>
    <mergeCell ref="B161:B162"/>
    <mergeCell ref="B863:B864"/>
    <mergeCell ref="C863:F863"/>
    <mergeCell ref="B320:B321"/>
    <mergeCell ref="B373:B374"/>
    <mergeCell ref="B744:B745"/>
    <mergeCell ref="B797:B798"/>
    <mergeCell ref="C426:F426"/>
    <mergeCell ref="C479:F479"/>
    <mergeCell ref="C532:F532"/>
    <mergeCell ref="C585:F585"/>
    <mergeCell ref="B899:B900"/>
    <mergeCell ref="C899:F899"/>
    <mergeCell ref="H863:H864"/>
    <mergeCell ref="I863:L863"/>
    <mergeCell ref="H875:H876"/>
    <mergeCell ref="I875:L875"/>
    <mergeCell ref="B871:B872"/>
    <mergeCell ref="C871:F871"/>
    <mergeCell ref="H871:H872"/>
    <mergeCell ref="I871:L871"/>
    <mergeCell ref="B891:B892"/>
    <mergeCell ref="B875:B876"/>
    <mergeCell ref="C875:F875"/>
    <mergeCell ref="B879:B880"/>
    <mergeCell ref="H899:H900"/>
    <mergeCell ref="I899:L899"/>
    <mergeCell ref="B903:B904"/>
    <mergeCell ref="C903:F903"/>
    <mergeCell ref="H903:H904"/>
    <mergeCell ref="I903:L903"/>
    <mergeCell ref="B907:B908"/>
    <mergeCell ref="C907:F907"/>
    <mergeCell ref="B919:B920"/>
    <mergeCell ref="B923:B924"/>
    <mergeCell ref="H867:H868"/>
    <mergeCell ref="I867:L867"/>
    <mergeCell ref="B883:B884"/>
    <mergeCell ref="B915:B916"/>
    <mergeCell ref="B911:B912"/>
    <mergeCell ref="B867:B868"/>
    <mergeCell ref="C867:F867"/>
    <mergeCell ref="B887:B888"/>
    <mergeCell ref="B895:B896"/>
    <mergeCell ref="C895:F895"/>
    <mergeCell ref="H895:H896"/>
    <mergeCell ref="I895:L895"/>
    <mergeCell ref="H907:H908"/>
    <mergeCell ref="I907:L907"/>
  </mergeCells>
  <pageMargins left="0.75" right="0.75" top="1" bottom="1" header="0.512" footer="0.512"/>
  <pageSetup paperSize="9" orientation="portrait"/>
</worksheet>
</file>

<file path=xl/worksheets/sheet10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B3" sqref="B3"/>
    </sheetView>
  </sheetViews>
  <sheetFormatPr defaultColWidth="9.375" defaultRowHeight="13.5"/>
  <sheetData>
    <row>
      <c t="s">
        <v>137</v>
      </c>
      <c t="s">
        <v>142</v>
      </c>
    </row>
    <row>
      <c t="s">
        <v>138</v>
      </c>
      <c>
        <v>0</v>
      </c>
    </row>
    <row>
      <c t="s">
        <v>139</v>
      </c>
      <c>
        <v>0</v>
      </c>
    </row>
    <row>
      <c t="s">
        <v>140</v>
      </c>
      <c>
        <v>0</v>
      </c>
    </row>
    <row>
      <c t="s">
        <v>141</v>
      </c>
      <c>
        <v>1</v>
      </c>
    </row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B3" sqref="B3"/>
    </sheetView>
  </sheetViews>
  <sheetFormatPr defaultColWidth="9.375" defaultRowHeight="13.5"/>
  <sheetData>
    <row>
      <c t="s">
        <v>137</v>
      </c>
      <c t="s">
        <v>143</v>
      </c>
    </row>
    <row>
      <c t="s">
        <v>138</v>
      </c>
      <c>
        <v>0</v>
      </c>
    </row>
    <row>
      <c t="s">
        <v>139</v>
      </c>
      <c>
        <v>0</v>
      </c>
    </row>
    <row>
      <c t="s">
        <v>140</v>
      </c>
      <c>
        <v>0</v>
      </c>
    </row>
    <row>
      <c t="s">
        <v>141</v>
      </c>
      <c>
        <v>0</v>
      </c>
    </row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B3" sqref="B3"/>
    </sheetView>
  </sheetViews>
  <sheetFormatPr defaultColWidth="9.375" defaultRowHeight="13.5"/>
  <sheetData>
    <row>
      <c t="s">
        <v>137</v>
      </c>
      <c t="s">
        <v>143</v>
      </c>
    </row>
    <row>
      <c t="s">
        <v>138</v>
      </c>
      <c>
        <v>0</v>
      </c>
    </row>
    <row>
      <c t="s">
        <v>139</v>
      </c>
      <c>
        <v>0</v>
      </c>
    </row>
    <row>
      <c t="s">
        <v>140</v>
      </c>
      <c>
        <v>0</v>
      </c>
    </row>
    <row>
      <c t="s">
        <v>141</v>
      </c>
      <c>
        <v>0</v>
      </c>
    </row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:B26"/>
  <sheetViews>
    <sheetView workbookViewId="0">
      <selection activeCell="A22" sqref="A22:A24"/>
    </sheetView>
  </sheetViews>
  <sheetFormatPr defaultColWidth="9.375" defaultRowHeight="13.5"/>
  <cols>
    <col min="1" max="1" width="39.125" bestFit="1" customWidth="1"/>
  </cols>
  <sheetData>
    <row>
      <c t="s">
        <v>144</v>
      </c>
    </row>
    <row>
      <c t="s">
        <v>145</v>
      </c>
      <c t="s">
        <v>146</v>
      </c>
    </row>
    <row>
      <c t="s">
        <v>147</v>
      </c>
      <c t="s">
        <v>148</v>
      </c>
    </row>
    <row>
      <c t="s">
        <v>149</v>
      </c>
      <c t="s">
        <v>150</v>
      </c>
    </row>
    <row>
      <c t="s">
        <v>151</v>
      </c>
      <c t="s">
        <v>152</v>
      </c>
    </row>
    <row>
      <c t="s">
        <v>173</v>
      </c>
      <c t="s">
        <v>174</v>
      </c>
    </row>
    <row>
      <c t="s">
        <v>153</v>
      </c>
    </row>
    <row>
      <c t="s">
        <v>154</v>
      </c>
    </row>
    <row>
      <c t="s">
        <v>155</v>
      </c>
    </row>
    <row>
      <c t="s">
        <v>156</v>
      </c>
    </row>
    <row>
      <c t="s">
        <v>157</v>
      </c>
    </row>
    <row>
      <c t="s">
        <v>158</v>
      </c>
    </row>
    <row>
      <c t="s">
        <v>159</v>
      </c>
    </row>
    <row>
      <c t="s">
        <v>160</v>
      </c>
    </row>
    <row>
      <c t="s">
        <v>161</v>
      </c>
    </row>
    <row>
      <c t="s">
        <v>162</v>
      </c>
    </row>
    <row>
      <c t="s">
        <v>163</v>
      </c>
    </row>
    <row>
      <c t="s">
        <v>164</v>
      </c>
    </row>
    <row>
      <c t="s">
        <v>165</v>
      </c>
    </row>
    <row>
      <c t="s">
        <v>166</v>
      </c>
    </row>
    <row>
      <c t="s">
        <v>167</v>
      </c>
    </row>
    <row>
      <c t="s">
        <v>315</v>
      </c>
    </row>
    <row>
      <c t="s">
        <v>316</v>
      </c>
    </row>
    <row>
      <c t="s">
        <v>317</v>
      </c>
    </row>
    <row>
      <c t="s">
        <v>168</v>
      </c>
    </row>
    <row>
      <c t="s">
        <v>169</v>
      </c>
    </row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:C377"/>
  <sheetViews>
    <sheetView workbookViewId="0"/>
  </sheetViews>
  <sheetFormatPr defaultColWidth="9.375" defaultRowHeight="13.5"/>
  <cols>
    <col min="1" max="1" width="22.875" customWidth="1"/>
    <col min="2" max="2" width="30.625" customWidth="1"/>
  </cols>
  <sheetData>
    <row>
      <c t="str">
        <f>"[spread"&amp;TEXT(C1, "00")&amp;"]"</f>
        <v>[spread01]</v>
      </c>
      <c r="C1">
        <v>1</v>
      </c>
    </row>
    <row>
      <c t="s">
        <v>145</v>
      </c>
      <c t="s">
        <v>170</v>
      </c>
      <c>
        <v>1</v>
      </c>
    </row>
    <row>
      <c t="s">
        <v>147</v>
      </c>
      <c t="s">
        <v>171</v>
      </c>
      <c>
        <v>1</v>
      </c>
    </row>
    <row>
      <c t="s">
        <v>149</v>
      </c>
      <c t="s">
        <v>172</v>
      </c>
      <c>
        <v>1</v>
      </c>
    </row>
    <row>
      <c t="s">
        <v>151</v>
      </c>
      <c t="s">
        <v>152</v>
      </c>
      <c>
        <v>1</v>
      </c>
    </row>
    <row>
      <c t="s">
        <v>173</v>
      </c>
      <c t="s">
        <v>174</v>
      </c>
      <c>
        <v>1</v>
      </c>
    </row>
    <row>
      <c t="str">
        <f>"[spread"&amp;TEXT(C7, "00")&amp;"]"</f>
        <v>[spread02]</v>
      </c>
      <c r="C7">
        <f t="shared" si="0" ref="C7:C261">C1+1</f>
        <v>2</v>
      </c>
    </row>
    <row>
      <c t="s">
        <v>145</v>
      </c>
      <c t="s">
        <v>175</v>
      </c>
      <c>
        <f t="shared" si="0"/>
        <v>2</v>
      </c>
    </row>
    <row>
      <c t="s">
        <v>147</v>
      </c>
      <c t="s">
        <v>176</v>
      </c>
      <c>
        <f t="shared" si="0"/>
        <v>2</v>
      </c>
    </row>
    <row>
      <c t="s">
        <v>149</v>
      </c>
      <c t="s">
        <v>177</v>
      </c>
      <c>
        <f t="shared" si="0"/>
        <v>2</v>
      </c>
    </row>
    <row>
      <c t="s">
        <v>151</v>
      </c>
      <c t="s">
        <v>152</v>
      </c>
      <c>
        <f t="shared" si="0"/>
        <v>2</v>
      </c>
    </row>
    <row>
      <c t="s">
        <v>173</v>
      </c>
      <c t="s">
        <v>174</v>
      </c>
      <c>
        <f t="shared" si="0"/>
        <v>2</v>
      </c>
    </row>
    <row>
      <c t="str">
        <f>"[spread"&amp;TEXT(C13, "00")&amp;"]"</f>
        <v>[spread03]</v>
      </c>
      <c r="C13">
        <f t="shared" si="0"/>
        <v>3</v>
      </c>
    </row>
    <row>
      <c t="s">
        <v>145</v>
      </c>
      <c t="s">
        <v>178</v>
      </c>
      <c>
        <f t="shared" si="0"/>
        <v>3</v>
      </c>
    </row>
    <row>
      <c t="s">
        <v>147</v>
      </c>
      <c t="s">
        <v>176</v>
      </c>
      <c>
        <f t="shared" si="0"/>
        <v>3</v>
      </c>
    </row>
    <row>
      <c t="s">
        <v>149</v>
      </c>
      <c t="s">
        <v>179</v>
      </c>
      <c>
        <f t="shared" si="0"/>
        <v>3</v>
      </c>
    </row>
    <row>
      <c t="s">
        <v>151</v>
      </c>
      <c t="s">
        <v>152</v>
      </c>
      <c>
        <f t="shared" si="0"/>
        <v>3</v>
      </c>
    </row>
    <row>
      <c t="s">
        <v>173</v>
      </c>
      <c t="s">
        <v>174</v>
      </c>
      <c>
        <f t="shared" si="0"/>
        <v>3</v>
      </c>
    </row>
    <row>
      <c t="str">
        <f>"[spread"&amp;TEXT(C19, "00")&amp;"]"</f>
        <v>[spread04]</v>
      </c>
      <c r="C19">
        <f t="shared" si="0"/>
        <v>4</v>
      </c>
    </row>
    <row>
      <c t="s">
        <v>145</v>
      </c>
      <c t="s">
        <v>180</v>
      </c>
      <c>
        <f t="shared" si="0"/>
        <v>4</v>
      </c>
    </row>
    <row>
      <c t="s">
        <v>147</v>
      </c>
      <c t="s">
        <v>176</v>
      </c>
      <c>
        <f t="shared" si="0"/>
        <v>4</v>
      </c>
    </row>
    <row>
      <c t="s">
        <v>149</v>
      </c>
      <c t="s">
        <v>181</v>
      </c>
      <c>
        <f t="shared" si="0"/>
        <v>4</v>
      </c>
    </row>
    <row>
      <c t="s">
        <v>151</v>
      </c>
      <c t="s">
        <v>152</v>
      </c>
      <c>
        <f t="shared" si="0"/>
        <v>4</v>
      </c>
    </row>
    <row>
      <c t="s">
        <v>173</v>
      </c>
      <c t="s">
        <v>174</v>
      </c>
      <c>
        <f t="shared" si="0"/>
        <v>4</v>
      </c>
    </row>
    <row>
      <c t="str">
        <f>"[spread"&amp;TEXT(C25, "00")&amp;"]"</f>
        <v>[spread05]</v>
      </c>
      <c r="C25">
        <f t="shared" si="0"/>
        <v>5</v>
      </c>
    </row>
    <row>
      <c t="s">
        <v>145</v>
      </c>
      <c t="s">
        <v>182</v>
      </c>
      <c>
        <f t="shared" si="0"/>
        <v>5</v>
      </c>
    </row>
    <row>
      <c t="s">
        <v>147</v>
      </c>
      <c t="s">
        <v>176</v>
      </c>
      <c>
        <f t="shared" si="0"/>
        <v>5</v>
      </c>
    </row>
    <row>
      <c t="s">
        <v>149</v>
      </c>
      <c t="s">
        <v>183</v>
      </c>
      <c>
        <f t="shared" si="0"/>
        <v>5</v>
      </c>
    </row>
    <row>
      <c t="s">
        <v>151</v>
      </c>
      <c t="s">
        <v>152</v>
      </c>
      <c>
        <f t="shared" si="0"/>
        <v>5</v>
      </c>
    </row>
    <row>
      <c t="s">
        <v>173</v>
      </c>
      <c t="s">
        <v>174</v>
      </c>
      <c>
        <f t="shared" si="0"/>
        <v>5</v>
      </c>
    </row>
    <row>
      <c t="str">
        <f>"[spread"&amp;TEXT(C31, "00")&amp;"]"</f>
        <v>[spread06]</v>
      </c>
      <c r="C31">
        <f t="shared" si="0"/>
        <v>6</v>
      </c>
    </row>
    <row>
      <c t="s">
        <v>145</v>
      </c>
      <c t="s">
        <v>184</v>
      </c>
      <c>
        <f t="shared" si="0"/>
        <v>6</v>
      </c>
    </row>
    <row>
      <c t="s">
        <v>147</v>
      </c>
      <c t="s">
        <v>176</v>
      </c>
      <c>
        <f t="shared" si="0"/>
        <v>6</v>
      </c>
    </row>
    <row>
      <c t="s">
        <v>149</v>
      </c>
      <c t="s">
        <v>185</v>
      </c>
      <c>
        <f t="shared" si="0"/>
        <v>6</v>
      </c>
    </row>
    <row>
      <c t="s">
        <v>151</v>
      </c>
      <c t="s">
        <v>152</v>
      </c>
      <c>
        <f t="shared" si="0"/>
        <v>6</v>
      </c>
    </row>
    <row>
      <c t="s">
        <v>173</v>
      </c>
      <c t="s">
        <v>174</v>
      </c>
      <c>
        <f t="shared" si="0"/>
        <v>6</v>
      </c>
    </row>
    <row>
      <c t="str">
        <f>"[spread"&amp;TEXT(C37, "00")&amp;"]"</f>
        <v>[spread07]</v>
      </c>
      <c r="C37">
        <f t="shared" si="0"/>
        <v>7</v>
      </c>
    </row>
    <row>
      <c t="s">
        <v>145</v>
      </c>
      <c t="s">
        <v>186</v>
      </c>
      <c>
        <f t="shared" si="0"/>
        <v>7</v>
      </c>
    </row>
    <row>
      <c t="s">
        <v>147</v>
      </c>
      <c t="s">
        <v>176</v>
      </c>
      <c>
        <f t="shared" si="0"/>
        <v>7</v>
      </c>
    </row>
    <row>
      <c t="s">
        <v>149</v>
      </c>
      <c t="s">
        <v>187</v>
      </c>
      <c>
        <f t="shared" si="0"/>
        <v>7</v>
      </c>
    </row>
    <row>
      <c t="s">
        <v>151</v>
      </c>
      <c t="s">
        <v>152</v>
      </c>
      <c>
        <f t="shared" si="0"/>
        <v>7</v>
      </c>
    </row>
    <row>
      <c t="s">
        <v>173</v>
      </c>
      <c t="s">
        <v>174</v>
      </c>
      <c>
        <f t="shared" si="0"/>
        <v>7</v>
      </c>
    </row>
    <row>
      <c t="str">
        <f>"[spread"&amp;TEXT(C43, "00")&amp;"]"</f>
        <v>[spread08]</v>
      </c>
      <c r="C43">
        <f t="shared" si="0"/>
        <v>8</v>
      </c>
    </row>
    <row>
      <c t="s">
        <v>145</v>
      </c>
      <c t="s">
        <v>188</v>
      </c>
      <c>
        <f t="shared" si="0"/>
        <v>8</v>
      </c>
    </row>
    <row>
      <c t="s">
        <v>147</v>
      </c>
      <c t="s">
        <v>176</v>
      </c>
      <c>
        <f t="shared" si="0"/>
        <v>8</v>
      </c>
    </row>
    <row>
      <c t="s">
        <v>149</v>
      </c>
      <c t="s">
        <v>189</v>
      </c>
      <c>
        <f t="shared" si="0"/>
        <v>8</v>
      </c>
    </row>
    <row>
      <c t="s">
        <v>151</v>
      </c>
      <c t="s">
        <v>152</v>
      </c>
      <c>
        <f t="shared" si="0"/>
        <v>8</v>
      </c>
    </row>
    <row>
      <c t="s">
        <v>173</v>
      </c>
      <c t="s">
        <v>174</v>
      </c>
      <c>
        <f t="shared" si="0"/>
        <v>8</v>
      </c>
    </row>
    <row>
      <c t="str">
        <f>"[spread"&amp;TEXT(C49, "00")&amp;"]"</f>
        <v>[spread09]</v>
      </c>
      <c r="C49">
        <f t="shared" si="0"/>
        <v>9</v>
      </c>
    </row>
    <row>
      <c t="s">
        <v>145</v>
      </c>
      <c t="s">
        <v>190</v>
      </c>
      <c>
        <f t="shared" si="0"/>
        <v>9</v>
      </c>
    </row>
    <row>
      <c t="s">
        <v>147</v>
      </c>
      <c t="s">
        <v>176</v>
      </c>
      <c>
        <f t="shared" si="0"/>
        <v>9</v>
      </c>
    </row>
    <row>
      <c t="s">
        <v>149</v>
      </c>
      <c t="s">
        <v>191</v>
      </c>
      <c>
        <f t="shared" si="0"/>
        <v>9</v>
      </c>
    </row>
    <row>
      <c t="s">
        <v>151</v>
      </c>
      <c t="s">
        <v>152</v>
      </c>
      <c>
        <f t="shared" si="0"/>
        <v>9</v>
      </c>
    </row>
    <row>
      <c t="s">
        <v>173</v>
      </c>
      <c t="s">
        <v>174</v>
      </c>
      <c>
        <f t="shared" si="0"/>
        <v>9</v>
      </c>
    </row>
    <row>
      <c t="str">
        <f>"[spread"&amp;TEXT(C55, "00")&amp;"]"</f>
        <v>[spread10]</v>
      </c>
      <c r="C55">
        <f t="shared" si="0"/>
        <v>10</v>
      </c>
    </row>
    <row>
      <c t="s">
        <v>145</v>
      </c>
      <c t="s">
        <v>192</v>
      </c>
      <c>
        <f t="shared" si="0"/>
        <v>10</v>
      </c>
    </row>
    <row>
      <c t="s">
        <v>147</v>
      </c>
      <c t="s">
        <v>176</v>
      </c>
      <c>
        <f t="shared" si="0"/>
        <v>10</v>
      </c>
    </row>
    <row>
      <c t="s">
        <v>149</v>
      </c>
      <c t="s">
        <v>193</v>
      </c>
      <c>
        <f t="shared" si="0"/>
        <v>10</v>
      </c>
    </row>
    <row>
      <c t="s">
        <v>151</v>
      </c>
      <c t="s">
        <v>152</v>
      </c>
      <c>
        <f t="shared" si="0"/>
        <v>10</v>
      </c>
    </row>
    <row>
      <c t="s">
        <v>173</v>
      </c>
      <c t="s">
        <v>174</v>
      </c>
      <c>
        <f t="shared" si="0"/>
        <v>10</v>
      </c>
    </row>
    <row>
      <c t="str">
        <f>"[spread"&amp;TEXT(C61, "00")&amp;"]"</f>
        <v>[spread11]</v>
      </c>
      <c r="C61">
        <f t="shared" si="0"/>
        <v>11</v>
      </c>
    </row>
    <row>
      <c t="s">
        <v>145</v>
      </c>
      <c t="s">
        <v>194</v>
      </c>
      <c>
        <f t="shared" si="0"/>
        <v>11</v>
      </c>
    </row>
    <row>
      <c t="s">
        <v>147</v>
      </c>
      <c t="s">
        <v>176</v>
      </c>
      <c>
        <f t="shared" si="0"/>
        <v>11</v>
      </c>
    </row>
    <row>
      <c t="s">
        <v>149</v>
      </c>
      <c t="s">
        <v>195</v>
      </c>
      <c>
        <f t="shared" si="0"/>
        <v>11</v>
      </c>
    </row>
    <row>
      <c t="s">
        <v>151</v>
      </c>
      <c t="s">
        <v>152</v>
      </c>
      <c>
        <f t="shared" si="0"/>
        <v>11</v>
      </c>
    </row>
    <row>
      <c t="s">
        <v>173</v>
      </c>
      <c t="s">
        <v>174</v>
      </c>
      <c>
        <f t="shared" si="0"/>
        <v>11</v>
      </c>
    </row>
    <row>
      <c t="str">
        <f>"[spread"&amp;TEXT(C67, "00")&amp;"]"</f>
        <v>[spread12]</v>
      </c>
      <c r="C67">
        <f t="shared" si="0"/>
        <v>12</v>
      </c>
    </row>
    <row>
      <c t="s">
        <v>145</v>
      </c>
      <c t="s">
        <v>196</v>
      </c>
      <c>
        <f t="shared" si="0"/>
        <v>12</v>
      </c>
    </row>
    <row>
      <c t="s">
        <v>147</v>
      </c>
      <c t="s">
        <v>176</v>
      </c>
      <c>
        <f t="shared" si="0"/>
        <v>12</v>
      </c>
    </row>
    <row>
      <c t="s">
        <v>149</v>
      </c>
      <c t="s">
        <v>197</v>
      </c>
      <c>
        <f t="shared" si="0"/>
        <v>12</v>
      </c>
    </row>
    <row>
      <c t="s">
        <v>151</v>
      </c>
      <c t="s">
        <v>152</v>
      </c>
      <c>
        <f t="shared" si="0"/>
        <v>12</v>
      </c>
    </row>
    <row>
      <c t="s">
        <v>173</v>
      </c>
      <c t="s">
        <v>174</v>
      </c>
      <c>
        <f t="shared" si="0"/>
        <v>12</v>
      </c>
    </row>
    <row>
      <c t="str">
        <f>"[spread"&amp;TEXT(C73, "00")&amp;"]"</f>
        <v>[spread13]</v>
      </c>
      <c r="C73">
        <f t="shared" si="0"/>
        <v>13</v>
      </c>
    </row>
    <row>
      <c t="s">
        <v>145</v>
      </c>
      <c t="s">
        <v>198</v>
      </c>
      <c>
        <f t="shared" si="0"/>
        <v>13</v>
      </c>
    </row>
    <row>
      <c t="s">
        <v>147</v>
      </c>
      <c t="s">
        <v>176</v>
      </c>
      <c>
        <f t="shared" si="0"/>
        <v>13</v>
      </c>
    </row>
    <row>
      <c t="s">
        <v>149</v>
      </c>
      <c t="s">
        <v>199</v>
      </c>
      <c>
        <f t="shared" si="0"/>
        <v>13</v>
      </c>
    </row>
    <row>
      <c t="s">
        <v>151</v>
      </c>
      <c t="s">
        <v>152</v>
      </c>
      <c>
        <f t="shared" si="0"/>
        <v>13</v>
      </c>
    </row>
    <row>
      <c t="s">
        <v>173</v>
      </c>
      <c t="s">
        <v>174</v>
      </c>
      <c>
        <f t="shared" si="0"/>
        <v>13</v>
      </c>
    </row>
    <row>
      <c t="str">
        <f>"[spread"&amp;TEXT(C79, "00")&amp;"]"</f>
        <v>[spread14]</v>
      </c>
      <c r="C79">
        <f t="shared" si="0"/>
        <v>14</v>
      </c>
    </row>
    <row>
      <c t="s">
        <v>145</v>
      </c>
      <c t="s">
        <v>200</v>
      </c>
      <c>
        <f t="shared" si="0"/>
        <v>14</v>
      </c>
    </row>
    <row>
      <c t="s">
        <v>147</v>
      </c>
      <c t="s">
        <v>176</v>
      </c>
      <c>
        <f t="shared" si="0"/>
        <v>14</v>
      </c>
    </row>
    <row>
      <c t="s">
        <v>149</v>
      </c>
      <c t="s">
        <v>201</v>
      </c>
      <c>
        <f t="shared" si="0"/>
        <v>14</v>
      </c>
    </row>
    <row>
      <c t="s">
        <v>151</v>
      </c>
      <c t="s">
        <v>152</v>
      </c>
      <c>
        <f t="shared" si="0"/>
        <v>14</v>
      </c>
    </row>
    <row>
      <c t="s">
        <v>173</v>
      </c>
      <c t="s">
        <v>174</v>
      </c>
      <c>
        <f t="shared" si="0"/>
        <v>14</v>
      </c>
    </row>
    <row>
      <c t="str">
        <f>"[spread"&amp;TEXT(C85, "00")&amp;"]"</f>
        <v>[spread15]</v>
      </c>
      <c r="C85">
        <f t="shared" si="0"/>
        <v>15</v>
      </c>
    </row>
    <row>
      <c t="s">
        <v>145</v>
      </c>
      <c t="s">
        <v>202</v>
      </c>
      <c>
        <f t="shared" si="0"/>
        <v>15</v>
      </c>
    </row>
    <row>
      <c t="s">
        <v>147</v>
      </c>
      <c t="s">
        <v>176</v>
      </c>
      <c>
        <f t="shared" si="0"/>
        <v>15</v>
      </c>
    </row>
    <row>
      <c t="s">
        <v>149</v>
      </c>
      <c t="s">
        <v>203</v>
      </c>
      <c>
        <f t="shared" si="0"/>
        <v>15</v>
      </c>
    </row>
    <row>
      <c t="s">
        <v>151</v>
      </c>
      <c t="s">
        <v>152</v>
      </c>
      <c>
        <f t="shared" si="0"/>
        <v>15</v>
      </c>
    </row>
    <row>
      <c t="s">
        <v>173</v>
      </c>
      <c t="s">
        <v>174</v>
      </c>
      <c>
        <f t="shared" si="0"/>
        <v>15</v>
      </c>
    </row>
    <row>
      <c t="str">
        <f>"[spread"&amp;TEXT(C91, "00")&amp;"]"</f>
        <v>[spread16]</v>
      </c>
      <c r="C91">
        <f t="shared" si="0"/>
        <v>16</v>
      </c>
    </row>
    <row>
      <c t="s">
        <v>145</v>
      </c>
      <c t="s">
        <v>204</v>
      </c>
      <c>
        <f t="shared" si="0"/>
        <v>16</v>
      </c>
    </row>
    <row>
      <c t="s">
        <v>147</v>
      </c>
      <c t="s">
        <v>176</v>
      </c>
      <c>
        <f t="shared" si="0"/>
        <v>16</v>
      </c>
    </row>
    <row>
      <c t="s">
        <v>149</v>
      </c>
      <c t="s">
        <v>205</v>
      </c>
      <c>
        <f t="shared" si="0"/>
        <v>16</v>
      </c>
    </row>
    <row>
      <c t="s">
        <v>151</v>
      </c>
      <c t="s">
        <v>152</v>
      </c>
      <c>
        <f t="shared" si="0"/>
        <v>16</v>
      </c>
    </row>
    <row>
      <c t="s">
        <v>173</v>
      </c>
      <c t="s">
        <v>174</v>
      </c>
      <c>
        <f t="shared" si="0"/>
        <v>16</v>
      </c>
    </row>
    <row>
      <c t="str">
        <f>"[spread"&amp;TEXT(C97, "00")&amp;"]"</f>
        <v>[spread17]</v>
      </c>
      <c r="C97">
        <f t="shared" si="0"/>
        <v>17</v>
      </c>
    </row>
    <row>
      <c t="s">
        <v>145</v>
      </c>
      <c t="s">
        <v>206</v>
      </c>
      <c>
        <f t="shared" si="0"/>
        <v>17</v>
      </c>
    </row>
    <row>
      <c t="s">
        <v>147</v>
      </c>
      <c t="s">
        <v>176</v>
      </c>
      <c>
        <f t="shared" si="0"/>
        <v>17</v>
      </c>
    </row>
    <row>
      <c t="s">
        <v>149</v>
      </c>
      <c t="s">
        <v>207</v>
      </c>
      <c>
        <f t="shared" si="0"/>
        <v>17</v>
      </c>
    </row>
    <row>
      <c t="s">
        <v>151</v>
      </c>
      <c t="s">
        <v>152</v>
      </c>
      <c>
        <f t="shared" si="0"/>
        <v>17</v>
      </c>
    </row>
    <row>
      <c t="s">
        <v>173</v>
      </c>
      <c t="s">
        <v>174</v>
      </c>
      <c>
        <f t="shared" si="0"/>
        <v>17</v>
      </c>
    </row>
    <row>
      <c t="str">
        <f>"[spread"&amp;TEXT(C103, "00")&amp;"]"</f>
        <v>[spread18]</v>
      </c>
      <c r="C103">
        <f t="shared" si="0"/>
        <v>18</v>
      </c>
    </row>
    <row>
      <c t="s">
        <v>145</v>
      </c>
      <c t="s">
        <v>208</v>
      </c>
      <c>
        <f t="shared" si="0"/>
        <v>18</v>
      </c>
    </row>
    <row>
      <c t="s">
        <v>147</v>
      </c>
      <c t="s">
        <v>209</v>
      </c>
      <c>
        <f t="shared" si="0"/>
        <v>18</v>
      </c>
    </row>
    <row>
      <c t="s">
        <v>149</v>
      </c>
      <c t="s">
        <v>210</v>
      </c>
      <c>
        <f t="shared" si="0"/>
        <v>18</v>
      </c>
    </row>
    <row>
      <c t="s">
        <v>151</v>
      </c>
      <c t="s">
        <v>152</v>
      </c>
      <c>
        <f t="shared" si="0"/>
        <v>18</v>
      </c>
    </row>
    <row>
      <c t="s">
        <v>173</v>
      </c>
      <c t="s">
        <v>174</v>
      </c>
      <c>
        <f t="shared" si="0"/>
        <v>18</v>
      </c>
    </row>
    <row>
      <c t="str">
        <f>"[spread"&amp;TEXT(C109, "00")&amp;"]"</f>
        <v>[spread19]</v>
      </c>
      <c r="C109">
        <f t="shared" si="0"/>
        <v>19</v>
      </c>
    </row>
    <row>
      <c t="s">
        <v>145</v>
      </c>
      <c t="s">
        <v>211</v>
      </c>
      <c>
        <f t="shared" si="0"/>
        <v>19</v>
      </c>
    </row>
    <row>
      <c t="s">
        <v>147</v>
      </c>
      <c t="s">
        <v>209</v>
      </c>
      <c>
        <f t="shared" si="0"/>
        <v>19</v>
      </c>
    </row>
    <row>
      <c t="s">
        <v>149</v>
      </c>
      <c t="s">
        <v>212</v>
      </c>
      <c>
        <f t="shared" si="0"/>
        <v>19</v>
      </c>
    </row>
    <row>
      <c t="s">
        <v>151</v>
      </c>
      <c t="s">
        <v>152</v>
      </c>
      <c>
        <f t="shared" si="0"/>
        <v>19</v>
      </c>
    </row>
    <row>
      <c t="s">
        <v>173</v>
      </c>
      <c t="s">
        <v>174</v>
      </c>
      <c>
        <f t="shared" si="0"/>
        <v>19</v>
      </c>
    </row>
    <row>
      <c t="str">
        <f>"[spread"&amp;TEXT(C115, "00")&amp;"]"</f>
        <v>[spread20]</v>
      </c>
      <c r="C115">
        <f t="shared" si="0"/>
        <v>20</v>
      </c>
    </row>
    <row>
      <c t="s">
        <v>145</v>
      </c>
      <c t="s">
        <v>213</v>
      </c>
      <c>
        <f t="shared" si="0"/>
        <v>20</v>
      </c>
    </row>
    <row>
      <c t="s">
        <v>147</v>
      </c>
      <c t="s">
        <v>209</v>
      </c>
      <c>
        <f t="shared" si="0"/>
        <v>20</v>
      </c>
    </row>
    <row>
      <c t="s">
        <v>149</v>
      </c>
      <c t="s">
        <v>214</v>
      </c>
      <c>
        <f t="shared" si="0"/>
        <v>20</v>
      </c>
    </row>
    <row>
      <c t="s">
        <v>151</v>
      </c>
      <c t="s">
        <v>152</v>
      </c>
      <c>
        <f t="shared" si="0"/>
        <v>20</v>
      </c>
    </row>
    <row>
      <c t="s">
        <v>173</v>
      </c>
      <c t="s">
        <v>174</v>
      </c>
      <c>
        <f t="shared" si="0"/>
        <v>20</v>
      </c>
    </row>
    <row>
      <c t="str">
        <f>"[spread"&amp;TEXT(C121, "00")&amp;"]"</f>
        <v>[spread21]</v>
      </c>
      <c r="C121">
        <f t="shared" si="0"/>
        <v>21</v>
      </c>
    </row>
    <row>
      <c t="s">
        <v>145</v>
      </c>
      <c t="s">
        <v>215</v>
      </c>
      <c>
        <f t="shared" si="0"/>
        <v>21</v>
      </c>
    </row>
    <row>
      <c t="s">
        <v>147</v>
      </c>
      <c t="s">
        <v>209</v>
      </c>
      <c>
        <f t="shared" si="0"/>
        <v>21</v>
      </c>
    </row>
    <row>
      <c t="s">
        <v>149</v>
      </c>
      <c t="s">
        <v>216</v>
      </c>
      <c>
        <f t="shared" si="0"/>
        <v>21</v>
      </c>
    </row>
    <row>
      <c t="s">
        <v>151</v>
      </c>
      <c t="s">
        <v>152</v>
      </c>
      <c>
        <f t="shared" si="0"/>
        <v>21</v>
      </c>
    </row>
    <row>
      <c t="s">
        <v>173</v>
      </c>
      <c t="s">
        <v>174</v>
      </c>
      <c>
        <f t="shared" si="0"/>
        <v>21</v>
      </c>
    </row>
    <row>
      <c t="str">
        <f>"[spread"&amp;TEXT(C127, "00")&amp;"]"</f>
        <v>[spread22]</v>
      </c>
      <c r="C127">
        <f t="shared" si="0"/>
        <v>22</v>
      </c>
    </row>
    <row>
      <c t="s">
        <v>145</v>
      </c>
      <c t="s">
        <v>208</v>
      </c>
      <c>
        <f t="shared" si="0"/>
        <v>22</v>
      </c>
    </row>
    <row>
      <c t="s">
        <v>147</v>
      </c>
      <c t="s">
        <v>209</v>
      </c>
      <c>
        <f t="shared" si="0"/>
        <v>22</v>
      </c>
    </row>
    <row>
      <c t="s">
        <v>149</v>
      </c>
      <c t="s">
        <v>217</v>
      </c>
      <c>
        <f t="shared" si="0"/>
        <v>22</v>
      </c>
    </row>
    <row>
      <c t="s">
        <v>151</v>
      </c>
      <c t="s">
        <v>152</v>
      </c>
      <c>
        <f t="shared" si="0"/>
        <v>22</v>
      </c>
    </row>
    <row>
      <c t="s">
        <v>173</v>
      </c>
      <c t="s">
        <v>174</v>
      </c>
      <c>
        <f t="shared" si="0"/>
        <v>22</v>
      </c>
    </row>
    <row>
      <c t="str">
        <f>"[spread"&amp;TEXT(C133, "00")&amp;"]"</f>
        <v>[spread23]</v>
      </c>
      <c r="C133">
        <f t="shared" si="0"/>
        <v>23</v>
      </c>
    </row>
    <row>
      <c t="s">
        <v>145</v>
      </c>
      <c t="s">
        <v>211</v>
      </c>
      <c>
        <f t="shared" si="0"/>
        <v>23</v>
      </c>
    </row>
    <row>
      <c t="s">
        <v>147</v>
      </c>
      <c t="s">
        <v>209</v>
      </c>
      <c>
        <f t="shared" si="0"/>
        <v>23</v>
      </c>
    </row>
    <row>
      <c t="s">
        <v>149</v>
      </c>
      <c t="s">
        <v>218</v>
      </c>
      <c>
        <f t="shared" si="0"/>
        <v>23</v>
      </c>
    </row>
    <row>
      <c t="s">
        <v>151</v>
      </c>
      <c t="s">
        <v>152</v>
      </c>
      <c>
        <f t="shared" si="0"/>
        <v>23</v>
      </c>
    </row>
    <row>
      <c t="s">
        <v>173</v>
      </c>
      <c t="s">
        <v>174</v>
      </c>
      <c>
        <f t="shared" si="0"/>
        <v>23</v>
      </c>
    </row>
    <row>
      <c t="str">
        <f>"[spread"&amp;TEXT(C139, "00")&amp;"]"</f>
        <v>[spread24]</v>
      </c>
      <c r="C139">
        <f t="shared" si="0"/>
        <v>24</v>
      </c>
    </row>
    <row>
      <c t="s">
        <v>145</v>
      </c>
      <c t="s">
        <v>213</v>
      </c>
      <c>
        <f t="shared" si="0"/>
        <v>24</v>
      </c>
    </row>
    <row>
      <c t="s">
        <v>147</v>
      </c>
      <c t="s">
        <v>209</v>
      </c>
      <c>
        <f t="shared" si="0"/>
        <v>24</v>
      </c>
    </row>
    <row>
      <c t="s">
        <v>149</v>
      </c>
      <c t="s">
        <v>219</v>
      </c>
      <c>
        <f t="shared" si="0"/>
        <v>24</v>
      </c>
    </row>
    <row>
      <c t="s">
        <v>151</v>
      </c>
      <c t="s">
        <v>152</v>
      </c>
      <c>
        <f t="shared" si="0"/>
        <v>24</v>
      </c>
    </row>
    <row>
      <c t="s">
        <v>173</v>
      </c>
      <c t="s">
        <v>174</v>
      </c>
      <c>
        <f t="shared" si="0"/>
        <v>24</v>
      </c>
    </row>
    <row>
      <c t="str">
        <f>"[spread"&amp;TEXT(C145, "00")&amp;"]"</f>
        <v>[spread25]</v>
      </c>
      <c r="C145">
        <f t="shared" si="0"/>
        <v>25</v>
      </c>
    </row>
    <row>
      <c t="s">
        <v>145</v>
      </c>
      <c t="s">
        <v>215</v>
      </c>
      <c>
        <f t="shared" si="0"/>
        <v>25</v>
      </c>
    </row>
    <row>
      <c t="s">
        <v>147</v>
      </c>
      <c t="s">
        <v>209</v>
      </c>
      <c>
        <f t="shared" si="0"/>
        <v>25</v>
      </c>
    </row>
    <row>
      <c t="s">
        <v>149</v>
      </c>
      <c t="s">
        <v>220</v>
      </c>
      <c>
        <f t="shared" si="0"/>
        <v>25</v>
      </c>
    </row>
    <row>
      <c t="s">
        <v>151</v>
      </c>
      <c t="s">
        <v>152</v>
      </c>
      <c>
        <f t="shared" si="0"/>
        <v>25</v>
      </c>
    </row>
    <row>
      <c t="s">
        <v>173</v>
      </c>
      <c t="s">
        <v>174</v>
      </c>
      <c>
        <f t="shared" si="0"/>
        <v>25</v>
      </c>
    </row>
    <row>
      <c t="str">
        <f>"[spread"&amp;TEXT(C151, "00")&amp;"]"</f>
        <v>[spread26]</v>
      </c>
      <c r="C151">
        <f t="shared" si="0"/>
        <v>26</v>
      </c>
    </row>
    <row>
      <c t="s">
        <v>145</v>
      </c>
      <c s="56" t="s">
        <v>321</v>
      </c>
      <c>
        <f t="shared" si="0"/>
        <v>26</v>
      </c>
    </row>
    <row>
      <c t="s">
        <v>147</v>
      </c>
      <c t="s">
        <v>221</v>
      </c>
      <c>
        <f t="shared" si="0"/>
        <v>26</v>
      </c>
    </row>
    <row>
      <c t="s">
        <v>149</v>
      </c>
      <c t="s">
        <v>222</v>
      </c>
      <c>
        <f t="shared" si="0"/>
        <v>26</v>
      </c>
    </row>
    <row>
      <c t="s">
        <v>151</v>
      </c>
      <c t="s">
        <v>152</v>
      </c>
      <c>
        <f t="shared" si="0"/>
        <v>26</v>
      </c>
    </row>
    <row>
      <c t="s">
        <v>173</v>
      </c>
      <c r="C156">
        <f t="shared" si="0"/>
        <v>26</v>
      </c>
    </row>
    <row>
      <c t="str">
        <f>"[spread"&amp;TEXT(C157, "00")&amp;"]"</f>
        <v>[spread27]</v>
      </c>
      <c r="C157">
        <f t="shared" si="0"/>
        <v>27</v>
      </c>
    </row>
    <row>
      <c t="s">
        <v>145</v>
      </c>
      <c s="56" t="s">
        <v>322</v>
      </c>
      <c>
        <f t="shared" si="0"/>
        <v>27</v>
      </c>
    </row>
    <row>
      <c t="s">
        <v>147</v>
      </c>
      <c t="s">
        <v>221</v>
      </c>
      <c>
        <f t="shared" si="0"/>
        <v>27</v>
      </c>
    </row>
    <row>
      <c t="s">
        <v>149</v>
      </c>
      <c t="s">
        <v>223</v>
      </c>
      <c>
        <f t="shared" si="0"/>
        <v>27</v>
      </c>
    </row>
    <row>
      <c t="s">
        <v>151</v>
      </c>
      <c t="s">
        <v>152</v>
      </c>
      <c>
        <f t="shared" si="0"/>
        <v>27</v>
      </c>
    </row>
    <row>
      <c t="s">
        <v>173</v>
      </c>
      <c r="C162">
        <f t="shared" si="0"/>
        <v>27</v>
      </c>
    </row>
    <row>
      <c t="str">
        <f>"[spread"&amp;TEXT(C163, "00")&amp;"]"</f>
        <v>[spread28]</v>
      </c>
      <c r="C163">
        <f t="shared" si="0"/>
        <v>28</v>
      </c>
    </row>
    <row>
      <c t="s">
        <v>145</v>
      </c>
      <c s="56" t="s">
        <v>323</v>
      </c>
      <c>
        <f t="shared" si="0"/>
        <v>28</v>
      </c>
    </row>
    <row>
      <c t="s">
        <v>147</v>
      </c>
      <c t="s">
        <v>221</v>
      </c>
      <c>
        <f t="shared" si="0"/>
        <v>28</v>
      </c>
    </row>
    <row>
      <c t="s">
        <v>149</v>
      </c>
      <c t="s">
        <v>224</v>
      </c>
      <c>
        <f t="shared" si="0"/>
        <v>28</v>
      </c>
    </row>
    <row>
      <c t="s">
        <v>151</v>
      </c>
      <c t="s">
        <v>152</v>
      </c>
      <c>
        <f t="shared" si="0"/>
        <v>28</v>
      </c>
    </row>
    <row>
      <c t="s">
        <v>173</v>
      </c>
      <c r="C168">
        <f t="shared" si="0"/>
        <v>28</v>
      </c>
    </row>
    <row>
      <c t="str">
        <f>"[spread"&amp;TEXT(C169, "00")&amp;"]"</f>
        <v>[spread29]</v>
      </c>
      <c r="C169">
        <f t="shared" si="0"/>
        <v>29</v>
      </c>
    </row>
    <row>
      <c t="s">
        <v>145</v>
      </c>
      <c s="56" t="s">
        <v>324</v>
      </c>
      <c>
        <f t="shared" si="0"/>
        <v>29</v>
      </c>
    </row>
    <row>
      <c t="s">
        <v>147</v>
      </c>
      <c t="s">
        <v>221</v>
      </c>
      <c>
        <f t="shared" si="0"/>
        <v>29</v>
      </c>
    </row>
    <row>
      <c t="s">
        <v>149</v>
      </c>
      <c t="s">
        <v>225</v>
      </c>
      <c>
        <f t="shared" si="0"/>
        <v>29</v>
      </c>
    </row>
    <row>
      <c t="s">
        <v>151</v>
      </c>
      <c t="s">
        <v>152</v>
      </c>
      <c>
        <f t="shared" si="0"/>
        <v>29</v>
      </c>
    </row>
    <row>
      <c t="s">
        <v>173</v>
      </c>
      <c r="C174">
        <f t="shared" si="0"/>
        <v>29</v>
      </c>
    </row>
    <row>
      <c t="str">
        <f>"[spread"&amp;TEXT(C175, "00")&amp;"]"</f>
        <v>[spread30]</v>
      </c>
      <c r="C175">
        <f t="shared" si="0"/>
        <v>30</v>
      </c>
    </row>
    <row>
      <c t="s">
        <v>145</v>
      </c>
      <c s="56" t="s">
        <v>325</v>
      </c>
      <c>
        <f t="shared" si="0"/>
        <v>30</v>
      </c>
    </row>
    <row>
      <c t="s">
        <v>147</v>
      </c>
      <c t="s">
        <v>221</v>
      </c>
      <c>
        <f t="shared" si="0"/>
        <v>30</v>
      </c>
    </row>
    <row>
      <c t="s">
        <v>149</v>
      </c>
      <c t="s">
        <v>226</v>
      </c>
      <c>
        <f t="shared" si="0"/>
        <v>30</v>
      </c>
    </row>
    <row>
      <c t="s">
        <v>151</v>
      </c>
      <c t="s">
        <v>152</v>
      </c>
      <c>
        <f t="shared" si="0"/>
        <v>30</v>
      </c>
    </row>
    <row>
      <c t="s">
        <v>173</v>
      </c>
      <c r="C180">
        <f t="shared" si="0"/>
        <v>30</v>
      </c>
    </row>
    <row>
      <c t="str">
        <f>"[spread"&amp;TEXT(C181, "00")&amp;"]"</f>
        <v>[spread31]</v>
      </c>
      <c r="C181">
        <f t="shared" si="0"/>
        <v>31</v>
      </c>
    </row>
    <row>
      <c t="s">
        <v>145</v>
      </c>
      <c s="56" t="s">
        <v>326</v>
      </c>
      <c>
        <f t="shared" si="0"/>
        <v>31</v>
      </c>
    </row>
    <row>
      <c t="s">
        <v>147</v>
      </c>
      <c t="s">
        <v>221</v>
      </c>
      <c>
        <f t="shared" si="0"/>
        <v>31</v>
      </c>
    </row>
    <row>
      <c t="s">
        <v>149</v>
      </c>
      <c t="s">
        <v>227</v>
      </c>
      <c>
        <f t="shared" si="0"/>
        <v>31</v>
      </c>
    </row>
    <row>
      <c t="s">
        <v>151</v>
      </c>
      <c t="s">
        <v>152</v>
      </c>
      <c>
        <f t="shared" si="0"/>
        <v>31</v>
      </c>
    </row>
    <row>
      <c t="s">
        <v>173</v>
      </c>
      <c r="C186">
        <f t="shared" si="0"/>
        <v>31</v>
      </c>
    </row>
    <row>
      <c t="str">
        <f>"[spread"&amp;TEXT(C187, "00")&amp;"]"</f>
        <v>[spread32]</v>
      </c>
      <c r="C187">
        <f t="shared" si="0"/>
        <v>32</v>
      </c>
    </row>
    <row>
      <c t="s">
        <v>145</v>
      </c>
      <c s="56" t="s">
        <v>327</v>
      </c>
      <c>
        <f t="shared" si="0"/>
        <v>32</v>
      </c>
    </row>
    <row>
      <c t="s">
        <v>147</v>
      </c>
      <c t="s">
        <v>221</v>
      </c>
      <c>
        <f t="shared" si="0"/>
        <v>32</v>
      </c>
    </row>
    <row>
      <c t="s">
        <v>149</v>
      </c>
      <c t="s">
        <v>228</v>
      </c>
      <c>
        <f t="shared" si="0"/>
        <v>32</v>
      </c>
    </row>
    <row>
      <c t="s">
        <v>151</v>
      </c>
      <c t="s">
        <v>152</v>
      </c>
      <c>
        <f t="shared" si="0"/>
        <v>32</v>
      </c>
    </row>
    <row>
      <c t="s">
        <v>173</v>
      </c>
      <c r="C192">
        <f t="shared" si="0"/>
        <v>32</v>
      </c>
    </row>
    <row>
      <c t="str">
        <f>"[spread"&amp;TEXT(C193, "00")&amp;"]"</f>
        <v>[spread33]</v>
      </c>
      <c r="C193">
        <f t="shared" si="0"/>
        <v>33</v>
      </c>
    </row>
    <row>
      <c t="s">
        <v>145</v>
      </c>
      <c s="56" t="s">
        <v>328</v>
      </c>
      <c>
        <f t="shared" si="0"/>
        <v>33</v>
      </c>
    </row>
    <row>
      <c t="s">
        <v>147</v>
      </c>
      <c t="s">
        <v>221</v>
      </c>
      <c>
        <f t="shared" si="0"/>
        <v>33</v>
      </c>
    </row>
    <row>
      <c t="s">
        <v>149</v>
      </c>
      <c t="s">
        <v>229</v>
      </c>
      <c>
        <f t="shared" si="0"/>
        <v>33</v>
      </c>
    </row>
    <row>
      <c t="s">
        <v>151</v>
      </c>
      <c t="s">
        <v>152</v>
      </c>
      <c>
        <f t="shared" si="0"/>
        <v>33</v>
      </c>
    </row>
    <row>
      <c t="s">
        <v>173</v>
      </c>
      <c r="C198">
        <f t="shared" si="0"/>
        <v>33</v>
      </c>
    </row>
    <row>
      <c t="str">
        <f>"[spread"&amp;TEXT(C199, "00")&amp;"]"</f>
        <v>[spread34]</v>
      </c>
      <c r="C199">
        <f t="shared" si="0"/>
        <v>34</v>
      </c>
    </row>
    <row>
      <c t="s">
        <v>145</v>
      </c>
      <c s="56" t="s">
        <v>329</v>
      </c>
      <c>
        <f t="shared" si="0"/>
        <v>34</v>
      </c>
    </row>
    <row>
      <c t="s">
        <v>147</v>
      </c>
      <c t="s">
        <v>221</v>
      </c>
      <c>
        <f t="shared" si="0"/>
        <v>34</v>
      </c>
    </row>
    <row>
      <c t="s">
        <v>149</v>
      </c>
      <c t="s">
        <v>230</v>
      </c>
      <c>
        <f t="shared" si="0"/>
        <v>34</v>
      </c>
    </row>
    <row>
      <c t="s">
        <v>151</v>
      </c>
      <c t="s">
        <v>152</v>
      </c>
      <c>
        <f t="shared" si="0"/>
        <v>34</v>
      </c>
    </row>
    <row>
      <c t="s">
        <v>173</v>
      </c>
      <c r="C204">
        <f t="shared" si="0"/>
        <v>34</v>
      </c>
    </row>
    <row>
      <c t="str">
        <f>"[spread"&amp;TEXT(C205, "00")&amp;"]"</f>
        <v>[spread35]</v>
      </c>
      <c r="C205">
        <f t="shared" si="0"/>
        <v>35</v>
      </c>
    </row>
    <row>
      <c t="s">
        <v>145</v>
      </c>
      <c s="56" t="s">
        <v>330</v>
      </c>
      <c>
        <f t="shared" si="0"/>
        <v>35</v>
      </c>
    </row>
    <row>
      <c t="s">
        <v>147</v>
      </c>
      <c t="s">
        <v>221</v>
      </c>
      <c>
        <f t="shared" si="0"/>
        <v>35</v>
      </c>
    </row>
    <row>
      <c t="s">
        <v>149</v>
      </c>
      <c t="s">
        <v>231</v>
      </c>
      <c>
        <f t="shared" si="0"/>
        <v>35</v>
      </c>
    </row>
    <row>
      <c t="s">
        <v>151</v>
      </c>
      <c t="s">
        <v>152</v>
      </c>
      <c>
        <f t="shared" si="0"/>
        <v>35</v>
      </c>
    </row>
    <row>
      <c t="s">
        <v>173</v>
      </c>
      <c r="C210">
        <f t="shared" si="0"/>
        <v>35</v>
      </c>
    </row>
    <row>
      <c t="str">
        <f>"[spread"&amp;TEXT(C211, "00")&amp;"]"</f>
        <v>[spread36]</v>
      </c>
      <c r="C211">
        <f t="shared" si="0"/>
        <v>36</v>
      </c>
    </row>
    <row>
      <c t="s">
        <v>145</v>
      </c>
      <c s="56" t="s">
        <v>331</v>
      </c>
      <c>
        <f t="shared" si="0"/>
        <v>36</v>
      </c>
    </row>
    <row>
      <c t="s">
        <v>147</v>
      </c>
      <c t="s">
        <v>221</v>
      </c>
      <c>
        <f t="shared" si="0"/>
        <v>36</v>
      </c>
    </row>
    <row>
      <c t="s">
        <v>149</v>
      </c>
      <c t="s">
        <v>232</v>
      </c>
      <c>
        <f t="shared" si="0"/>
        <v>36</v>
      </c>
    </row>
    <row>
      <c t="s">
        <v>151</v>
      </c>
      <c t="s">
        <v>152</v>
      </c>
      <c>
        <f t="shared" si="0"/>
        <v>36</v>
      </c>
    </row>
    <row>
      <c t="s">
        <v>173</v>
      </c>
      <c r="C216">
        <f t="shared" si="0"/>
        <v>36</v>
      </c>
    </row>
    <row>
      <c t="str">
        <f>"[spread"&amp;TEXT(C217, "00")&amp;"]"</f>
        <v>[spread37]</v>
      </c>
      <c r="C217">
        <f t="shared" si="0"/>
        <v>37</v>
      </c>
    </row>
    <row>
      <c t="s">
        <v>145</v>
      </c>
      <c s="56" t="s">
        <v>332</v>
      </c>
      <c>
        <f t="shared" si="0"/>
        <v>37</v>
      </c>
    </row>
    <row>
      <c t="s">
        <v>147</v>
      </c>
      <c t="s">
        <v>221</v>
      </c>
      <c>
        <f t="shared" si="0"/>
        <v>37</v>
      </c>
    </row>
    <row>
      <c t="s">
        <v>149</v>
      </c>
      <c t="s">
        <v>233</v>
      </c>
      <c>
        <f t="shared" si="0"/>
        <v>37</v>
      </c>
    </row>
    <row>
      <c t="s">
        <v>151</v>
      </c>
      <c t="s">
        <v>152</v>
      </c>
      <c>
        <f t="shared" si="0"/>
        <v>37</v>
      </c>
    </row>
    <row>
      <c t="s">
        <v>173</v>
      </c>
      <c r="C222">
        <f t="shared" si="0"/>
        <v>37</v>
      </c>
    </row>
    <row>
      <c t="str">
        <f>"[spread"&amp;TEXT(C223, "00")&amp;"]"</f>
        <v>[spread38]</v>
      </c>
      <c r="C223">
        <f t="shared" si="0"/>
        <v>38</v>
      </c>
    </row>
    <row>
      <c t="s">
        <v>145</v>
      </c>
      <c s="56" t="s">
        <v>333</v>
      </c>
      <c>
        <f t="shared" si="0"/>
        <v>38</v>
      </c>
    </row>
    <row>
      <c t="s">
        <v>147</v>
      </c>
      <c t="s">
        <v>221</v>
      </c>
      <c>
        <f t="shared" si="0"/>
        <v>38</v>
      </c>
    </row>
    <row>
      <c t="s">
        <v>149</v>
      </c>
      <c t="s">
        <v>234</v>
      </c>
      <c>
        <f t="shared" si="0"/>
        <v>38</v>
      </c>
    </row>
    <row>
      <c t="s">
        <v>151</v>
      </c>
      <c t="s">
        <v>152</v>
      </c>
      <c>
        <f t="shared" si="0"/>
        <v>38</v>
      </c>
    </row>
    <row>
      <c t="s">
        <v>173</v>
      </c>
      <c r="C228">
        <f t="shared" si="0"/>
        <v>38</v>
      </c>
    </row>
    <row>
      <c t="str">
        <f>"[spread"&amp;TEXT(C229, "00")&amp;"]"</f>
        <v>[spread39]</v>
      </c>
      <c r="C229">
        <f t="shared" si="0"/>
        <v>39</v>
      </c>
    </row>
    <row>
      <c t="s">
        <v>145</v>
      </c>
      <c s="56" t="s">
        <v>334</v>
      </c>
      <c>
        <f t="shared" si="0"/>
        <v>39</v>
      </c>
    </row>
    <row>
      <c t="s">
        <v>147</v>
      </c>
      <c t="s">
        <v>221</v>
      </c>
      <c>
        <f t="shared" si="0"/>
        <v>39</v>
      </c>
    </row>
    <row>
      <c t="s">
        <v>149</v>
      </c>
      <c t="s">
        <v>235</v>
      </c>
      <c>
        <f t="shared" si="0"/>
        <v>39</v>
      </c>
    </row>
    <row>
      <c t="s">
        <v>151</v>
      </c>
      <c t="s">
        <v>152</v>
      </c>
      <c>
        <f t="shared" si="0"/>
        <v>39</v>
      </c>
    </row>
    <row>
      <c t="s">
        <v>173</v>
      </c>
      <c r="C234">
        <f t="shared" si="0"/>
        <v>39</v>
      </c>
    </row>
    <row>
      <c t="str">
        <f>"[spread"&amp;TEXT(C235, "00")&amp;"]"</f>
        <v>[spread40]</v>
      </c>
      <c r="C235">
        <f t="shared" si="0"/>
        <v>40</v>
      </c>
    </row>
    <row>
      <c t="s">
        <v>145</v>
      </c>
      <c s="56" t="s">
        <v>335</v>
      </c>
      <c>
        <f t="shared" si="0"/>
        <v>40</v>
      </c>
    </row>
    <row>
      <c t="s">
        <v>147</v>
      </c>
      <c t="s">
        <v>221</v>
      </c>
      <c>
        <f t="shared" si="0"/>
        <v>40</v>
      </c>
    </row>
    <row>
      <c t="s">
        <v>149</v>
      </c>
      <c t="s">
        <v>236</v>
      </c>
      <c>
        <f t="shared" si="0"/>
        <v>40</v>
      </c>
    </row>
    <row>
      <c t="s">
        <v>151</v>
      </c>
      <c t="s">
        <v>152</v>
      </c>
      <c>
        <f t="shared" si="0"/>
        <v>40</v>
      </c>
    </row>
    <row>
      <c t="s">
        <v>173</v>
      </c>
      <c r="C240">
        <f t="shared" si="0"/>
        <v>40</v>
      </c>
    </row>
    <row>
      <c t="str">
        <f>"[spread"&amp;TEXT(C241, "00")&amp;"]"</f>
        <v>[spread41]</v>
      </c>
      <c r="C241">
        <f t="shared" si="0"/>
        <v>41</v>
      </c>
    </row>
    <row>
      <c t="s">
        <v>145</v>
      </c>
      <c s="56" t="s">
        <v>336</v>
      </c>
      <c>
        <f t="shared" si="0"/>
        <v>41</v>
      </c>
    </row>
    <row>
      <c t="s">
        <v>147</v>
      </c>
      <c t="s">
        <v>221</v>
      </c>
      <c>
        <f t="shared" si="0"/>
        <v>41</v>
      </c>
    </row>
    <row>
      <c t="s">
        <v>149</v>
      </c>
      <c t="s">
        <v>237</v>
      </c>
      <c>
        <f t="shared" si="0"/>
        <v>41</v>
      </c>
    </row>
    <row>
      <c t="s">
        <v>151</v>
      </c>
      <c t="s">
        <v>152</v>
      </c>
      <c>
        <f t="shared" si="0"/>
        <v>41</v>
      </c>
    </row>
    <row>
      <c t="s">
        <v>173</v>
      </c>
      <c r="C246">
        <f t="shared" si="0"/>
        <v>41</v>
      </c>
    </row>
    <row>
      <c t="str">
        <f>"[spread"&amp;TEXT(C247, "00")&amp;"]"</f>
        <v>[spread42]</v>
      </c>
      <c r="C247">
        <f t="shared" si="0"/>
        <v>42</v>
      </c>
    </row>
    <row>
      <c t="s">
        <v>145</v>
      </c>
      <c s="56" t="s">
        <v>337</v>
      </c>
      <c>
        <f t="shared" si="0"/>
        <v>42</v>
      </c>
    </row>
    <row>
      <c t="s">
        <v>147</v>
      </c>
      <c s="88" t="s">
        <v>238</v>
      </c>
      <c>
        <f t="shared" si="0"/>
        <v>42</v>
      </c>
    </row>
    <row>
      <c t="s">
        <v>149</v>
      </c>
      <c t="s">
        <v>239</v>
      </c>
      <c>
        <f t="shared" si="0"/>
        <v>42</v>
      </c>
    </row>
    <row>
      <c t="s">
        <v>151</v>
      </c>
      <c t="s">
        <v>152</v>
      </c>
      <c>
        <f t="shared" si="0"/>
        <v>42</v>
      </c>
    </row>
    <row>
      <c t="s">
        <v>173</v>
      </c>
      <c r="C252">
        <f t="shared" si="0"/>
        <v>42</v>
      </c>
    </row>
    <row>
      <c t="str">
        <f>"[spread"&amp;TEXT(C253, "00")&amp;"]"</f>
        <v>[spread43]</v>
      </c>
      <c r="C253">
        <f t="shared" si="0"/>
        <v>43</v>
      </c>
    </row>
    <row>
      <c t="s">
        <v>145</v>
      </c>
      <c s="56" t="s">
        <v>338</v>
      </c>
      <c>
        <f t="shared" si="0"/>
        <v>43</v>
      </c>
    </row>
    <row>
      <c t="s">
        <v>147</v>
      </c>
      <c s="88" t="s">
        <v>238</v>
      </c>
      <c>
        <f t="shared" si="0"/>
        <v>43</v>
      </c>
    </row>
    <row>
      <c t="s">
        <v>149</v>
      </c>
      <c t="s">
        <v>240</v>
      </c>
      <c>
        <f t="shared" si="0"/>
        <v>43</v>
      </c>
    </row>
    <row>
      <c t="s">
        <v>151</v>
      </c>
      <c t="s">
        <v>152</v>
      </c>
      <c>
        <f t="shared" si="0"/>
        <v>43</v>
      </c>
    </row>
    <row>
      <c t="s">
        <v>173</v>
      </c>
      <c r="C258">
        <f t="shared" si="0"/>
        <v>43</v>
      </c>
    </row>
    <row>
      <c t="str">
        <f>"[spread"&amp;TEXT(C259, "00")&amp;"]"</f>
        <v>[spread44]</v>
      </c>
      <c r="C259">
        <f t="shared" si="0"/>
        <v>44</v>
      </c>
    </row>
    <row>
      <c t="s">
        <v>145</v>
      </c>
      <c s="56" t="s">
        <v>339</v>
      </c>
      <c>
        <f t="shared" si="0"/>
        <v>44</v>
      </c>
    </row>
    <row>
      <c t="s">
        <v>147</v>
      </c>
      <c s="88" t="s">
        <v>238</v>
      </c>
      <c>
        <f t="shared" si="0"/>
        <v>44</v>
      </c>
    </row>
    <row>
      <c t="s">
        <v>149</v>
      </c>
      <c t="s">
        <v>241</v>
      </c>
      <c>
        <f t="shared" si="1" ref="C262:C318">C256+1</f>
        <v>44</v>
      </c>
    </row>
    <row>
      <c t="s">
        <v>151</v>
      </c>
      <c t="s">
        <v>152</v>
      </c>
      <c>
        <f t="shared" si="1"/>
        <v>44</v>
      </c>
    </row>
    <row>
      <c t="s">
        <v>173</v>
      </c>
      <c r="C264">
        <f t="shared" si="1"/>
        <v>44</v>
      </c>
    </row>
    <row>
      <c t="str">
        <f>"[spread"&amp;TEXT(C265, "00")&amp;"]"</f>
        <v>[spread45]</v>
      </c>
      <c r="C265">
        <f t="shared" si="1"/>
        <v>45</v>
      </c>
    </row>
    <row>
      <c t="s">
        <v>145</v>
      </c>
      <c s="56" t="s">
        <v>340</v>
      </c>
      <c>
        <f t="shared" si="1"/>
        <v>45</v>
      </c>
    </row>
    <row>
      <c t="s">
        <v>147</v>
      </c>
      <c s="88" t="s">
        <v>238</v>
      </c>
      <c>
        <f t="shared" si="1"/>
        <v>45</v>
      </c>
    </row>
    <row>
      <c t="s">
        <v>149</v>
      </c>
      <c t="s">
        <v>242</v>
      </c>
      <c>
        <f t="shared" si="1"/>
        <v>45</v>
      </c>
    </row>
    <row>
      <c t="s">
        <v>151</v>
      </c>
      <c t="s">
        <v>152</v>
      </c>
      <c>
        <f t="shared" si="1"/>
        <v>45</v>
      </c>
    </row>
    <row>
      <c t="s">
        <v>173</v>
      </c>
      <c r="C270">
        <f t="shared" si="1"/>
        <v>45</v>
      </c>
    </row>
    <row>
      <c t="str">
        <f>"[spread"&amp;TEXT(C271, "00")&amp;"]"</f>
        <v>[spread46]</v>
      </c>
      <c r="C271">
        <f t="shared" si="1"/>
        <v>46</v>
      </c>
    </row>
    <row>
      <c t="s">
        <v>145</v>
      </c>
      <c s="56" t="s">
        <v>337</v>
      </c>
      <c>
        <f t="shared" si="1"/>
        <v>46</v>
      </c>
    </row>
    <row>
      <c t="s">
        <v>147</v>
      </c>
      <c s="88" t="s">
        <v>238</v>
      </c>
      <c>
        <f t="shared" si="1"/>
        <v>46</v>
      </c>
    </row>
    <row>
      <c t="s">
        <v>149</v>
      </c>
      <c t="s">
        <v>243</v>
      </c>
      <c>
        <f t="shared" si="1"/>
        <v>46</v>
      </c>
    </row>
    <row>
      <c t="s">
        <v>151</v>
      </c>
      <c t="s">
        <v>152</v>
      </c>
      <c>
        <f t="shared" si="1"/>
        <v>46</v>
      </c>
    </row>
    <row>
      <c t="s">
        <v>173</v>
      </c>
      <c r="C276">
        <f t="shared" si="1"/>
        <v>46</v>
      </c>
    </row>
    <row>
      <c t="str">
        <f>"[spread"&amp;TEXT(C277, "00")&amp;"]"</f>
        <v>[spread47]</v>
      </c>
      <c r="C277">
        <f t="shared" si="1"/>
        <v>47</v>
      </c>
    </row>
    <row>
      <c t="s">
        <v>145</v>
      </c>
      <c s="56" t="s">
        <v>338</v>
      </c>
      <c>
        <f t="shared" si="1"/>
        <v>47</v>
      </c>
    </row>
    <row>
      <c t="s">
        <v>147</v>
      </c>
      <c s="88" t="s">
        <v>238</v>
      </c>
      <c>
        <f t="shared" si="1"/>
        <v>47</v>
      </c>
    </row>
    <row>
      <c t="s">
        <v>149</v>
      </c>
      <c t="s">
        <v>244</v>
      </c>
      <c>
        <f t="shared" si="1"/>
        <v>47</v>
      </c>
    </row>
    <row>
      <c t="s">
        <v>151</v>
      </c>
      <c t="s">
        <v>152</v>
      </c>
      <c>
        <f t="shared" si="1"/>
        <v>47</v>
      </c>
    </row>
    <row>
      <c t="s">
        <v>173</v>
      </c>
      <c r="C282">
        <f t="shared" si="1"/>
        <v>47</v>
      </c>
    </row>
    <row>
      <c t="str">
        <f>"[spread"&amp;TEXT(C283, "00")&amp;"]"</f>
        <v>[spread48]</v>
      </c>
      <c r="C283">
        <f t="shared" si="1"/>
        <v>48</v>
      </c>
    </row>
    <row>
      <c t="s">
        <v>145</v>
      </c>
      <c s="56" t="s">
        <v>339</v>
      </c>
      <c>
        <f t="shared" si="1"/>
        <v>48</v>
      </c>
    </row>
    <row>
      <c t="s">
        <v>147</v>
      </c>
      <c s="88" t="s">
        <v>238</v>
      </c>
      <c>
        <f t="shared" si="1"/>
        <v>48</v>
      </c>
    </row>
    <row>
      <c t="s">
        <v>149</v>
      </c>
      <c t="s">
        <v>245</v>
      </c>
      <c>
        <f t="shared" si="1"/>
        <v>48</v>
      </c>
    </row>
    <row>
      <c t="s">
        <v>151</v>
      </c>
      <c t="s">
        <v>152</v>
      </c>
      <c>
        <f t="shared" si="1"/>
        <v>48</v>
      </c>
    </row>
    <row>
      <c t="s">
        <v>173</v>
      </c>
      <c r="C288">
        <f t="shared" si="1"/>
        <v>48</v>
      </c>
    </row>
    <row>
      <c t="str">
        <f>"[spread"&amp;TEXT(C289, "00")&amp;"]"</f>
        <v>[spread49]</v>
      </c>
      <c r="C289">
        <f t="shared" si="1"/>
        <v>49</v>
      </c>
    </row>
    <row>
      <c t="s">
        <v>145</v>
      </c>
      <c s="56" t="s">
        <v>340</v>
      </c>
      <c>
        <f t="shared" si="1"/>
        <v>49</v>
      </c>
    </row>
    <row>
      <c t="s">
        <v>147</v>
      </c>
      <c s="88" t="s">
        <v>238</v>
      </c>
      <c>
        <f t="shared" si="1"/>
        <v>49</v>
      </c>
    </row>
    <row>
      <c t="s">
        <v>149</v>
      </c>
      <c t="s">
        <v>246</v>
      </c>
      <c>
        <f t="shared" si="1"/>
        <v>49</v>
      </c>
    </row>
    <row>
      <c t="s">
        <v>151</v>
      </c>
      <c t="s">
        <v>152</v>
      </c>
      <c>
        <f t="shared" si="1"/>
        <v>49</v>
      </c>
    </row>
    <row>
      <c t="s">
        <v>173</v>
      </c>
      <c r="C294">
        <f t="shared" si="1"/>
        <v>49</v>
      </c>
    </row>
    <row>
      <c t="str">
        <f>"[spread"&amp;TEXT(C295, "00")&amp;"]"</f>
        <v>[spread50]</v>
      </c>
      <c r="C295">
        <f t="shared" si="1"/>
        <v>50</v>
      </c>
    </row>
    <row>
      <c t="s">
        <v>145</v>
      </c>
      <c t="s">
        <v>247</v>
      </c>
      <c>
        <f t="shared" si="1"/>
        <v>50</v>
      </c>
    </row>
    <row>
      <c t="s">
        <v>147</v>
      </c>
      <c s="88" t="s">
        <v>248</v>
      </c>
      <c>
        <f t="shared" si="1"/>
        <v>50</v>
      </c>
    </row>
    <row>
      <c t="s">
        <v>149</v>
      </c>
      <c t="s">
        <v>249</v>
      </c>
      <c>
        <f t="shared" si="1"/>
        <v>50</v>
      </c>
    </row>
    <row>
      <c t="s">
        <v>151</v>
      </c>
      <c t="s">
        <v>152</v>
      </c>
      <c>
        <f t="shared" si="1"/>
        <v>50</v>
      </c>
    </row>
    <row>
      <c t="s">
        <v>173</v>
      </c>
      <c r="C300">
        <f t="shared" si="1"/>
        <v>50</v>
      </c>
    </row>
    <row>
      <c t="str">
        <f>"[spread"&amp;TEXT(C301, "00")&amp;"]"</f>
        <v>[spread51]</v>
      </c>
      <c r="C301">
        <f t="shared" si="1"/>
        <v>51</v>
      </c>
    </row>
    <row>
      <c t="s">
        <v>145</v>
      </c>
      <c t="s">
        <v>250</v>
      </c>
      <c>
        <f t="shared" si="1"/>
        <v>51</v>
      </c>
    </row>
    <row>
      <c t="s">
        <v>147</v>
      </c>
      <c s="88" t="s">
        <v>248</v>
      </c>
      <c>
        <f t="shared" si="1"/>
        <v>51</v>
      </c>
    </row>
    <row>
      <c t="s">
        <v>149</v>
      </c>
      <c t="s">
        <v>251</v>
      </c>
      <c>
        <f t="shared" si="1"/>
        <v>51</v>
      </c>
    </row>
    <row>
      <c t="s">
        <v>151</v>
      </c>
      <c t="s">
        <v>152</v>
      </c>
      <c>
        <f t="shared" si="1"/>
        <v>51</v>
      </c>
    </row>
    <row>
      <c t="s">
        <v>173</v>
      </c>
      <c r="C306">
        <f t="shared" si="1"/>
        <v>51</v>
      </c>
    </row>
    <row>
      <c t="str">
        <f>"[spread"&amp;TEXT(C307, "00")&amp;"]"</f>
        <v>[spread52]</v>
      </c>
      <c r="C307">
        <f t="shared" si="1"/>
        <v>52</v>
      </c>
    </row>
    <row>
      <c t="s">
        <v>145</v>
      </c>
      <c t="s">
        <v>252</v>
      </c>
      <c>
        <f t="shared" si="1"/>
        <v>52</v>
      </c>
    </row>
    <row>
      <c t="s">
        <v>147</v>
      </c>
      <c s="88" t="s">
        <v>248</v>
      </c>
      <c>
        <f t="shared" si="1"/>
        <v>52</v>
      </c>
    </row>
    <row>
      <c t="s">
        <v>149</v>
      </c>
      <c t="s">
        <v>253</v>
      </c>
      <c>
        <f t="shared" si="1"/>
        <v>52</v>
      </c>
    </row>
    <row>
      <c t="s">
        <v>151</v>
      </c>
      <c t="s">
        <v>152</v>
      </c>
      <c>
        <f t="shared" si="1"/>
        <v>52</v>
      </c>
    </row>
    <row>
      <c t="s">
        <v>173</v>
      </c>
      <c r="C312">
        <f t="shared" si="1"/>
        <v>52</v>
      </c>
    </row>
    <row>
      <c t="str">
        <f>"[spread"&amp;TEXT(C313, "00")&amp;"]"</f>
        <v>[spread53]</v>
      </c>
      <c r="C313">
        <f t="shared" si="1"/>
        <v>53</v>
      </c>
    </row>
    <row>
      <c t="s">
        <v>145</v>
      </c>
      <c t="s">
        <v>254</v>
      </c>
      <c>
        <f t="shared" si="1"/>
        <v>53</v>
      </c>
    </row>
    <row>
      <c t="s">
        <v>147</v>
      </c>
      <c s="88" t="s">
        <v>248</v>
      </c>
      <c>
        <f t="shared" si="1"/>
        <v>53</v>
      </c>
    </row>
    <row>
      <c t="s">
        <v>149</v>
      </c>
      <c t="s">
        <v>255</v>
      </c>
      <c>
        <f t="shared" si="1"/>
        <v>53</v>
      </c>
    </row>
    <row>
      <c t="s">
        <v>151</v>
      </c>
      <c t="s">
        <v>152</v>
      </c>
      <c>
        <f t="shared" si="1"/>
        <v>53</v>
      </c>
    </row>
    <row>
      <c t="s">
        <v>173</v>
      </c>
      <c r="C318">
        <f t="shared" si="1"/>
        <v>53</v>
      </c>
    </row>
    <row r="320">
      <c t="s">
        <v>153</v>
      </c>
    </row>
    <row>
      <c t="s">
        <v>256</v>
      </c>
    </row>
    <row>
      <c t="s">
        <v>155</v>
      </c>
    </row>
    <row>
      <c t="s">
        <v>257</v>
      </c>
    </row>
    <row>
      <c t="s">
        <v>258</v>
      </c>
    </row>
    <row>
      <c t="s">
        <v>259</v>
      </c>
    </row>
    <row>
      <c t="s">
        <v>260</v>
      </c>
    </row>
    <row>
      <c t="s">
        <v>261</v>
      </c>
    </row>
    <row>
      <c t="s">
        <v>262</v>
      </c>
    </row>
    <row>
      <c t="s">
        <v>263</v>
      </c>
    </row>
    <row>
      <c t="s">
        <v>264</v>
      </c>
    </row>
    <row>
      <c t="s">
        <v>265</v>
      </c>
    </row>
    <row>
      <c t="s">
        <v>266</v>
      </c>
    </row>
    <row>
      <c t="s">
        <v>267</v>
      </c>
    </row>
    <row>
      <c t="s">
        <v>268</v>
      </c>
    </row>
    <row>
      <c t="s">
        <v>269</v>
      </c>
    </row>
    <row>
      <c t="s">
        <v>270</v>
      </c>
    </row>
    <row>
      <c t="s">
        <v>271</v>
      </c>
    </row>
    <row>
      <c t="s">
        <v>272</v>
      </c>
    </row>
    <row>
      <c t="s">
        <v>273</v>
      </c>
    </row>
    <row>
      <c t="s">
        <v>274</v>
      </c>
    </row>
    <row>
      <c t="s">
        <v>275</v>
      </c>
    </row>
    <row>
      <c t="s">
        <v>276</v>
      </c>
    </row>
    <row>
      <c t="s">
        <v>277</v>
      </c>
    </row>
    <row>
      <c t="s">
        <v>278</v>
      </c>
    </row>
    <row>
      <c t="s">
        <v>279</v>
      </c>
    </row>
    <row>
      <c t="s">
        <v>280</v>
      </c>
    </row>
    <row>
      <c t="s">
        <v>281</v>
      </c>
    </row>
    <row>
      <c t="s">
        <v>282</v>
      </c>
    </row>
    <row>
      <c t="s">
        <v>283</v>
      </c>
    </row>
    <row>
      <c t="s">
        <v>284</v>
      </c>
    </row>
    <row>
      <c t="s">
        <v>285</v>
      </c>
    </row>
    <row>
      <c t="s">
        <v>286</v>
      </c>
    </row>
    <row>
      <c t="s">
        <v>287</v>
      </c>
    </row>
    <row>
      <c t="s">
        <v>288</v>
      </c>
    </row>
    <row>
      <c t="s">
        <v>289</v>
      </c>
    </row>
    <row>
      <c t="s">
        <v>290</v>
      </c>
    </row>
    <row>
      <c t="s">
        <v>291</v>
      </c>
    </row>
    <row>
      <c t="s">
        <v>292</v>
      </c>
    </row>
    <row>
      <c t="s">
        <v>293</v>
      </c>
    </row>
    <row>
      <c t="s">
        <v>294</v>
      </c>
    </row>
    <row>
      <c t="s">
        <v>295</v>
      </c>
    </row>
    <row>
      <c t="s">
        <v>296</v>
      </c>
    </row>
    <row>
      <c t="s">
        <v>297</v>
      </c>
    </row>
    <row>
      <c t="s">
        <v>298</v>
      </c>
    </row>
    <row>
      <c t="s">
        <v>299</v>
      </c>
    </row>
    <row>
      <c t="s">
        <v>300</v>
      </c>
    </row>
    <row>
      <c t="s">
        <v>301</v>
      </c>
    </row>
    <row>
      <c t="s">
        <v>302</v>
      </c>
    </row>
    <row>
      <c t="s">
        <v>303</v>
      </c>
    </row>
    <row>
      <c t="s">
        <v>314</v>
      </c>
    </row>
    <row>
      <c t="str">
        <f>IF(INFO!$D$14=1, "writeSpreadDirect(#spread50#)", "")</f>
        <v/>
      </c>
    </row>
    <row>
      <c t="str">
        <f>IF(INFO!$D$14=1, "writeSpreadDirect(#spread51#)", "")</f>
        <v/>
      </c>
    </row>
    <row>
      <c t="str">
        <f>IF(INFO!$D$14=1, "writeSpreadDirect(#spread52#)", "")</f>
        <v/>
      </c>
    </row>
    <row>
      <c t="str">
        <f>IF(INFO!$D$14=1, "writeSpreadDirect(#spread53#)", "")</f>
        <v/>
      </c>
    </row>
    <row>
      <c t="str">
        <f>IF(INFO!$D$14&lt;&gt;1,"hiddenSheet(来店客数推移)","")</f>
        <v>hiddenSheet(来店客数推移)</v>
      </c>
    </row>
    <row>
      <c t="s">
        <v>168</v>
      </c>
    </row>
    <row>
      <c t="s">
        <v>304</v>
      </c>
    </row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:F30"/>
  <sheetViews>
    <sheetView workbookViewId="0">
      <selection activeCell="D29" sqref="D29:F29"/>
    </sheetView>
  </sheetViews>
  <sheetFormatPr defaultColWidth="9.375" defaultRowHeight="13.5"/>
  <cols>
    <col min="1" max="1" width="16.375" customWidth="1"/>
  </cols>
  <sheetData>
    <row>
      <c r="B1">
        <v>50</v>
      </c>
      <c>
        <v>12</v>
      </c>
    </row>
    <row>
      <c t="s">
        <v>153</v>
      </c>
    </row>
    <row>
      <c t="s">
        <v>305</v>
      </c>
    </row>
    <row>
      <c t="str">
        <f>"hiddenRows("&amp;B4&amp;"+x,@CONDITION1_COUNT,"&amp;C4&amp;")"</f>
        <v>hiddenRows(9+x,@CONDITION1_COUNT,58)</v>
      </c>
      <c>
        <v>9</v>
      </c>
      <c>
        <f t="shared" si="0" ref="C4:C5">B4+$B$1-1</f>
        <v>58</v>
      </c>
    </row>
    <row>
      <c t="str">
        <f>"hiddenRows("&amp;B5&amp;"+x,@CATEGORY_COUNT,"&amp;C5&amp;")"</f>
        <v>hiddenRows(119+x,@CATEGORY_COUNT,168)</v>
      </c>
      <c>
        <v>119</v>
      </c>
      <c>
        <f t="shared" si="0"/>
        <v>168</v>
      </c>
    </row>
    <row>
      <c t="s">
        <v>306</v>
      </c>
    </row>
    <row>
      <c t="str">
        <f>"hiddenRows("&amp;B7&amp;"+x,@CONDITION1_COUNT,"&amp;C7&amp;")"</f>
        <v>hiddenRows(9+x,@CONDITION1_COUNT,58)</v>
      </c>
      <c>
        <v>9</v>
      </c>
      <c>
        <f>B7+$B$1-1</f>
        <v>58</v>
      </c>
    </row>
    <row>
      <c t="s">
        <v>307</v>
      </c>
    </row>
    <row>
      <c t="str">
        <f t="shared" si="1" ref="A9:A11">"hiddenRows("&amp;B9&amp;"+x,@CONDITION1_COUNT,"&amp;C9&amp;")"</f>
        <v>hiddenRows(34+x,@CONDITION1_COUNT,83)</v>
      </c>
      <c>
        <v>34</v>
      </c>
      <c>
        <f t="shared" si="2" ref="C9:C11">B9+$B$1-1</f>
        <v>83</v>
      </c>
    </row>
    <row>
      <c t="str">
        <f t="shared" si="1"/>
        <v>hiddenRows(90+x,@CONDITION1_COUNT,139)</v>
      </c>
      <c>
        <v>90</v>
      </c>
      <c>
        <f t="shared" si="2"/>
        <v>139</v>
      </c>
    </row>
    <row>
      <c t="str">
        <f t="shared" si="1"/>
        <v>hiddenRows(176+x,@CONDITION1_COUNT,225)</v>
      </c>
      <c>
        <v>176</v>
      </c>
      <c>
        <f t="shared" si="2"/>
        <v>225</v>
      </c>
    </row>
    <row>
      <c r="D12" t="str">
        <f>"hiddenColumns("&amp;E12&amp;"+x,@TOTAL_PERIOD,"&amp;F12&amp;")"</f>
        <v>hiddenColumns(4+x,@TOTAL_PERIOD,15)</v>
      </c>
      <c>
        <v>4</v>
      </c>
      <c>
        <f>E12+$C$1-1</f>
        <v>15</v>
      </c>
    </row>
    <row>
      <c t="s">
        <v>308</v>
      </c>
    </row>
    <row>
      <c t="str">
        <f t="shared" si="3" ref="A14:A15">"hiddenRows("&amp;B14&amp;"+x,@CONDITION1_COUNT,"&amp;C14&amp;")"</f>
        <v>hiddenRows(34+x,@CONDITION1_COUNT,83)</v>
      </c>
      <c>
        <v>34</v>
      </c>
      <c>
        <f t="shared" si="4" ref="C14:C15">B14+$B$1-1</f>
        <v>83</v>
      </c>
    </row>
    <row>
      <c t="str">
        <f t="shared" si="3"/>
        <v>hiddenRows(174+x,@CONDITION1_COUNT,223)</v>
      </c>
      <c>
        <v>174</v>
      </c>
      <c>
        <f t="shared" si="4"/>
        <v>223</v>
      </c>
    </row>
    <row>
      <c r="D16" t="str">
        <f>"hiddenColumns("&amp;E16&amp;"+x,@TOTAL_PERIOD,"&amp;F16&amp;")"</f>
        <v>hiddenColumns(4+x,@TOTAL_PERIOD,15)</v>
      </c>
      <c>
        <v>4</v>
      </c>
      <c>
        <f>E16+$C$1-1</f>
        <v>15</v>
      </c>
    </row>
    <row>
      <c t="s">
        <v>309</v>
      </c>
    </row>
    <row>
      <c t="str">
        <f t="shared" si="5" ref="A18:A19">"hiddenRows("&amp;B18&amp;"+x,@CONDITION1_COUNT,"&amp;C18&amp;")"</f>
        <v>hiddenRows(34+x,@CONDITION1_COUNT,83)</v>
      </c>
      <c>
        <v>34</v>
      </c>
      <c>
        <f t="shared" si="6" ref="C18:C19">B18+$B$1-1</f>
        <v>83</v>
      </c>
    </row>
    <row>
      <c t="str">
        <f t="shared" si="5"/>
        <v>hiddenRows(230+x,@CONDITION1_COUNT,279)</v>
      </c>
      <c>
        <v>230</v>
      </c>
      <c>
        <f t="shared" si="6"/>
        <v>279</v>
      </c>
    </row>
    <row>
      <c r="D20" t="str">
        <f>"hiddenColumns("&amp;E20&amp;"+x,@TOTAL_PERIOD,"&amp;F20&amp;")"</f>
        <v>hiddenColumns(4+x,@TOTAL_PERIOD,15)</v>
      </c>
      <c>
        <v>4</v>
      </c>
      <c>
        <f>E20+$C$1-1</f>
        <v>15</v>
      </c>
    </row>
    <row>
      <c t="s">
        <v>310</v>
      </c>
    </row>
    <row>
      <c t="str">
        <f t="shared" si="7" ref="A22:A23">"hiddenRows("&amp;B22&amp;"+x,@CONDITION1_COUNT,"&amp;C22&amp;")"</f>
        <v>hiddenRows(34+x,@CONDITION1_COUNT,83)</v>
      </c>
      <c>
        <v>34</v>
      </c>
      <c>
        <f t="shared" si="8" ref="C22:C24">B22+$B$1-1</f>
        <v>83</v>
      </c>
    </row>
    <row>
      <c t="str">
        <f t="shared" si="7"/>
        <v>hiddenRows(170+x,@CONDITION1_COUNT,219)</v>
      </c>
      <c>
        <v>170</v>
      </c>
      <c>
        <f t="shared" si="8"/>
        <v>219</v>
      </c>
    </row>
    <row>
      <c t="str">
        <f>"hiddenRows("&amp;B24&amp;"+(31*x),@CONDITION1_COUNT,"&amp;C24*31&amp;")"</f>
        <v>hiddenRows(274+(31*x),@CONDITION1_COUNT,10013)</v>
      </c>
      <c>
        <v>274</v>
      </c>
      <c>
        <f t="shared" si="8"/>
        <v>323</v>
      </c>
    </row>
    <row>
      <c r="D25" t="str">
        <f>"hiddenColumns("&amp;E25&amp;"+x,@TOTAL_PERIOD,"&amp;F25&amp;")"</f>
        <v>hiddenColumns(4+x,@TOTAL_PERIOD,15)</v>
      </c>
      <c>
        <v>4</v>
      </c>
      <c>
        <f>E25+$C$1-1</f>
        <v>15</v>
      </c>
    </row>
    <row>
      <c r="D26" t="s">
        <v>311</v>
      </c>
    </row>
    <row>
      <c r="D27" t="str">
        <f>"hiddenColumns("&amp;E27&amp;"+x,@TOTAL_PERIOD,"&amp;F27&amp;")"</f>
        <v>hiddenColumns(4+x,@TOTAL_PERIOD,15)</v>
      </c>
      <c>
        <v>4</v>
      </c>
      <c>
        <f>E27+$C$1-1</f>
        <v>15</v>
      </c>
    </row>
    <row>
      <c t="s">
        <v>312</v>
      </c>
    </row>
    <row>
      <c r="D29" t="str">
        <f>"hiddenColumns("&amp;E29&amp;"+x,@TOTAL_PERIOD,"&amp;F29&amp;")"</f>
        <v>hiddenColumns(4+x,@TOTAL_PERIOD,15)</v>
      </c>
      <c>
        <v>4</v>
      </c>
      <c>
        <f>E29+$C$1-1</f>
        <v>15</v>
      </c>
    </row>
    <row>
      <c t="s">
        <v>313</v>
      </c>
    </row>
  </sheetData>
  <pageMargins left="0.7" right="0.7" top="0.75" bottom="0.75" header="0.3" footer="0.3"/>
  <pageSetup paperSize="9" orientation="portrait"/>
</worksheet>
</file>