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iel\Desktop\FIXTURE MUNDIAL CATAR 2022\VERSIÓN PARA LIBERAR\"/>
    </mc:Choice>
  </mc:AlternateContent>
  <xr:revisionPtr revIDLastSave="0" documentId="13_ncr:1_{0C2F849C-0991-43CD-9214-D26479E319AF}" xr6:coauthVersionLast="47" xr6:coauthVersionMax="47" xr10:uidLastSave="{00000000-0000-0000-0000-000000000000}"/>
  <bookViews>
    <workbookView xWindow="-120" yWindow="-120" windowWidth="20730" windowHeight="11160" tabRatio="829" xr2:uid="{00000000-000D-0000-FFFF-FFFF00000000}"/>
  </bookViews>
  <sheets>
    <sheet name="Índice" sheetId="38" r:id="rId1"/>
    <sheet name="A" sheetId="22" r:id="rId2"/>
    <sheet name="B" sheetId="24" r:id="rId3"/>
    <sheet name="C" sheetId="25" r:id="rId4"/>
    <sheet name="D" sheetId="26" r:id="rId5"/>
    <sheet name="E" sheetId="27" r:id="rId6"/>
    <sheet name="F" sheetId="28" r:id="rId7"/>
    <sheet name="G" sheetId="29" r:id="rId8"/>
    <sheet name="H" sheetId="30" r:id="rId9"/>
    <sheet name="OCTAVOS" sheetId="17" r:id="rId10"/>
    <sheet name="CUARTOS" sheetId="18" r:id="rId11"/>
    <sheet name="SEMIFINALES" sheetId="19" r:id="rId12"/>
    <sheet name="DEFINICIÓN" sheetId="34" r:id="rId13"/>
    <sheet name="Extra" sheetId="37" r:id="rId14"/>
    <sheet name="UTC" sheetId="39" r:id="rId15"/>
    <sheet name="Copyright" sheetId="33" r:id="rId16"/>
    <sheet name="Recursos" sheetId="35" state="veryHidden" r:id="rId17"/>
  </sheets>
  <definedNames>
    <definedName name="ALEMANIA">Recursos!$B$1</definedName>
    <definedName name="ARABIA_SAUDITA">Recursos!$B$2</definedName>
    <definedName name="ARGENTINA">Recursos!$B$3</definedName>
    <definedName name="AUSTRALIA">Recursos!$B$4</definedName>
    <definedName name="BÉLGICA">Recursos!$B$5</definedName>
    <definedName name="BRASIL">Recursos!$B$6</definedName>
    <definedName name="CAMERÚN">Recursos!$B$7</definedName>
    <definedName name="CANADÁ">Recursos!$B$8</definedName>
    <definedName name="CATAR">Recursos!$B$9</definedName>
    <definedName name="COREA_DEL_SUR">Recursos!$B$10</definedName>
    <definedName name="COSTA_RICA">Recursos!$B$11</definedName>
    <definedName name="CROACIA">Recursos!$B$12</definedName>
    <definedName name="DINAMARCA">Recursos!$B$13</definedName>
    <definedName name="ECUADOR">Recursos!$B$14</definedName>
    <definedName name="ESPAÑA">Recursos!$B$15</definedName>
    <definedName name="ESTADOS_UNIDOS">Recursos!$B$16</definedName>
    <definedName name="FechaHora">Recursos!$P$1:$Q$64</definedName>
    <definedName name="flag01">INDIRECT(OCTAVOS!$E$8)</definedName>
    <definedName name="flag02">INDIRECT(OCTAVOS!$E$12)</definedName>
    <definedName name="flag03">INDIRECT(OCTAVOS!$E$16)</definedName>
    <definedName name="flag04">INDIRECT(OCTAVOS!$E$20)</definedName>
    <definedName name="flag05">INDIRECT(OCTAVOS!$E$24)</definedName>
    <definedName name="flag06">INDIRECT(OCTAVOS!$E$28)</definedName>
    <definedName name="flag07">INDIRECT(OCTAVOS!$E$32)</definedName>
    <definedName name="flag08">INDIRECT(OCTAVOS!$E$36)</definedName>
    <definedName name="flag09">INDIRECT(OCTAVOS!$O$8)</definedName>
    <definedName name="flag10">INDIRECT(OCTAVOS!$O$12)</definedName>
    <definedName name="flag11">INDIRECT(OCTAVOS!$O$16)</definedName>
    <definedName name="flag12">INDIRECT(OCTAVOS!$O$20)</definedName>
    <definedName name="flag13">INDIRECT(OCTAVOS!$O$24)</definedName>
    <definedName name="flag14">INDIRECT(OCTAVOS!$O$28)</definedName>
    <definedName name="flag15">INDIRECT(OCTAVOS!$O$32)</definedName>
    <definedName name="flag16">INDIRECT(OCTAVOS!$O$36)</definedName>
    <definedName name="flag17">INDIRECT(CUARTOS!$E$8)</definedName>
    <definedName name="flag18">INDIRECT(CUARTOS!$E$12)</definedName>
    <definedName name="flag19">INDIRECT(CUARTOS!$E$16)</definedName>
    <definedName name="flag20">INDIRECT(CUARTOS!$E$20)</definedName>
    <definedName name="flag21">INDIRECT(CUARTOS!$O$8)</definedName>
    <definedName name="flag22">INDIRECT(CUARTOS!$O$12)</definedName>
    <definedName name="flag23">INDIRECT(CUARTOS!$O$16)</definedName>
    <definedName name="flag24">INDIRECT(CUARTOS!$O$20)</definedName>
    <definedName name="flag25">INDIRECT(SEMIFINALES!$E$8)</definedName>
    <definedName name="flag26">INDIRECT(SEMIFINALES!$E$12)</definedName>
    <definedName name="flag27">INDIRECT(SEMIFINALES!$O$8)</definedName>
    <definedName name="flag28">INDIRECT(SEMIFINALES!$O$12)</definedName>
    <definedName name="flag29">INDIRECT(DEFINICIÓN!$E$8)</definedName>
    <definedName name="flag30">INDIRECT(DEFINICIÓN!$E$15)</definedName>
    <definedName name="flag31">INDIRECT(DEFINICIÓN!$O$8)</definedName>
    <definedName name="flag32">INDIRECT(DEFINICIÓN!$O$15)</definedName>
    <definedName name="FRANCIA">Recursos!$B$17</definedName>
    <definedName name="GALES">Recursos!$B$18</definedName>
    <definedName name="Ganador1">OCTAVOS!$R$8</definedName>
    <definedName name="Ganador2">OCTAVOS!$R$16</definedName>
    <definedName name="Ganador3">OCTAVOS!$R$12</definedName>
    <definedName name="Ganador4">OCTAVOS!$R$20</definedName>
    <definedName name="Ganador5">OCTAVOS!$R$24</definedName>
    <definedName name="Ganador6">OCTAVOS!$R$32</definedName>
    <definedName name="Ganador7">OCTAVOS!$R$28</definedName>
    <definedName name="Ganador8">OCTAVOS!$R$36</definedName>
    <definedName name="GanadorA">CUARTOS!$R$8</definedName>
    <definedName name="GanadorB">CUARTOS!$R$12</definedName>
    <definedName name="GanadorC">CUARTOS!$R$16</definedName>
    <definedName name="GanadorD">CUARTOS!$R$20</definedName>
    <definedName name="GHANA">Recursos!$B$19</definedName>
    <definedName name="INGLATERRA">Recursos!$B$20</definedName>
    <definedName name="IRÁN">Recursos!$B$21</definedName>
    <definedName name="JAPÓN">Recursos!$B$22</definedName>
    <definedName name="ListaUTC">Recursos!$H$1:$H$36</definedName>
    <definedName name="MARRUECOS">Recursos!$B$23</definedName>
    <definedName name="MÉXICO">Recursos!$B$24</definedName>
    <definedName name="PAÍSES_BAJOS">Recursos!$B$25</definedName>
    <definedName name="POLONIA">Recursos!$B$26</definedName>
    <definedName name="PORTUGAL">Recursos!$B$27</definedName>
    <definedName name="PrimeroA">A!$AO$10</definedName>
    <definedName name="PrimeroB">B!$AO$10</definedName>
    <definedName name="PrimeroC">'C'!$AO$10</definedName>
    <definedName name="PrimeroD">D!$AO$10</definedName>
    <definedName name="PrimeroE">E!$AO$10</definedName>
    <definedName name="PrimeroF">F!$AO$10</definedName>
    <definedName name="PrimeroG">G!$AO$10</definedName>
    <definedName name="PrimeroH">H!$AO$10</definedName>
    <definedName name="SegundoA">A!$AO$15</definedName>
    <definedName name="SegundoB">B!$AO$15</definedName>
    <definedName name="SegundoC">'C'!$AO$15</definedName>
    <definedName name="SegundoD">D!$AO$15</definedName>
    <definedName name="SegundoE">E!$AO$15</definedName>
    <definedName name="SegundoF">F!$AO$15</definedName>
    <definedName name="SegundoG">G!$AO$15</definedName>
    <definedName name="SegundoH">H!$AO$15</definedName>
    <definedName name="SemifinalG1">SEMIFINALES!$R$8</definedName>
    <definedName name="SemifinalG2">SEMIFINALES!$R$12</definedName>
    <definedName name="SemifinalP1">SEMIFINALES!$T$8</definedName>
    <definedName name="SemifinalP2">SEMIFINALES!$T$12</definedName>
    <definedName name="SENEGAL">Recursos!$B$28</definedName>
    <definedName name="SERBIA">Recursos!$B$29</definedName>
    <definedName name="SUIZA">Recursos!$B$30</definedName>
    <definedName name="TablaUTC">Recursos!$H$1:$J$36</definedName>
    <definedName name="tcp">Copyright!$XFD$1</definedName>
    <definedName name="TÚNEZ">Recursos!$B$31</definedName>
    <definedName name="URUGUAY">Recursos!$B$32</definedName>
    <definedName name="UTCElegido">UTC!$C$3</definedName>
    <definedName name="vacía">Recursos!$B$33</definedName>
    <definedName name="vcp">Índice!$XFD$1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22" l="1"/>
  <c r="J35" i="22"/>
  <c r="I35" i="22"/>
  <c r="K34" i="22"/>
  <c r="J34" i="22"/>
  <c r="I34" i="22"/>
  <c r="K33" i="22"/>
  <c r="N32" i="17"/>
  <c r="F32" i="17"/>
  <c r="N28" i="17"/>
  <c r="F28" i="17"/>
  <c r="F16" i="17"/>
  <c r="N12" i="17"/>
  <c r="F12" i="17"/>
  <c r="XFD1" i="38"/>
  <c r="AD10" i="22"/>
  <c r="AL6" i="30"/>
  <c r="AJ25" i="30"/>
  <c r="AJ20" i="30"/>
  <c r="AJ15" i="30"/>
  <c r="AJ10" i="30"/>
  <c r="AI25" i="30"/>
  <c r="AI20" i="30"/>
  <c r="AI15" i="30"/>
  <c r="AI10" i="30"/>
  <c r="AJ25" i="29"/>
  <c r="AJ20" i="29"/>
  <c r="AJ15" i="29"/>
  <c r="AJ10" i="29"/>
  <c r="AI25" i="29"/>
  <c r="AI20" i="29"/>
  <c r="AI15" i="29"/>
  <c r="AI10" i="29"/>
  <c r="AJ25" i="28"/>
  <c r="AJ20" i="28"/>
  <c r="AJ15" i="28"/>
  <c r="AJ10" i="28"/>
  <c r="AI25" i="28"/>
  <c r="AI20" i="28"/>
  <c r="AI15" i="28"/>
  <c r="AI10" i="28"/>
  <c r="AJ25" i="27"/>
  <c r="AJ20" i="27"/>
  <c r="AJ15" i="27"/>
  <c r="AJ10" i="27"/>
  <c r="AI25" i="27"/>
  <c r="AI20" i="27"/>
  <c r="AI15" i="27"/>
  <c r="AI10" i="27"/>
  <c r="AJ10" i="26"/>
  <c r="AI25" i="26"/>
  <c r="AI20" i="26"/>
  <c r="AI15" i="26"/>
  <c r="AI10" i="26"/>
  <c r="AI25" i="25"/>
  <c r="AI20" i="25"/>
  <c r="AI15" i="25"/>
  <c r="AI10" i="25"/>
  <c r="AI25" i="24"/>
  <c r="AI20" i="24"/>
  <c r="AI15" i="24"/>
  <c r="AI10" i="24"/>
  <c r="AI25" i="22"/>
  <c r="AI20" i="22"/>
  <c r="AI15" i="22"/>
  <c r="AK15" i="22" s="1"/>
  <c r="AI10" i="22"/>
  <c r="AJ25" i="22"/>
  <c r="AJ20" i="22"/>
  <c r="AJ15" i="22"/>
  <c r="AJ10" i="22"/>
  <c r="AJ25" i="24"/>
  <c r="AJ20" i="24"/>
  <c r="AJ15" i="24"/>
  <c r="AJ10" i="24"/>
  <c r="AJ25" i="25"/>
  <c r="AJ20" i="25"/>
  <c r="AJ15" i="25"/>
  <c r="AJ10" i="25"/>
  <c r="AJ25" i="26"/>
  <c r="AJ20" i="26"/>
  <c r="AJ15" i="26"/>
  <c r="D15" i="34"/>
  <c r="C15" i="34"/>
  <c r="D8" i="34"/>
  <c r="C8" i="34"/>
  <c r="D12" i="19"/>
  <c r="C12" i="19"/>
  <c r="D8" i="19"/>
  <c r="C8" i="19"/>
  <c r="D20" i="18"/>
  <c r="C20" i="18"/>
  <c r="D16" i="18"/>
  <c r="C16" i="18"/>
  <c r="D12" i="18"/>
  <c r="C12" i="18"/>
  <c r="D8" i="18"/>
  <c r="C8" i="18"/>
  <c r="C8" i="17"/>
  <c r="D36" i="17"/>
  <c r="C36" i="17"/>
  <c r="D32" i="17"/>
  <c r="C32" i="17"/>
  <c r="D28" i="17"/>
  <c r="C28" i="17"/>
  <c r="D24" i="17"/>
  <c r="C24" i="17"/>
  <c r="D20" i="17"/>
  <c r="C20" i="17"/>
  <c r="D16" i="17"/>
  <c r="C16" i="17"/>
  <c r="D12" i="17"/>
  <c r="C12" i="17"/>
  <c r="D8" i="17"/>
  <c r="D28" i="30"/>
  <c r="C28" i="30"/>
  <c r="D24" i="30"/>
  <c r="C24" i="30"/>
  <c r="D20" i="30"/>
  <c r="C20" i="30"/>
  <c r="D16" i="30"/>
  <c r="C16" i="30"/>
  <c r="D12" i="30"/>
  <c r="C12" i="30"/>
  <c r="D8" i="30"/>
  <c r="C8" i="30"/>
  <c r="D28" i="29"/>
  <c r="C28" i="29"/>
  <c r="D24" i="29"/>
  <c r="C24" i="29"/>
  <c r="D20" i="29"/>
  <c r="C20" i="29"/>
  <c r="D16" i="29"/>
  <c r="C16" i="29"/>
  <c r="D12" i="29"/>
  <c r="C12" i="29"/>
  <c r="D8" i="29"/>
  <c r="C8" i="29"/>
  <c r="D28" i="28"/>
  <c r="C28" i="28"/>
  <c r="D24" i="28"/>
  <c r="C24" i="28"/>
  <c r="D20" i="28"/>
  <c r="C20" i="28"/>
  <c r="D16" i="28"/>
  <c r="C16" i="28"/>
  <c r="D12" i="28"/>
  <c r="C12" i="28"/>
  <c r="D8" i="28"/>
  <c r="C8" i="28"/>
  <c r="D28" i="27"/>
  <c r="C28" i="27"/>
  <c r="D24" i="27"/>
  <c r="C24" i="27"/>
  <c r="D20" i="27"/>
  <c r="C20" i="27"/>
  <c r="D16" i="27"/>
  <c r="C16" i="27"/>
  <c r="D12" i="27"/>
  <c r="C12" i="27"/>
  <c r="D8" i="27"/>
  <c r="C8" i="27"/>
  <c r="D28" i="26"/>
  <c r="C28" i="26"/>
  <c r="D24" i="26"/>
  <c r="C24" i="26"/>
  <c r="D20" i="26"/>
  <c r="C20" i="26"/>
  <c r="D16" i="26"/>
  <c r="C16" i="26"/>
  <c r="D12" i="26"/>
  <c r="C12" i="26"/>
  <c r="D8" i="26"/>
  <c r="C8" i="26"/>
  <c r="D28" i="25"/>
  <c r="C28" i="25"/>
  <c r="D24" i="25"/>
  <c r="C24" i="25"/>
  <c r="D20" i="25"/>
  <c r="C20" i="25"/>
  <c r="D16" i="25"/>
  <c r="C16" i="25"/>
  <c r="D12" i="25"/>
  <c r="C12" i="25"/>
  <c r="D8" i="25"/>
  <c r="C8" i="25"/>
  <c r="D28" i="24"/>
  <c r="C28" i="24"/>
  <c r="D24" i="24"/>
  <c r="C24" i="24"/>
  <c r="D20" i="24"/>
  <c r="C20" i="24"/>
  <c r="D16" i="24"/>
  <c r="C16" i="24"/>
  <c r="D12" i="24"/>
  <c r="C12" i="24"/>
  <c r="D8" i="24"/>
  <c r="C8" i="24"/>
  <c r="D28" i="22"/>
  <c r="C28" i="22"/>
  <c r="D24" i="22"/>
  <c r="C24" i="22"/>
  <c r="D20" i="22"/>
  <c r="C20" i="22"/>
  <c r="D16" i="22"/>
  <c r="C16" i="22"/>
  <c r="D12" i="22"/>
  <c r="C12" i="22"/>
  <c r="D8" i="22"/>
  <c r="C8" i="22"/>
  <c r="AK15" i="24" l="1"/>
  <c r="AK10" i="24"/>
  <c r="AK10" i="22"/>
  <c r="AK25" i="22"/>
  <c r="AK20" i="22"/>
  <c r="AD25" i="30"/>
  <c r="AD20" i="30"/>
  <c r="AD15" i="30"/>
  <c r="AD10" i="30"/>
  <c r="F35" i="30"/>
  <c r="F34" i="30"/>
  <c r="F33" i="30"/>
  <c r="F32" i="30"/>
  <c r="AD25" i="29"/>
  <c r="AD20" i="29"/>
  <c r="AD15" i="29"/>
  <c r="AD10" i="29"/>
  <c r="F35" i="29"/>
  <c r="F34" i="29"/>
  <c r="F33" i="29"/>
  <c r="F32" i="29"/>
  <c r="AD25" i="28"/>
  <c r="AD20" i="28"/>
  <c r="AD15" i="28"/>
  <c r="AD10" i="28"/>
  <c r="F35" i="28"/>
  <c r="F34" i="28"/>
  <c r="F33" i="28"/>
  <c r="AD25" i="27"/>
  <c r="F35" i="27"/>
  <c r="F32" i="28"/>
  <c r="AD20" i="27"/>
  <c r="AD15" i="27"/>
  <c r="AD10" i="27"/>
  <c r="F34" i="27"/>
  <c r="F33" i="27"/>
  <c r="F32" i="27"/>
  <c r="AD25" i="26"/>
  <c r="AD20" i="26"/>
  <c r="AD15" i="26"/>
  <c r="AD10" i="26"/>
  <c r="F35" i="26"/>
  <c r="F34" i="26"/>
  <c r="F33" i="26"/>
  <c r="F32" i="26"/>
  <c r="AD25" i="25"/>
  <c r="AD20" i="25"/>
  <c r="AD15" i="25"/>
  <c r="AD10" i="25"/>
  <c r="F35" i="25"/>
  <c r="F34" i="25"/>
  <c r="F33" i="25"/>
  <c r="F32" i="25"/>
  <c r="AD25" i="24"/>
  <c r="AD20" i="24"/>
  <c r="AD15" i="24"/>
  <c r="AD10" i="24"/>
  <c r="F35" i="24"/>
  <c r="F34" i="24"/>
  <c r="F33" i="24"/>
  <c r="F32" i="24"/>
  <c r="AD25" i="22"/>
  <c r="AD20" i="22"/>
  <c r="AD15" i="22"/>
  <c r="F35" i="22"/>
  <c r="F34" i="22"/>
  <c r="F33" i="22"/>
  <c r="F32" i="22"/>
  <c r="L15" i="34" l="1"/>
  <c r="G15" i="34"/>
  <c r="L8" i="34"/>
  <c r="G8" i="34"/>
  <c r="L28" i="30" l="1"/>
  <c r="K34" i="30" s="1"/>
  <c r="G28" i="30"/>
  <c r="K33" i="30" s="1"/>
  <c r="L24" i="30"/>
  <c r="K32" i="30" s="1"/>
  <c r="G24" i="30"/>
  <c r="K35" i="30" s="1"/>
  <c r="L20" i="30"/>
  <c r="J32" i="30" s="1"/>
  <c r="G20" i="30"/>
  <c r="J34" i="30" s="1"/>
  <c r="L16" i="30"/>
  <c r="J35" i="30" s="1"/>
  <c r="G16" i="30"/>
  <c r="J33" i="30" s="1"/>
  <c r="L12" i="30"/>
  <c r="I35" i="30" s="1"/>
  <c r="G12" i="30"/>
  <c r="I34" i="30" s="1"/>
  <c r="L8" i="30"/>
  <c r="I33" i="30" s="1"/>
  <c r="G8" i="30"/>
  <c r="I32" i="30" s="1"/>
  <c r="L28" i="29"/>
  <c r="K34" i="29" s="1"/>
  <c r="G28" i="29"/>
  <c r="K33" i="29" s="1"/>
  <c r="L24" i="29"/>
  <c r="K32" i="29" s="1"/>
  <c r="G24" i="29"/>
  <c r="K35" i="29" s="1"/>
  <c r="L20" i="29"/>
  <c r="J32" i="29" s="1"/>
  <c r="G20" i="29"/>
  <c r="J34" i="29" s="1"/>
  <c r="L16" i="29"/>
  <c r="J35" i="29" s="1"/>
  <c r="G16" i="29"/>
  <c r="J33" i="29" s="1"/>
  <c r="L12" i="29"/>
  <c r="I35" i="29" s="1"/>
  <c r="G12" i="29"/>
  <c r="I34" i="29" s="1"/>
  <c r="L8" i="29"/>
  <c r="I33" i="29" s="1"/>
  <c r="G8" i="29"/>
  <c r="I32" i="29" s="1"/>
  <c r="AL6" i="29"/>
  <c r="L28" i="28"/>
  <c r="K34" i="28" s="1"/>
  <c r="G28" i="28"/>
  <c r="K33" i="28" s="1"/>
  <c r="L24" i="28"/>
  <c r="K32" i="28" s="1"/>
  <c r="G24" i="28"/>
  <c r="K35" i="28" s="1"/>
  <c r="L20" i="28"/>
  <c r="J33" i="28" s="1"/>
  <c r="G20" i="28"/>
  <c r="J35" i="28" s="1"/>
  <c r="L16" i="28"/>
  <c r="J34" i="28" s="1"/>
  <c r="G16" i="28"/>
  <c r="J32" i="28" s="1"/>
  <c r="L12" i="28"/>
  <c r="I35" i="28" s="1"/>
  <c r="G12" i="28"/>
  <c r="I34" i="28" s="1"/>
  <c r="L8" i="28"/>
  <c r="I33" i="28" s="1"/>
  <c r="G8" i="28"/>
  <c r="I32" i="28" s="1"/>
  <c r="AL6" i="28"/>
  <c r="L28" i="27"/>
  <c r="K34" i="27" s="1"/>
  <c r="G28" i="27"/>
  <c r="K33" i="27" s="1"/>
  <c r="L24" i="27"/>
  <c r="K32" i="27" s="1"/>
  <c r="G24" i="27"/>
  <c r="K35" i="27" s="1"/>
  <c r="L20" i="27"/>
  <c r="J34" i="27" s="1"/>
  <c r="G20" i="27"/>
  <c r="J32" i="27" s="1"/>
  <c r="L16" i="27"/>
  <c r="J33" i="27" s="1"/>
  <c r="G16" i="27"/>
  <c r="J35" i="27" s="1"/>
  <c r="L12" i="27"/>
  <c r="I35" i="27" s="1"/>
  <c r="G12" i="27"/>
  <c r="I34" i="27" s="1"/>
  <c r="L8" i="27"/>
  <c r="I33" i="27" s="1"/>
  <c r="G8" i="27"/>
  <c r="I32" i="27" s="1"/>
  <c r="AL6" i="27"/>
  <c r="L28" i="26"/>
  <c r="K32" i="26" s="1"/>
  <c r="G28" i="26"/>
  <c r="K35" i="26" s="1"/>
  <c r="L24" i="26"/>
  <c r="K34" i="26" s="1"/>
  <c r="G24" i="26"/>
  <c r="K33" i="26" s="1"/>
  <c r="L20" i="26"/>
  <c r="J34" i="26" s="1"/>
  <c r="G20" i="26"/>
  <c r="J32" i="26" s="1"/>
  <c r="L16" i="26"/>
  <c r="J33" i="26" s="1"/>
  <c r="G16" i="26"/>
  <c r="J35" i="26" s="1"/>
  <c r="L12" i="26"/>
  <c r="I35" i="26" s="1"/>
  <c r="G12" i="26"/>
  <c r="I34" i="26" s="1"/>
  <c r="L8" i="26"/>
  <c r="I33" i="26" s="1"/>
  <c r="G8" i="26"/>
  <c r="I32" i="26" s="1"/>
  <c r="AL6" i="26"/>
  <c r="L28" i="25"/>
  <c r="K32" i="25" s="1"/>
  <c r="G28" i="25"/>
  <c r="K35" i="25" s="1"/>
  <c r="L24" i="25"/>
  <c r="K34" i="25" s="1"/>
  <c r="G24" i="25"/>
  <c r="K33" i="25" s="1"/>
  <c r="L20" i="25"/>
  <c r="J32" i="25" s="1"/>
  <c r="G20" i="25"/>
  <c r="J34" i="25" s="1"/>
  <c r="L16" i="25"/>
  <c r="J35" i="25" s="1"/>
  <c r="G16" i="25"/>
  <c r="J33" i="25" s="1"/>
  <c r="L12" i="25"/>
  <c r="I35" i="25" s="1"/>
  <c r="AF25" i="25" s="1"/>
  <c r="G12" i="25"/>
  <c r="I34" i="25" s="1"/>
  <c r="AF20" i="25" s="1"/>
  <c r="L8" i="25"/>
  <c r="I33" i="25" s="1"/>
  <c r="AF15" i="25" s="1"/>
  <c r="G8" i="25"/>
  <c r="I32" i="25" s="1"/>
  <c r="AF10" i="25" s="1"/>
  <c r="AL6" i="25"/>
  <c r="L28" i="24"/>
  <c r="K34" i="24" s="1"/>
  <c r="G28" i="24"/>
  <c r="K33" i="24" s="1"/>
  <c r="L24" i="24"/>
  <c r="K32" i="24" s="1"/>
  <c r="G24" i="24"/>
  <c r="K35" i="24" s="1"/>
  <c r="L20" i="24"/>
  <c r="J34" i="24" s="1"/>
  <c r="G20" i="24"/>
  <c r="J32" i="24" s="1"/>
  <c r="L16" i="24"/>
  <c r="J33" i="24" s="1"/>
  <c r="G16" i="24"/>
  <c r="J35" i="24" s="1"/>
  <c r="L12" i="24"/>
  <c r="I35" i="24" s="1"/>
  <c r="AF25" i="24" s="1"/>
  <c r="G12" i="24"/>
  <c r="I34" i="24" s="1"/>
  <c r="AF20" i="24" s="1"/>
  <c r="L8" i="24"/>
  <c r="I33" i="24" s="1"/>
  <c r="G8" i="24"/>
  <c r="I32" i="24" s="1"/>
  <c r="AL6" i="24"/>
  <c r="AH10" i="24" l="1"/>
  <c r="AG10" i="24"/>
  <c r="AF10" i="24"/>
  <c r="AG15" i="24"/>
  <c r="AF15" i="24"/>
  <c r="AK25" i="24"/>
  <c r="AK20" i="28"/>
  <c r="AK25" i="28"/>
  <c r="AK10" i="28"/>
  <c r="AK15" i="28"/>
  <c r="AK15" i="26"/>
  <c r="AK20" i="26"/>
  <c r="AK25" i="26"/>
  <c r="AK10" i="26"/>
  <c r="AK20" i="25"/>
  <c r="AK25" i="25"/>
  <c r="AK10" i="25"/>
  <c r="AK15" i="25"/>
  <c r="AK20" i="24"/>
  <c r="AK20" i="29"/>
  <c r="AK25" i="29"/>
  <c r="AK10" i="29"/>
  <c r="AK15" i="29"/>
  <c r="AK15" i="30"/>
  <c r="AK10" i="30"/>
  <c r="AK20" i="30"/>
  <c r="AK25" i="30"/>
  <c r="AK20" i="27"/>
  <c r="AK10" i="27"/>
  <c r="AK25" i="27"/>
  <c r="AK15" i="27"/>
  <c r="AG20" i="30"/>
  <c r="AH20" i="30"/>
  <c r="AF20" i="30"/>
  <c r="AH10" i="30"/>
  <c r="AF10" i="30"/>
  <c r="AG10" i="30"/>
  <c r="AG15" i="30"/>
  <c r="AH15" i="30"/>
  <c r="AF15" i="30"/>
  <c r="AG25" i="30"/>
  <c r="AH25" i="30"/>
  <c r="AF25" i="30"/>
  <c r="AG20" i="29"/>
  <c r="AH20" i="29"/>
  <c r="AF20" i="29"/>
  <c r="AH10" i="29"/>
  <c r="AF10" i="29"/>
  <c r="AG10" i="29"/>
  <c r="AG15" i="29"/>
  <c r="AH15" i="29"/>
  <c r="AF15" i="29"/>
  <c r="AG25" i="29"/>
  <c r="AH25" i="29"/>
  <c r="AF25" i="29"/>
  <c r="AG20" i="28"/>
  <c r="AH20" i="28"/>
  <c r="AF20" i="28"/>
  <c r="AH10" i="28"/>
  <c r="AF10" i="28"/>
  <c r="AG10" i="28"/>
  <c r="AG15" i="28"/>
  <c r="AH15" i="28"/>
  <c r="AF15" i="28"/>
  <c r="AG25" i="28"/>
  <c r="AH25" i="28"/>
  <c r="AF25" i="28"/>
  <c r="AG15" i="27"/>
  <c r="AH15" i="27"/>
  <c r="AF15" i="27"/>
  <c r="AG25" i="27"/>
  <c r="AH25" i="27"/>
  <c r="AF25" i="27"/>
  <c r="AG20" i="27"/>
  <c r="AH20" i="27"/>
  <c r="AF20" i="27"/>
  <c r="AH10" i="27"/>
  <c r="AF10" i="27"/>
  <c r="AG10" i="27"/>
  <c r="AG20" i="26"/>
  <c r="AH20" i="26"/>
  <c r="AF20" i="26"/>
  <c r="AH10" i="26"/>
  <c r="AF10" i="26"/>
  <c r="AG10" i="26"/>
  <c r="AG15" i="26"/>
  <c r="AH15" i="26"/>
  <c r="AF15" i="26"/>
  <c r="AG25" i="26"/>
  <c r="AH25" i="26"/>
  <c r="AF25" i="26"/>
  <c r="AG20" i="25"/>
  <c r="AH20" i="25"/>
  <c r="AH10" i="25"/>
  <c r="AG10" i="25"/>
  <c r="AG15" i="25"/>
  <c r="AH15" i="25"/>
  <c r="AG25" i="25"/>
  <c r="AH25" i="25"/>
  <c r="AG20" i="24"/>
  <c r="AH20" i="24"/>
  <c r="AH15" i="24"/>
  <c r="AG25" i="24"/>
  <c r="AH25" i="24"/>
  <c r="L28" i="22"/>
  <c r="K32" i="22" s="1"/>
  <c r="G28" i="22"/>
  <c r="L24" i="22"/>
  <c r="G24" i="22"/>
  <c r="L20" i="22"/>
  <c r="J33" i="22" s="1"/>
  <c r="G20" i="22"/>
  <c r="L16" i="22"/>
  <c r="G16" i="22"/>
  <c r="J32" i="22" s="1"/>
  <c r="L12" i="22"/>
  <c r="G12" i="22"/>
  <c r="AF20" i="22" s="1"/>
  <c r="L8" i="22"/>
  <c r="I33" i="22" s="1"/>
  <c r="G8" i="22"/>
  <c r="I32" i="22" s="1"/>
  <c r="AL6" i="22"/>
  <c r="AE10" i="24" l="1"/>
  <c r="AL10" i="24" s="1"/>
  <c r="AM10" i="24" s="1"/>
  <c r="AH25" i="22"/>
  <c r="AF25" i="22"/>
  <c r="AF10" i="22"/>
  <c r="AH10" i="22"/>
  <c r="AE25" i="27"/>
  <c r="AE15" i="24"/>
  <c r="AE20" i="24"/>
  <c r="AE15" i="26"/>
  <c r="AE15" i="28"/>
  <c r="AE15" i="29"/>
  <c r="AE15" i="30"/>
  <c r="AL15" i="30" s="1"/>
  <c r="AE15" i="25"/>
  <c r="AE20" i="27"/>
  <c r="AE20" i="26"/>
  <c r="AE20" i="28"/>
  <c r="AE20" i="29"/>
  <c r="AE20" i="30"/>
  <c r="AE25" i="24"/>
  <c r="AE25" i="25"/>
  <c r="AE25" i="26"/>
  <c r="AE25" i="28"/>
  <c r="AE25" i="29"/>
  <c r="AE25" i="30"/>
  <c r="AE20" i="25"/>
  <c r="AE10" i="25"/>
  <c r="AL10" i="25" s="1"/>
  <c r="AG15" i="22"/>
  <c r="AE15" i="27"/>
  <c r="AE10" i="30"/>
  <c r="AL10" i="30" s="1"/>
  <c r="AE10" i="29"/>
  <c r="AL10" i="29" s="1"/>
  <c r="AE10" i="28"/>
  <c r="AL10" i="28" s="1"/>
  <c r="AE10" i="27"/>
  <c r="AL10" i="27" s="1"/>
  <c r="AE10" i="26"/>
  <c r="AL10" i="26" s="1"/>
  <c r="AH20" i="22"/>
  <c r="AG20" i="22"/>
  <c r="AE20" i="22" s="1"/>
  <c r="AL20" i="22" s="1"/>
  <c r="AG10" i="22"/>
  <c r="AG25" i="22"/>
  <c r="AH15" i="22"/>
  <c r="AF15" i="22"/>
  <c r="AE15" i="22" l="1"/>
  <c r="AL15" i="22" s="1"/>
  <c r="AM15" i="22" s="1"/>
  <c r="AL25" i="30"/>
  <c r="AL20" i="30"/>
  <c r="AC20" i="30" s="1"/>
  <c r="AL25" i="29"/>
  <c r="AM25" i="29" s="1"/>
  <c r="AL20" i="29"/>
  <c r="AL15" i="29"/>
  <c r="AM15" i="29" s="1"/>
  <c r="AL25" i="28"/>
  <c r="AL20" i="28"/>
  <c r="AL15" i="28"/>
  <c r="AM15" i="28" s="1"/>
  <c r="AL20" i="27"/>
  <c r="AL25" i="27"/>
  <c r="AM25" i="27" s="1"/>
  <c r="AL15" i="27"/>
  <c r="AL20" i="26"/>
  <c r="AM20" i="26" s="1"/>
  <c r="AL25" i="26"/>
  <c r="AM25" i="26" s="1"/>
  <c r="AL15" i="26"/>
  <c r="AM15" i="26" s="1"/>
  <c r="AL20" i="25"/>
  <c r="AM20" i="25" s="1"/>
  <c r="AL25" i="25"/>
  <c r="AM25" i="25" s="1"/>
  <c r="AL15" i="25"/>
  <c r="AL20" i="24"/>
  <c r="AL25" i="24"/>
  <c r="AM25" i="24" s="1"/>
  <c r="AL15" i="24"/>
  <c r="AE25" i="22"/>
  <c r="AL25" i="22" s="1"/>
  <c r="AM25" i="22" s="1"/>
  <c r="AE10" i="22"/>
  <c r="AL10" i="22" s="1"/>
  <c r="AM10" i="22" s="1"/>
  <c r="AM10" i="25"/>
  <c r="AM20" i="22"/>
  <c r="AM15" i="30"/>
  <c r="AM10" i="30"/>
  <c r="AM10" i="29"/>
  <c r="AM10" i="28"/>
  <c r="AM10" i="27"/>
  <c r="AM10" i="26"/>
  <c r="AC25" i="30" l="1"/>
  <c r="AC10" i="30"/>
  <c r="AL8" i="30" s="1"/>
  <c r="N38" i="30" s="1"/>
  <c r="AM25" i="30"/>
  <c r="AM20" i="30"/>
  <c r="AC15" i="30"/>
  <c r="AC20" i="29"/>
  <c r="AC15" i="29"/>
  <c r="AM20" i="29"/>
  <c r="AC10" i="29"/>
  <c r="AL8" i="29" s="1"/>
  <c r="N36" i="29" s="1"/>
  <c r="AC25" i="29"/>
  <c r="AC20" i="28"/>
  <c r="AC25" i="28"/>
  <c r="AM20" i="28"/>
  <c r="AM25" i="28"/>
  <c r="AC10" i="28"/>
  <c r="AL8" i="28" s="1"/>
  <c r="P36" i="28" s="1"/>
  <c r="AC15" i="28"/>
  <c r="AC20" i="27"/>
  <c r="AM20" i="27"/>
  <c r="AC15" i="27"/>
  <c r="AC10" i="27"/>
  <c r="AB25" i="27" s="1"/>
  <c r="AM15" i="27"/>
  <c r="AC25" i="27"/>
  <c r="AC25" i="26"/>
  <c r="AC10" i="26"/>
  <c r="AL8" i="26" s="1"/>
  <c r="P37" i="26" s="1"/>
  <c r="AC20" i="26"/>
  <c r="AC15" i="26"/>
  <c r="AC25" i="25"/>
  <c r="AM15" i="25"/>
  <c r="AC20" i="25"/>
  <c r="AC15" i="25"/>
  <c r="AC10" i="25"/>
  <c r="AC10" i="24"/>
  <c r="W25" i="24" s="1"/>
  <c r="AC25" i="24"/>
  <c r="AM20" i="24"/>
  <c r="AM15" i="24"/>
  <c r="AC15" i="24"/>
  <c r="AC20" i="24"/>
  <c r="AC10" i="22"/>
  <c r="AL8" i="24"/>
  <c r="AL8" i="27"/>
  <c r="AL8" i="25"/>
  <c r="AC20" i="22"/>
  <c r="AC25" i="22"/>
  <c r="AC15" i="22"/>
  <c r="N36" i="30" l="1"/>
  <c r="N37" i="30"/>
  <c r="Z10" i="29"/>
  <c r="R25" i="29"/>
  <c r="V10" i="29"/>
  <c r="N38" i="29"/>
  <c r="Z15" i="29"/>
  <c r="V20" i="29"/>
  <c r="R10" i="29"/>
  <c r="V25" i="29"/>
  <c r="X25" i="29"/>
  <c r="Y20" i="29"/>
  <c r="P37" i="29"/>
  <c r="AA20" i="29"/>
  <c r="W25" i="29"/>
  <c r="AB15" i="29"/>
  <c r="X20" i="29"/>
  <c r="R15" i="29"/>
  <c r="W15" i="29"/>
  <c r="Y15" i="29"/>
  <c r="P38" i="29"/>
  <c r="W10" i="29"/>
  <c r="Y10" i="29"/>
  <c r="Y25" i="29"/>
  <c r="Z20" i="29"/>
  <c r="AA10" i="29"/>
  <c r="AA25" i="29"/>
  <c r="AB20" i="29"/>
  <c r="N37" i="29"/>
  <c r="X10" i="29"/>
  <c r="Z25" i="29"/>
  <c r="AA15" i="29"/>
  <c r="AB10" i="29"/>
  <c r="AB25" i="29"/>
  <c r="R20" i="29"/>
  <c r="V15" i="29"/>
  <c r="P36" i="29"/>
  <c r="W20" i="29"/>
  <c r="X15" i="29"/>
  <c r="X25" i="28"/>
  <c r="AA15" i="28"/>
  <c r="P38" i="28"/>
  <c r="R20" i="28"/>
  <c r="W10" i="28"/>
  <c r="AA10" i="28"/>
  <c r="Y15" i="28"/>
  <c r="N38" i="28"/>
  <c r="N36" i="28"/>
  <c r="Z10" i="28"/>
  <c r="AB10" i="28"/>
  <c r="Z25" i="28"/>
  <c r="Y10" i="28"/>
  <c r="P37" i="28"/>
  <c r="V10" i="28"/>
  <c r="X10" i="28"/>
  <c r="N37" i="28"/>
  <c r="R10" i="28"/>
  <c r="AB25" i="28"/>
  <c r="W20" i="28"/>
  <c r="V15" i="28"/>
  <c r="X15" i="28"/>
  <c r="Y20" i="28"/>
  <c r="Z15" i="28"/>
  <c r="AA20" i="28"/>
  <c r="AB15" i="28"/>
  <c r="R25" i="28"/>
  <c r="V20" i="28"/>
  <c r="W25" i="28"/>
  <c r="X20" i="28"/>
  <c r="Y25" i="28"/>
  <c r="Z20" i="28"/>
  <c r="AA25" i="28"/>
  <c r="AB20" i="28"/>
  <c r="R15" i="28"/>
  <c r="V25" i="28"/>
  <c r="W15" i="28"/>
  <c r="R25" i="27"/>
  <c r="Y25" i="27"/>
  <c r="AA25" i="27"/>
  <c r="Z20" i="27"/>
  <c r="X15" i="27"/>
  <c r="V10" i="27"/>
  <c r="X10" i="27"/>
  <c r="R10" i="27"/>
  <c r="V20" i="27"/>
  <c r="Y10" i="27"/>
  <c r="AA10" i="27"/>
  <c r="AB20" i="27"/>
  <c r="R20" i="27"/>
  <c r="V25" i="27"/>
  <c r="W20" i="27"/>
  <c r="X25" i="27"/>
  <c r="Y20" i="27"/>
  <c r="AA20" i="27"/>
  <c r="Z15" i="27"/>
  <c r="AB15" i="27"/>
  <c r="W10" i="27"/>
  <c r="W25" i="27"/>
  <c r="X20" i="27"/>
  <c r="V15" i="27"/>
  <c r="R15" i="27"/>
  <c r="W15" i="27"/>
  <c r="Y15" i="27"/>
  <c r="Z10" i="27"/>
  <c r="Z25" i="27"/>
  <c r="AA15" i="27"/>
  <c r="AB10" i="27"/>
  <c r="V25" i="26"/>
  <c r="AA15" i="26"/>
  <c r="AB15" i="26"/>
  <c r="Y25" i="26"/>
  <c r="N38" i="26"/>
  <c r="AB25" i="26"/>
  <c r="R10" i="26"/>
  <c r="P36" i="26"/>
  <c r="Y15" i="26"/>
  <c r="N36" i="26"/>
  <c r="V10" i="26"/>
  <c r="W10" i="26"/>
  <c r="Z10" i="26"/>
  <c r="AA10" i="26"/>
  <c r="AB10" i="26"/>
  <c r="N37" i="26"/>
  <c r="W15" i="26"/>
  <c r="V15" i="26"/>
  <c r="V20" i="26"/>
  <c r="X20" i="26"/>
  <c r="AA20" i="26"/>
  <c r="R25" i="26"/>
  <c r="X25" i="26"/>
  <c r="X10" i="26"/>
  <c r="Y10" i="26"/>
  <c r="P38" i="26"/>
  <c r="R20" i="26"/>
  <c r="Z20" i="26"/>
  <c r="W25" i="26"/>
  <c r="Z25" i="26"/>
  <c r="W20" i="26"/>
  <c r="X15" i="26"/>
  <c r="Y20" i="26"/>
  <c r="Z15" i="26"/>
  <c r="AA25" i="26"/>
  <c r="AB20" i="26"/>
  <c r="R15" i="26"/>
  <c r="V10" i="25"/>
  <c r="AB20" i="25"/>
  <c r="AA10" i="25"/>
  <c r="V25" i="25"/>
  <c r="X20" i="25"/>
  <c r="W10" i="25"/>
  <c r="AB15" i="25"/>
  <c r="V15" i="25"/>
  <c r="Y15" i="25"/>
  <c r="X15" i="25"/>
  <c r="R20" i="25"/>
  <c r="Z15" i="25"/>
  <c r="AB10" i="25"/>
  <c r="R15" i="25"/>
  <c r="X10" i="25"/>
  <c r="V20" i="25"/>
  <c r="AA25" i="25"/>
  <c r="Z25" i="25"/>
  <c r="W25" i="25"/>
  <c r="Z20" i="25"/>
  <c r="AB25" i="25"/>
  <c r="AA20" i="25"/>
  <c r="Z10" i="25"/>
  <c r="Y20" i="25"/>
  <c r="X25" i="25"/>
  <c r="R10" i="25"/>
  <c r="R25" i="25"/>
  <c r="W20" i="25"/>
  <c r="Y25" i="25"/>
  <c r="Y10" i="25"/>
  <c r="AA15" i="25"/>
  <c r="W15" i="25"/>
  <c r="X25" i="24"/>
  <c r="AB25" i="24"/>
  <c r="R25" i="24"/>
  <c r="V25" i="24"/>
  <c r="AA25" i="24"/>
  <c r="Z25" i="24"/>
  <c r="Y25" i="24"/>
  <c r="R15" i="24"/>
  <c r="V15" i="24"/>
  <c r="W20" i="24"/>
  <c r="AA20" i="24"/>
  <c r="AA15" i="24"/>
  <c r="Y15" i="24"/>
  <c r="AB20" i="24"/>
  <c r="X20" i="24"/>
  <c r="Y10" i="24"/>
  <c r="V20" i="24"/>
  <c r="AB15" i="24"/>
  <c r="R20" i="24"/>
  <c r="Y20" i="24"/>
  <c r="AB10" i="24"/>
  <c r="Z15" i="24"/>
  <c r="R10" i="24"/>
  <c r="W15" i="24"/>
  <c r="X15" i="24"/>
  <c r="Z20" i="24"/>
  <c r="X10" i="24"/>
  <c r="Z10" i="24"/>
  <c r="W10" i="24"/>
  <c r="AA10" i="24"/>
  <c r="V10" i="24"/>
  <c r="N38" i="27"/>
  <c r="N37" i="27"/>
  <c r="N36" i="27"/>
  <c r="N36" i="25"/>
  <c r="N37" i="25"/>
  <c r="N38" i="25"/>
  <c r="N38" i="24"/>
  <c r="N37" i="24"/>
  <c r="N36" i="24"/>
  <c r="P36" i="24"/>
  <c r="P38" i="24"/>
  <c r="P37" i="24"/>
  <c r="R10" i="22"/>
  <c r="P36" i="27"/>
  <c r="P37" i="27"/>
  <c r="P38" i="27"/>
  <c r="P38" i="25"/>
  <c r="P36" i="25"/>
  <c r="P37" i="25"/>
  <c r="AL8" i="22"/>
  <c r="AA25" i="22"/>
  <c r="Y25" i="22"/>
  <c r="W25" i="22"/>
  <c r="R25" i="22"/>
  <c r="AA20" i="22"/>
  <c r="Y20" i="22"/>
  <c r="W20" i="22"/>
  <c r="R20" i="22"/>
  <c r="AA15" i="22"/>
  <c r="Y15" i="22"/>
  <c r="W15" i="22"/>
  <c r="R15" i="22"/>
  <c r="AA10" i="22"/>
  <c r="Y10" i="22"/>
  <c r="W10" i="22"/>
  <c r="AB25" i="22"/>
  <c r="Z25" i="22"/>
  <c r="X25" i="22"/>
  <c r="V25" i="22"/>
  <c r="AB20" i="22"/>
  <c r="Z20" i="22"/>
  <c r="X20" i="22"/>
  <c r="V20" i="22"/>
  <c r="AB15" i="22"/>
  <c r="Z15" i="22"/>
  <c r="X15" i="22"/>
  <c r="V15" i="22"/>
  <c r="AB10" i="22"/>
  <c r="Z10" i="22"/>
  <c r="X10" i="22"/>
  <c r="V10" i="22"/>
  <c r="AO15" i="29" l="1"/>
  <c r="N36" i="17" s="1"/>
  <c r="O36" i="17" s="1"/>
  <c r="AO10" i="29"/>
  <c r="E32" i="17" s="1"/>
  <c r="AO10" i="28"/>
  <c r="E28" i="17" s="1"/>
  <c r="AO15" i="28"/>
  <c r="N24" i="17" s="1"/>
  <c r="O24" i="17" s="1"/>
  <c r="AO15" i="27"/>
  <c r="O28" i="17" s="1"/>
  <c r="AO10" i="27"/>
  <c r="F24" i="17" s="1"/>
  <c r="E24" i="17" s="1"/>
  <c r="AO10" i="26"/>
  <c r="F20" i="17" s="1"/>
  <c r="E20" i="17" s="1"/>
  <c r="AO15" i="26"/>
  <c r="AO10" i="25"/>
  <c r="E16" i="17" s="1"/>
  <c r="AO15" i="25"/>
  <c r="N20" i="17" s="1"/>
  <c r="O20" i="17" s="1"/>
  <c r="AO10" i="24"/>
  <c r="E12" i="17" s="1"/>
  <c r="AO15" i="24"/>
  <c r="N8" i="17" s="1"/>
  <c r="O8" i="17" s="1"/>
  <c r="AO10" i="22"/>
  <c r="F8" i="17" s="1"/>
  <c r="E8" i="17" s="1"/>
  <c r="N38" i="22"/>
  <c r="N37" i="22"/>
  <c r="N36" i="22"/>
  <c r="P37" i="22"/>
  <c r="P38" i="22"/>
  <c r="P36" i="22"/>
  <c r="AO15" i="22"/>
  <c r="L12" i="19"/>
  <c r="G12" i="19"/>
  <c r="L8" i="19"/>
  <c r="G8" i="19"/>
  <c r="L20" i="18"/>
  <c r="G20" i="18"/>
  <c r="L16" i="18"/>
  <c r="G16" i="18"/>
  <c r="L12" i="18"/>
  <c r="G12" i="18"/>
  <c r="L8" i="18"/>
  <c r="G8" i="18"/>
  <c r="L36" i="17"/>
  <c r="G36" i="17"/>
  <c r="L32" i="17"/>
  <c r="G32" i="17"/>
  <c r="L28" i="17"/>
  <c r="G28" i="17"/>
  <c r="L24" i="17"/>
  <c r="G24" i="17"/>
  <c r="L20" i="17"/>
  <c r="G20" i="17"/>
  <c r="L16" i="17"/>
  <c r="G16" i="17"/>
  <c r="L12" i="17"/>
  <c r="G12" i="17"/>
  <c r="L8" i="17"/>
  <c r="G8" i="17"/>
  <c r="O12" i="17" l="1"/>
  <c r="N16" i="17"/>
  <c r="O16" i="17" s="1"/>
  <c r="R24" i="17"/>
  <c r="F12" i="18" s="1"/>
  <c r="E12" i="18" s="1"/>
  <c r="R28" i="17"/>
  <c r="N12" i="18" s="1"/>
  <c r="O12" i="18" s="1"/>
  <c r="R16" i="17"/>
  <c r="F16" i="18" s="1"/>
  <c r="E16" i="18" s="1"/>
  <c r="R20" i="17"/>
  <c r="N16" i="18" s="1"/>
  <c r="O16" i="18" s="1"/>
  <c r="R12" i="17"/>
  <c r="N8" i="18" s="1"/>
  <c r="O8" i="18" s="1"/>
  <c r="R8" i="17"/>
  <c r="F8" i="18" s="1"/>
  <c r="E8" i="18" s="1"/>
  <c r="R12" i="18" l="1"/>
  <c r="N8" i="19" s="1"/>
  <c r="O8" i="19" s="1"/>
  <c r="R16" i="18"/>
  <c r="F12" i="19" s="1"/>
  <c r="E12" i="19" s="1"/>
  <c r="R8" i="18"/>
  <c r="F8" i="19" s="1"/>
  <c r="T8" i="19" s="1"/>
  <c r="F8" i="34" s="1"/>
  <c r="E8" i="34" s="1"/>
  <c r="X20" i="30"/>
  <c r="AB15" i="30"/>
  <c r="X25" i="30"/>
  <c r="AB20" i="30"/>
  <c r="X10" i="30"/>
  <c r="AA25" i="30"/>
  <c r="X15" i="30"/>
  <c r="AB10" i="30"/>
  <c r="W20" i="30"/>
  <c r="AA15" i="30"/>
  <c r="W25" i="30"/>
  <c r="AA20" i="30"/>
  <c r="Z25" i="30"/>
  <c r="W10" i="30"/>
  <c r="W15" i="30"/>
  <c r="AA10" i="30"/>
  <c r="V20" i="30"/>
  <c r="Z15" i="30"/>
  <c r="V25" i="30"/>
  <c r="Z20" i="30"/>
  <c r="V10" i="30"/>
  <c r="Y25" i="30"/>
  <c r="V15" i="30"/>
  <c r="Z10" i="30"/>
  <c r="R20" i="30"/>
  <c r="Y15" i="30"/>
  <c r="R25" i="30"/>
  <c r="Y20" i="30"/>
  <c r="R10" i="30"/>
  <c r="AB25" i="30"/>
  <c r="R15" i="30"/>
  <c r="Y10" i="30"/>
  <c r="R8" i="19" l="1"/>
  <c r="F15" i="34" s="1"/>
  <c r="R15" i="34" s="1"/>
  <c r="T12" i="19"/>
  <c r="N8" i="34" s="1"/>
  <c r="O8" i="34" s="1"/>
  <c r="E8" i="19"/>
  <c r="R8" i="34"/>
  <c r="P36" i="30"/>
  <c r="AO15" i="30"/>
  <c r="AO10" i="30"/>
  <c r="F36" i="17" s="1"/>
  <c r="P37" i="30"/>
  <c r="P38" i="30"/>
  <c r="E15" i="34" l="1"/>
  <c r="O32" i="17"/>
  <c r="R32" i="17"/>
  <c r="F20" i="18" s="1"/>
  <c r="E20" i="18" s="1"/>
  <c r="E36" i="17"/>
  <c r="R36" i="17"/>
  <c r="N20" i="18" s="1"/>
  <c r="T8" i="34"/>
  <c r="O20" i="18" l="1"/>
  <c r="R20" i="18"/>
  <c r="N12" i="19" s="1"/>
  <c r="O12" i="19" l="1"/>
  <c r="R12" i="19"/>
  <c r="N15" i="34" s="1"/>
  <c r="O15" i="34" l="1"/>
  <c r="E23" i="34"/>
</calcChain>
</file>

<file path=xl/sharedStrings.xml><?xml version="1.0" encoding="utf-8"?>
<sst xmlns="http://schemas.openxmlformats.org/spreadsheetml/2006/main" count="509" uniqueCount="156">
  <si>
    <t>-</t>
  </si>
  <si>
    <t>PARTIDOS</t>
  </si>
  <si>
    <t>POSICIONES</t>
  </si>
  <si>
    <t>Pts.</t>
  </si>
  <si>
    <t>Gan.</t>
  </si>
  <si>
    <t>Emp.</t>
  </si>
  <si>
    <t>Per.</t>
  </si>
  <si>
    <t>GF</t>
  </si>
  <si>
    <t>GC</t>
  </si>
  <si>
    <t>Dif.</t>
  </si>
  <si>
    <t>BRASIL</t>
  </si>
  <si>
    <t>CROACIA</t>
  </si>
  <si>
    <t>AUSTRALIA</t>
  </si>
  <si>
    <t>ESPAÑA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</si>
  <si>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</si>
  <si>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</si>
  <si>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</si>
  <si>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</si>
  <si>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</si>
  <si>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</si>
  <si>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</si>
  <si>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</si>
  <si>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SEMIFINALES</t>
  </si>
  <si>
    <t>TERCER PUESTO</t>
  </si>
  <si>
    <t>Partido por el TERCER PUESTO</t>
  </si>
  <si>
    <t>CUARTO PUESTO</t>
  </si>
  <si>
    <t>SEGUNDO PUESTO</t>
  </si>
  <si>
    <t>FINAL DEL CAMPEONATO</t>
  </si>
  <si>
    <t>Fixture interactivo – Mundial Rusia 2018</t>
  </si>
  <si>
    <t>Fechas</t>
  </si>
  <si>
    <t>Horas</t>
  </si>
  <si>
    <t>MARRUECOS</t>
  </si>
  <si>
    <t>IRÁN</t>
  </si>
  <si>
    <t>DINAMARCA</t>
  </si>
  <si>
    <t>SERBIA</t>
  </si>
  <si>
    <t>MÉXICO</t>
  </si>
  <si>
    <t>BÉLGICA</t>
  </si>
  <si>
    <t>TÚNEZ</t>
  </si>
  <si>
    <t>POLONIA</t>
  </si>
  <si>
    <t>JAPÓN</t>
  </si>
  <si>
    <t>SENEGAL</t>
  </si>
  <si>
    <t>Ganadores</t>
  </si>
  <si>
    <t>AÑOS</t>
  </si>
  <si>
    <t>EQUIPOS</t>
  </si>
  <si>
    <t>TORNEOS</t>
  </si>
  <si>
    <t xml:space="preserve">        ALEMANIA</t>
  </si>
  <si>
    <t xml:space="preserve">        ARABIA S.</t>
  </si>
  <si>
    <t xml:space="preserve">        ARGENTINA</t>
  </si>
  <si>
    <t xml:space="preserve">        AUSTRALIA</t>
  </si>
  <si>
    <t xml:space="preserve">        BÉLGICA</t>
  </si>
  <si>
    <t xml:space="preserve">        BRASIL</t>
  </si>
  <si>
    <t xml:space="preserve">        COSTA RICA</t>
  </si>
  <si>
    <t xml:space="preserve">        CROACIA</t>
  </si>
  <si>
    <t xml:space="preserve">        DINAMARCA</t>
  </si>
  <si>
    <t xml:space="preserve">        ESPAÑA</t>
  </si>
  <si>
    <t xml:space="preserve">        FRANCIA</t>
  </si>
  <si>
    <t xml:space="preserve">        INGLATERRA</t>
  </si>
  <si>
    <t xml:space="preserve">        IRÁN</t>
  </si>
  <si>
    <t xml:space="preserve">        JAPÓN</t>
  </si>
  <si>
    <t xml:space="preserve">        MARRUECOS</t>
  </si>
  <si>
    <t xml:space="preserve">        MÉXICO</t>
  </si>
  <si>
    <t xml:space="preserve">        POLONIA</t>
  </si>
  <si>
    <t xml:space="preserve">        PORTUGAL</t>
  </si>
  <si>
    <t xml:space="preserve">        SENEGAL</t>
  </si>
  <si>
    <t xml:space="preserve">        SERBIA</t>
  </si>
  <si>
    <t xml:space="preserve">        SUIZA</t>
  </si>
  <si>
    <t xml:space="preserve">        TÚNEZ</t>
  </si>
  <si>
    <t xml:space="preserve">        URUGUAY</t>
  </si>
  <si>
    <t>«</t>
  </si>
  <si>
    <t>««</t>
  </si>
  <si>
    <t>«««««</t>
  </si>
  <si>
    <t>Los horarios de los partidos corresponden a la localidad donde se juega el encuentro.</t>
  </si>
  <si>
    <t>vacía</t>
  </si>
  <si>
    <t>Estadios</t>
  </si>
  <si>
    <t>Al Bayt</t>
  </si>
  <si>
    <t>Al Thumama</t>
  </si>
  <si>
    <t>Áhmad bin Ali</t>
  </si>
  <si>
    <t>GALES</t>
  </si>
  <si>
    <t>CATAR</t>
  </si>
  <si>
    <t>ECUADOR</t>
  </si>
  <si>
    <t>PAÍSES BAJOS</t>
  </si>
  <si>
    <t>Al Janoub</t>
  </si>
  <si>
    <t>CANADÁ</t>
  </si>
  <si>
    <t>CAMERÚN</t>
  </si>
  <si>
    <t>COREA DEL SUR</t>
  </si>
  <si>
    <t>GHANA</t>
  </si>
  <si>
    <t>ARABIA SAUDITA</t>
  </si>
  <si>
    <t>ESTADOS UNIDOS</t>
  </si>
  <si>
    <t xml:space="preserve">        CAMERÚN</t>
  </si>
  <si>
    <t xml:space="preserve">        CANADÁ</t>
  </si>
  <si>
    <t xml:space="preserve">        CATAR</t>
  </si>
  <si>
    <t xml:space="preserve">        COREA DEL SUR</t>
  </si>
  <si>
    <t xml:space="preserve">        ECUADOR</t>
  </si>
  <si>
    <t xml:space="preserve">        ESTADOS UNIDOS</t>
  </si>
  <si>
    <t xml:space="preserve">        GALES</t>
  </si>
  <si>
    <t xml:space="preserve">        GHANA</t>
  </si>
  <si>
    <t xml:space="preserve">        PAÍSES BAJOS</t>
  </si>
  <si>
    <t>ESTADIOS</t>
  </si>
  <si>
    <t>de Catar serán sede
de los encuentros,
en 5 cuidades: Al Wakrah, Doha, Jor, Lusail y Rayán.</t>
  </si>
  <si>
    <t>UTC - 12</t>
  </si>
  <si>
    <t>UTC - 11</t>
  </si>
  <si>
    <t>UTC - 10</t>
  </si>
  <si>
    <t>UTC - 9</t>
  </si>
  <si>
    <t>UTC - 8</t>
  </si>
  <si>
    <t>UTC - 7</t>
  </si>
  <si>
    <t>UTC - 6</t>
  </si>
  <si>
    <t>UTC - 5</t>
  </si>
  <si>
    <t>UTC - 4</t>
  </si>
  <si>
    <t>UTC - 3:30</t>
  </si>
  <si>
    <t>UTC - 3</t>
  </si>
  <si>
    <t>UTC - 2</t>
  </si>
  <si>
    <t>UTC - 1</t>
  </si>
  <si>
    <t>UTC</t>
  </si>
  <si>
    <t>UTC + 1</t>
  </si>
  <si>
    <t>UTC + 2</t>
  </si>
  <si>
    <t>UTC + 3</t>
  </si>
  <si>
    <t>UTC + 3:30</t>
  </si>
  <si>
    <t>UTC + 4</t>
  </si>
  <si>
    <t>UTC + 4:30</t>
  </si>
  <si>
    <t>UTC + 5</t>
  </si>
  <si>
    <t>UTC + 5:30</t>
  </si>
  <si>
    <t>UTC + 5:45</t>
  </si>
  <si>
    <t>UTC + 6</t>
  </si>
  <si>
    <t>UTC + 6:30</t>
  </si>
  <si>
    <t>UTC + 7</t>
  </si>
  <si>
    <t>UTC + 8</t>
  </si>
  <si>
    <t>UTC + 9</t>
  </si>
  <si>
    <t>UTC + 9:30</t>
  </si>
  <si>
    <t>UTC + 10</t>
  </si>
  <si>
    <t>UTC + 10:30</t>
  </si>
  <si>
    <t>UTC + 11</t>
  </si>
  <si>
    <t>UTC + 12</t>
  </si>
  <si>
    <t>UTC + 12:45</t>
  </si>
  <si>
    <t>UTC + 13</t>
  </si>
  <si>
    <t>UTC + 14</t>
  </si>
  <si>
    <t xml:space="preserve">Puedes averiguar tu UTC local en el siguiente enlace: </t>
  </si>
  <si>
    <r>
      <t xml:space="preserve">Para que se muestren los horarios de la localidad donde se juegan los encuentros, elige </t>
    </r>
    <r>
      <rPr>
        <b/>
        <sz val="11"/>
        <color theme="1"/>
        <rFont val="Calibri"/>
        <family val="2"/>
        <scheme val="minor"/>
      </rPr>
      <t>UTC + 3</t>
    </r>
    <r>
      <rPr>
        <sz val="11"/>
        <color theme="1"/>
        <rFont val="Calibri"/>
        <family val="2"/>
        <scheme val="minor"/>
      </rPr>
      <t>.</t>
    </r>
  </si>
  <si>
    <t>Elije tu zona horaria para que los partidos aparezcan con tu horario local:</t>
  </si>
  <si>
    <t>Estadio</t>
  </si>
  <si>
    <t>Hora</t>
  </si>
  <si>
    <t>Fecha</t>
  </si>
  <si>
    <t>#</t>
  </si>
  <si>
    <t>Khalifa</t>
  </si>
  <si>
    <t>Áhmad Bin Ali</t>
  </si>
  <si>
    <t xml:space="preserve">	Estadium 974</t>
  </si>
  <si>
    <t>Lusail</t>
  </si>
  <si>
    <t>Education City</t>
  </si>
  <si>
    <t>Estadium 974</t>
  </si>
  <si>
    <t>Ahmad Bin Ali</t>
  </si>
  <si>
    <t>Stadium 947</t>
  </si>
  <si>
    <t>CAMPEÓN DE CATAR 2022</t>
  </si>
  <si>
    <t>««««</t>
  </si>
  <si>
    <t>cumple la Copa Mundial en 2022, lo que la convierte en la competición de fútbol internacional más antigua.</t>
  </si>
  <si>
    <t>de todo el mundo participarán en el torneo.</t>
  </si>
  <si>
    <t>se jugarán entre
el 20 de noviembre y
el 18 de diciembre
de 2022.</t>
  </si>
  <si>
    <t>mundiales de fútbol de FIFA se han disputado desde 1930. El de este año, en Catar, será el número 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</si>
</sst>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sz val="28"/>
      <name val="Arial"/>
      <family val="2"/>
    </font>
    <font>
      <i/>
      <sz val="14"/>
      <color theme="0"/>
      <name val="Calibri"/>
      <family val="2"/>
      <scheme val="minor"/>
    </font>
    <font>
      <sz val="28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D14F52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Arial"/>
      <family val="2"/>
    </font>
    <font>
      <b/>
      <i/>
      <sz val="18"/>
      <color theme="1" tint="0.249977111117893"/>
      <name val="Arial"/>
      <family val="2"/>
    </font>
    <font>
      <b/>
      <sz val="11"/>
      <color rgb="FF262626"/>
      <name val="Calibri"/>
      <family val="2"/>
      <scheme val="minor"/>
    </font>
    <font>
      <b/>
      <sz val="10"/>
      <color rgb="FFB91114"/>
      <name val="Calibri"/>
      <family val="2"/>
      <scheme val="minor"/>
    </font>
    <font>
      <sz val="10"/>
      <color rgb="FF26262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262626"/>
      <name val="Calibri"/>
      <family val="2"/>
      <scheme val="minor"/>
    </font>
    <font>
      <b/>
      <sz val="10"/>
      <color rgb="FF262626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65B3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26262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B91114"/>
      <name val="Calibri"/>
      <family val="2"/>
      <scheme val="minor"/>
    </font>
    <font>
      <sz val="12"/>
      <color rgb="FF262626"/>
      <name val="Calibri"/>
      <family val="2"/>
      <scheme val="minor"/>
    </font>
    <font>
      <sz val="12"/>
      <color rgb="FF0065B3"/>
      <name val="Calibri"/>
      <family val="2"/>
      <scheme val="minor"/>
    </font>
    <font>
      <b/>
      <sz val="10"/>
      <color rgb="FF0065B3"/>
      <name val="Calibri"/>
      <family val="2"/>
      <scheme val="minor"/>
    </font>
    <font>
      <i/>
      <sz val="11"/>
      <color rgb="FFB91114"/>
      <name val="Calibri"/>
      <family val="2"/>
      <scheme val="minor"/>
    </font>
    <font>
      <sz val="11"/>
      <color rgb="FFF2F2F2"/>
      <name val="Calibri"/>
      <family val="2"/>
      <scheme val="minor"/>
    </font>
    <font>
      <b/>
      <sz val="58"/>
      <color rgb="FF0065B3"/>
      <name val="Calibri"/>
      <family val="2"/>
      <scheme val="minor"/>
    </font>
    <font>
      <b/>
      <i/>
      <sz val="16"/>
      <color rgb="FFDBBD67"/>
      <name val="Calibri"/>
      <family val="2"/>
      <scheme val="minor"/>
    </font>
    <font>
      <b/>
      <i/>
      <sz val="16"/>
      <color rgb="FF0065B3"/>
      <name val="Calibri"/>
      <family val="2"/>
      <scheme val="minor"/>
    </font>
    <font>
      <b/>
      <i/>
      <sz val="16"/>
      <color rgb="FFB91114"/>
      <name val="Calibri"/>
      <family val="2"/>
      <scheme val="minor"/>
    </font>
    <font>
      <b/>
      <i/>
      <sz val="11"/>
      <color rgb="FF262626"/>
      <name val="Calibri"/>
      <family val="2"/>
      <scheme val="minor"/>
    </font>
    <font>
      <sz val="8"/>
      <color rgb="FF262626"/>
      <name val="Calibri"/>
      <family val="2"/>
      <scheme val="minor"/>
    </font>
    <font>
      <sz val="28"/>
      <color theme="0"/>
      <name val="Avenir Next LT Pro"/>
      <family val="2"/>
    </font>
    <font>
      <b/>
      <sz val="10"/>
      <color rgb="FF8F1737"/>
      <name val="Calibri"/>
      <family val="2"/>
      <scheme val="minor"/>
    </font>
    <font>
      <b/>
      <sz val="12"/>
      <color rgb="FF8F1737"/>
      <name val="Calibri"/>
      <family val="2"/>
      <scheme val="minor"/>
    </font>
    <font>
      <b/>
      <sz val="9"/>
      <color rgb="FF262626"/>
      <name val="Arial"/>
      <family val="2"/>
    </font>
    <font>
      <b/>
      <sz val="58"/>
      <color rgb="FF8F1737"/>
      <name val="Calibri"/>
      <family val="2"/>
      <scheme val="minor"/>
    </font>
    <font>
      <b/>
      <i/>
      <sz val="16"/>
      <color rgb="FF8F1737"/>
      <name val="Calibri"/>
      <family val="2"/>
      <scheme val="minor"/>
    </font>
    <font>
      <b/>
      <sz val="58"/>
      <color rgb="FFFEB811"/>
      <name val="Calibri"/>
      <family val="2"/>
      <scheme val="minor"/>
    </font>
    <font>
      <b/>
      <i/>
      <sz val="16"/>
      <color rgb="FFFEB811"/>
      <name val="Calibri"/>
      <family val="2"/>
      <scheme val="minor"/>
    </font>
    <font>
      <sz val="12"/>
      <color rgb="FF8F1737"/>
      <name val="Wingdings"/>
      <charset val="2"/>
    </font>
    <font>
      <b/>
      <sz val="11"/>
      <color rgb="FFB911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25"/>
      <name val="Calibri"/>
      <family val="2"/>
      <scheme val="minor"/>
    </font>
    <font>
      <b/>
      <sz val="22"/>
      <color rgb="FF2065B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F1737"/>
        <bgColor indexed="64"/>
      </patternFill>
    </fill>
    <fill>
      <patternFill patternType="solid">
        <fgColor rgb="FFFEB81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2065B0"/>
        <bgColor indexed="64"/>
      </patternFill>
    </fill>
    <fill>
      <patternFill patternType="solid">
        <fgColor rgb="FF4A0D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D196"/>
        <bgColor indexed="64"/>
      </patternFill>
    </fill>
  </fills>
  <borders count="4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thin">
        <color rgb="FFB91114"/>
      </bottom>
      <diagonal/>
    </border>
    <border>
      <left style="medium">
        <color rgb="FF8F1737"/>
      </left>
      <right/>
      <top style="medium">
        <color rgb="FF8F1737"/>
      </top>
      <bottom/>
      <diagonal/>
    </border>
    <border>
      <left/>
      <right/>
      <top style="medium">
        <color rgb="FF8F1737"/>
      </top>
      <bottom/>
      <diagonal/>
    </border>
    <border>
      <left/>
      <right style="medium">
        <color rgb="FF8F1737"/>
      </right>
      <top style="medium">
        <color rgb="FF8F1737"/>
      </top>
      <bottom/>
      <diagonal/>
    </border>
    <border>
      <left style="medium">
        <color rgb="FF8F1737"/>
      </left>
      <right/>
      <top/>
      <bottom/>
      <diagonal/>
    </border>
    <border>
      <left/>
      <right style="medium">
        <color rgb="FF8F1737"/>
      </right>
      <top/>
      <bottom/>
      <diagonal/>
    </border>
    <border>
      <left style="medium">
        <color rgb="FF8F1737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rgb="FF8F1737"/>
      </right>
      <top style="thin">
        <color theme="0" tint="-0.499984740745262"/>
      </top>
      <bottom style="thin">
        <color indexed="64"/>
      </bottom>
      <diagonal/>
    </border>
    <border>
      <left style="medium">
        <color rgb="FF8F1737"/>
      </left>
      <right style="thin">
        <color indexed="64"/>
      </right>
      <top style="thin">
        <color indexed="64"/>
      </top>
      <bottom style="medium">
        <color rgb="FF8F173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8F1737"/>
      </bottom>
      <diagonal/>
    </border>
    <border>
      <left style="thin">
        <color indexed="64"/>
      </left>
      <right style="medium">
        <color rgb="FF8F1737"/>
      </right>
      <top style="thin">
        <color indexed="64"/>
      </top>
      <bottom style="medium">
        <color rgb="FF8F1737"/>
      </bottom>
      <diagonal/>
    </border>
    <border>
      <left style="medium">
        <color rgb="FF8F1737"/>
      </left>
      <right style="medium">
        <color rgb="FF8F1737"/>
      </right>
      <top style="medium">
        <color rgb="FF8F1737"/>
      </top>
      <bottom/>
      <diagonal/>
    </border>
    <border>
      <left style="medium">
        <color rgb="FF8F1737"/>
      </left>
      <right style="medium">
        <color rgb="FF8F1737"/>
      </right>
      <top style="thin">
        <color theme="0" tint="-0.499984740745262"/>
      </top>
      <bottom/>
      <diagonal/>
    </border>
    <border>
      <left style="medium">
        <color rgb="FF8F1737"/>
      </left>
      <right style="medium">
        <color rgb="FF8F1737"/>
      </right>
      <top/>
      <bottom/>
      <diagonal/>
    </border>
    <border>
      <left style="medium">
        <color rgb="FF8F1737"/>
      </left>
      <right style="medium">
        <color rgb="FF8F1737"/>
      </right>
      <top/>
      <bottom style="medium">
        <color rgb="FF8F1737"/>
      </bottom>
      <diagonal/>
    </border>
    <border>
      <left style="medium">
        <color rgb="FF8F1737"/>
      </left>
      <right style="medium">
        <color rgb="FF8F1737"/>
      </right>
      <top style="thin">
        <color rgb="FFB91114"/>
      </top>
      <bottom/>
      <diagonal/>
    </border>
    <border>
      <left/>
      <right style="thin">
        <color rgb="FFFFFFF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FFFF"/>
      </left>
      <right style="thin">
        <color rgb="FFFFFFF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FFFF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FEB811"/>
      </left>
      <right style="medium">
        <color rgb="FFFEB811"/>
      </right>
      <top style="medium">
        <color rgb="FFFEB811"/>
      </top>
      <bottom/>
      <diagonal/>
    </border>
    <border>
      <left style="medium">
        <color rgb="FFFEB811"/>
      </left>
      <right style="medium">
        <color rgb="FFFEB811"/>
      </right>
      <top/>
      <bottom/>
      <diagonal/>
    </border>
    <border>
      <left style="medium">
        <color rgb="FFFEB811"/>
      </left>
      <right style="medium">
        <color rgb="FFFEB811"/>
      </right>
      <top/>
      <bottom style="medium">
        <color rgb="FFFEB811"/>
      </bottom>
      <diagonal/>
    </border>
    <border>
      <left style="medium">
        <color rgb="FF2065B0"/>
      </left>
      <right style="medium">
        <color rgb="FF2065B0"/>
      </right>
      <top style="medium">
        <color rgb="FF2065B0"/>
      </top>
      <bottom/>
      <diagonal/>
    </border>
    <border>
      <left style="medium">
        <color rgb="FF2065B0"/>
      </left>
      <right style="medium">
        <color rgb="FF2065B0"/>
      </right>
      <top/>
      <bottom/>
      <diagonal/>
    </border>
    <border>
      <left style="medium">
        <color rgb="FF2065B0"/>
      </left>
      <right style="medium">
        <color rgb="FF2065B0"/>
      </right>
      <top/>
      <bottom style="medium">
        <color rgb="FF2065B0"/>
      </bottom>
      <diagonal/>
    </border>
    <border>
      <left style="medium">
        <color rgb="FF4A0D62"/>
      </left>
      <right style="medium">
        <color rgb="FF4A0D62"/>
      </right>
      <top style="medium">
        <color rgb="FF4A0D62"/>
      </top>
      <bottom/>
      <diagonal/>
    </border>
    <border>
      <left style="medium">
        <color rgb="FF4A0D62"/>
      </left>
      <right style="medium">
        <color rgb="FF4A0D62"/>
      </right>
      <top/>
      <bottom/>
      <diagonal/>
    </border>
    <border>
      <left style="medium">
        <color rgb="FF4A0D62"/>
      </left>
      <right style="medium">
        <color rgb="FF4A0D62"/>
      </right>
      <top/>
      <bottom style="medium">
        <color rgb="FF4A0D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9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0" fillId="0" borderId="0" xfId="0" applyFont="1" applyAlignment="1">
      <alignment vertical="center"/>
    </xf>
    <xf numFmtId="0" fontId="0" fillId="4" borderId="17" xfId="0" applyFill="1" applyBorder="1"/>
    <xf numFmtId="0" fontId="9" fillId="4" borderId="17" xfId="0" applyFont="1" applyFill="1" applyBorder="1"/>
    <xf numFmtId="0" fontId="6" fillId="4" borderId="28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1" xfId="0" applyBorder="1"/>
    <xf numFmtId="0" fontId="2" fillId="4" borderId="28" xfId="0" applyFont="1" applyFill="1" applyBorder="1" applyAlignment="1">
      <alignment horizontal="center" vertical="center"/>
    </xf>
    <xf numFmtId="0" fontId="0" fillId="0" borderId="32" xfId="0" applyBorder="1"/>
    <xf numFmtId="0" fontId="11" fillId="4" borderId="28" xfId="0" applyFont="1" applyFill="1" applyBorder="1" applyAlignment="1">
      <alignment horizontal="center" vertical="center"/>
    </xf>
    <xf numFmtId="0" fontId="0" fillId="0" borderId="30" xfId="0" applyBorder="1"/>
    <xf numFmtId="0" fontId="2" fillId="4" borderId="7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6" xfId="0" applyFill="1" applyBorder="1"/>
    <xf numFmtId="0" fontId="33" fillId="6" borderId="0" xfId="0" applyFont="1" applyFill="1"/>
    <xf numFmtId="0" fontId="24" fillId="6" borderId="0" xfId="0" applyFont="1" applyFill="1"/>
    <xf numFmtId="0" fontId="0" fillId="6" borderId="3" xfId="0" applyFill="1" applyBorder="1"/>
    <xf numFmtId="0" fontId="0" fillId="6" borderId="11" xfId="0" applyFill="1" applyBorder="1"/>
    <xf numFmtId="0" fontId="0" fillId="6" borderId="5" xfId="0" applyFill="1" applyBorder="1"/>
    <xf numFmtId="0" fontId="22" fillId="4" borderId="34" xfId="0" applyFont="1" applyFill="1" applyBorder="1" applyAlignment="1">
      <alignment horizontal="center" vertical="center"/>
    </xf>
    <xf numFmtId="0" fontId="22" fillId="4" borderId="35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vertical="center" wrapText="1"/>
    </xf>
    <xf numFmtId="0" fontId="37" fillId="0" borderId="37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48" fillId="0" borderId="0" xfId="0" applyFont="1" applyAlignment="1">
      <alignment horizontal="left"/>
    </xf>
    <xf numFmtId="0" fontId="24" fillId="5" borderId="0" xfId="0" applyFont="1" applyFill="1"/>
    <xf numFmtId="0" fontId="48" fillId="5" borderId="0" xfId="0" applyFont="1" applyFill="1" applyAlignment="1">
      <alignment horizontal="left"/>
    </xf>
    <xf numFmtId="0" fontId="24" fillId="5" borderId="0" xfId="0" applyFont="1" applyFill="1" applyAlignment="1">
      <alignment horizontal="center"/>
    </xf>
    <xf numFmtId="0" fontId="24" fillId="7" borderId="0" xfId="0" applyFont="1" applyFill="1"/>
    <xf numFmtId="0" fontId="0" fillId="0" borderId="45" xfId="0" applyBorder="1"/>
    <xf numFmtId="21" fontId="0" fillId="0" borderId="0" xfId="0" applyNumberFormat="1"/>
    <xf numFmtId="0" fontId="0" fillId="10" borderId="0" xfId="0" applyFill="1"/>
    <xf numFmtId="21" fontId="0" fillId="10" borderId="0" xfId="0" applyNumberFormat="1" applyFill="1"/>
    <xf numFmtId="20" fontId="0" fillId="0" borderId="0" xfId="0" applyNumberFormat="1"/>
    <xf numFmtId="0" fontId="39" fillId="0" borderId="0" xfId="0" applyFont="1" applyAlignment="1">
      <alignment vertical="top"/>
    </xf>
    <xf numFmtId="0" fontId="4" fillId="0" borderId="0" xfId="0" applyFont="1" applyAlignment="1">
      <alignment wrapText="1"/>
    </xf>
    <xf numFmtId="22" fontId="0" fillId="0" borderId="45" xfId="0" applyNumberFormat="1" applyBorder="1"/>
    <xf numFmtId="0" fontId="50" fillId="0" borderId="8" xfId="0" applyFont="1" applyBorder="1" applyAlignment="1" applyProtection="1">
      <alignment horizontal="center" vertical="center"/>
      <protection locked="0"/>
    </xf>
    <xf numFmtId="0" fontId="49" fillId="0" borderId="0" xfId="0" applyFont="1" applyAlignment="1">
      <alignment horizontal="right"/>
    </xf>
    <xf numFmtId="0" fontId="51" fillId="0" borderId="0" xfId="0" applyFont="1" applyAlignment="1">
      <alignment horizontal="right"/>
    </xf>
    <xf numFmtId="0" fontId="22" fillId="4" borderId="33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wrapText="1"/>
    </xf>
    <xf numFmtId="0" fontId="25" fillId="6" borderId="1" xfId="0" applyFont="1" applyFill="1" applyBorder="1" applyAlignment="1">
      <alignment vertical="center" wrapText="1"/>
    </xf>
    <xf numFmtId="0" fontId="21" fillId="6" borderId="2" xfId="0" applyFont="1" applyFill="1" applyBorder="1" applyAlignment="1" applyProtection="1">
      <alignment wrapText="1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3" fillId="6" borderId="0" xfId="0" applyFont="1" applyFill="1" applyAlignment="1">
      <alignment horizontal="left"/>
    </xf>
    <xf numFmtId="0" fontId="21" fillId="6" borderId="3" xfId="0" applyFont="1" applyFill="1" applyBorder="1" applyAlignment="1" applyProtection="1">
      <alignment horizontal="center" wrapText="1"/>
      <protection locked="0"/>
    </xf>
    <xf numFmtId="0" fontId="16" fillId="6" borderId="0" xfId="0" applyFont="1" applyFill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left" vertical="center"/>
    </xf>
    <xf numFmtId="0" fontId="26" fillId="6" borderId="4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0" xfId="0" applyFont="1" applyFill="1" applyAlignment="1">
      <alignment horizontal="left" vertical="center"/>
    </xf>
    <xf numFmtId="0" fontId="26" fillId="6" borderId="12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16" fillId="6" borderId="3" xfId="0" applyFont="1" applyFill="1" applyBorder="1" applyAlignment="1" applyProtection="1">
      <alignment horizontal="center"/>
      <protection locked="0"/>
    </xf>
    <xf numFmtId="16" fontId="16" fillId="6" borderId="3" xfId="0" applyNumberFormat="1" applyFont="1" applyFill="1" applyBorder="1" applyAlignment="1">
      <alignment horizontal="center"/>
    </xf>
    <xf numFmtId="20" fontId="16" fillId="6" borderId="3" xfId="0" applyNumberFormat="1" applyFont="1" applyFill="1" applyBorder="1" applyAlignment="1">
      <alignment horizontal="center"/>
    </xf>
    <xf numFmtId="0" fontId="43" fillId="6" borderId="0" xfId="0" applyFont="1" applyFill="1" applyAlignment="1">
      <alignment horizontal="right"/>
    </xf>
    <xf numFmtId="0" fontId="29" fillId="6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10" xfId="0" applyFont="1" applyFill="1" applyBorder="1" applyAlignment="1">
      <alignment horizontal="left" vertical="center"/>
    </xf>
    <xf numFmtId="0" fontId="26" fillId="7" borderId="11" xfId="0" applyFont="1" applyFill="1" applyBorder="1" applyAlignment="1">
      <alignment horizontal="left" vertical="center"/>
    </xf>
    <xf numFmtId="0" fontId="26" fillId="7" borderId="0" xfId="0" applyFont="1" applyFill="1" applyAlignment="1">
      <alignment horizontal="left" vertical="center"/>
    </xf>
    <xf numFmtId="0" fontId="26" fillId="7" borderId="5" xfId="0" applyFont="1" applyFill="1" applyBorder="1" applyAlignment="1">
      <alignment horizontal="left" vertical="center"/>
    </xf>
    <xf numFmtId="0" fontId="26" fillId="7" borderId="12" xfId="0" applyFont="1" applyFill="1" applyBorder="1" applyAlignment="1">
      <alignment horizontal="left" vertical="center"/>
    </xf>
    <xf numFmtId="0" fontId="26" fillId="7" borderId="6" xfId="0" applyFont="1" applyFill="1" applyBorder="1" applyAlignment="1">
      <alignment horizontal="left" vertical="center"/>
    </xf>
    <xf numFmtId="0" fontId="26" fillId="7" borderId="13" xfId="0" applyFont="1" applyFill="1" applyBorder="1" applyAlignment="1">
      <alignment horizontal="left" vertical="center"/>
    </xf>
    <xf numFmtId="0" fontId="42" fillId="7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/>
    </xf>
    <xf numFmtId="0" fontId="19" fillId="4" borderId="14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1" fillId="6" borderId="3" xfId="0" applyFont="1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 applyProtection="1">
      <alignment horizontal="center" vertical="center" wrapText="1"/>
      <protection locked="0"/>
    </xf>
    <xf numFmtId="0" fontId="21" fillId="6" borderId="3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3" fillId="6" borderId="0" xfId="0" applyFont="1" applyFill="1" applyAlignment="1">
      <alignment horizontal="left" vertical="center"/>
    </xf>
    <xf numFmtId="0" fontId="43" fillId="6" borderId="0" xfId="0" applyFont="1" applyFill="1" applyAlignment="1">
      <alignment horizontal="right" vertic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left"/>
    </xf>
    <xf numFmtId="0" fontId="16" fillId="0" borderId="30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52" fillId="11" borderId="23" xfId="0" applyFont="1" applyFill="1" applyBorder="1" applyAlignment="1">
      <alignment horizontal="center" vertical="center"/>
    </xf>
    <xf numFmtId="0" fontId="52" fillId="11" borderId="16" xfId="0" applyFont="1" applyFill="1" applyBorder="1" applyAlignment="1">
      <alignment horizontal="center" vertical="center"/>
    </xf>
    <xf numFmtId="0" fontId="52" fillId="11" borderId="24" xfId="0" applyFont="1" applyFill="1" applyBorder="1" applyAlignment="1">
      <alignment horizontal="center" vertical="center"/>
    </xf>
    <xf numFmtId="0" fontId="52" fillId="11" borderId="25" xfId="0" applyFont="1" applyFill="1" applyBorder="1" applyAlignment="1">
      <alignment horizontal="center" vertical="center"/>
    </xf>
    <xf numFmtId="0" fontId="52" fillId="11" borderId="26" xfId="0" applyFont="1" applyFill="1" applyBorder="1" applyAlignment="1">
      <alignment horizontal="center" vertical="center"/>
    </xf>
    <xf numFmtId="0" fontId="52" fillId="11" borderId="27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right" vertical="center"/>
    </xf>
    <xf numFmtId="0" fontId="38" fillId="0" borderId="40" xfId="0" applyFont="1" applyBorder="1" applyAlignment="1">
      <alignment horizontal="center" vertical="top" wrapText="1"/>
    </xf>
    <xf numFmtId="0" fontId="38" fillId="0" borderId="41" xfId="0" applyFont="1" applyBorder="1" applyAlignment="1">
      <alignment horizontal="center" vertical="top" wrapText="1"/>
    </xf>
    <xf numFmtId="0" fontId="47" fillId="4" borderId="30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47" fillId="9" borderId="43" xfId="0" applyFont="1" applyFill="1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47" fillId="8" borderId="40" xfId="0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top" wrapText="1"/>
    </xf>
    <xf numFmtId="0" fontId="38" fillId="0" borderId="31" xfId="0" applyFont="1" applyBorder="1" applyAlignment="1">
      <alignment horizontal="center" vertical="top" wrapText="1"/>
    </xf>
    <xf numFmtId="0" fontId="38" fillId="0" borderId="37" xfId="0" applyFont="1" applyBorder="1" applyAlignment="1">
      <alignment horizontal="center" vertical="top" wrapText="1"/>
    </xf>
    <xf numFmtId="0" fontId="38" fillId="0" borderId="38" xfId="0" applyFont="1" applyBorder="1" applyAlignment="1">
      <alignment horizontal="center" vertical="top" wrapText="1"/>
    </xf>
    <xf numFmtId="0" fontId="38" fillId="0" borderId="43" xfId="0" applyFont="1" applyBorder="1" applyAlignment="1">
      <alignment horizontal="center" vertical="top" wrapText="1"/>
    </xf>
    <xf numFmtId="0" fontId="38" fillId="0" borderId="44" xfId="0" applyFont="1" applyBorder="1" applyAlignment="1">
      <alignment horizontal="center" vertical="top" wrapText="1"/>
    </xf>
    <xf numFmtId="0" fontId="44" fillId="5" borderId="36" xfId="0" applyFont="1" applyFill="1" applyBorder="1" applyAlignment="1">
      <alignment horizontal="center" vertical="center"/>
    </xf>
    <xf numFmtId="0" fontId="44" fillId="5" borderId="37" xfId="0" applyFont="1" applyFill="1" applyBorder="1" applyAlignment="1">
      <alignment horizontal="center" vertical="center"/>
    </xf>
    <xf numFmtId="0" fontId="46" fillId="4" borderId="28" xfId="0" applyFont="1" applyFill="1" applyBorder="1" applyAlignment="1">
      <alignment horizontal="center" vertical="center"/>
    </xf>
    <xf numFmtId="0" fontId="46" fillId="4" borderId="30" xfId="0" applyFont="1" applyFill="1" applyBorder="1" applyAlignment="1">
      <alignment horizontal="center" vertical="center"/>
    </xf>
    <xf numFmtId="0" fontId="34" fillId="5" borderId="36" xfId="0" applyFont="1" applyFill="1" applyBorder="1" applyAlignment="1">
      <alignment horizontal="center" vertical="center"/>
    </xf>
    <xf numFmtId="0" fontId="34" fillId="5" borderId="37" xfId="0" applyFont="1" applyFill="1" applyBorder="1" applyAlignment="1">
      <alignment horizontal="center" vertical="center"/>
    </xf>
    <xf numFmtId="0" fontId="46" fillId="8" borderId="39" xfId="0" applyFont="1" applyFill="1" applyBorder="1" applyAlignment="1">
      <alignment horizontal="center" vertical="center"/>
    </xf>
    <xf numFmtId="0" fontId="46" fillId="8" borderId="40" xfId="0" applyFont="1" applyFill="1" applyBorder="1" applyAlignment="1">
      <alignment horizontal="center" vertical="center"/>
    </xf>
    <xf numFmtId="0" fontId="46" fillId="9" borderId="42" xfId="0" applyFont="1" applyFill="1" applyBorder="1" applyAlignment="1">
      <alignment horizontal="center" vertical="center"/>
    </xf>
    <xf numFmtId="0" fontId="46" fillId="9" borderId="43" xfId="0" applyFont="1" applyFill="1" applyBorder="1" applyAlignment="1">
      <alignment horizontal="center" vertical="center"/>
    </xf>
  </cellXfs>
  <cellStyles count="1">
    <cellStyle name="Normal" xfId="0" builtinId="0"/>
  </cellStyles>
  <dxfs count="441"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ont>
        <b/>
        <i/>
        <color rgb="FFB91114"/>
      </font>
    </dxf>
    <dxf>
      <font>
        <b/>
        <i/>
        <color rgb="FFB91114"/>
      </font>
    </dxf>
    <dxf>
      <font>
        <b val="0"/>
        <i/>
        <color rgb="FFB91114"/>
      </font>
    </dxf>
    <dxf>
      <font>
        <b val="0"/>
        <i/>
        <color rgb="FFB91114"/>
      </font>
    </dxf>
    <dxf>
      <font>
        <b val="0"/>
        <i/>
        <color rgb="FFB91114"/>
      </font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ED196"/>
      <color rgb="FF2065B0"/>
      <color rgb="FFFEB811"/>
      <color rgb="FF8F1737"/>
      <color rgb="FF404040"/>
      <color rgb="FFC6D9F1"/>
      <color rgb="FF4A0D62"/>
      <color rgb="FFFEE6C5"/>
      <color rgb="FFEAEAEA"/>
      <color rgb="FFFED7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#Copyright!A1"/><Relationship Id="rId18" Type="http://schemas.openxmlformats.org/officeDocument/2006/relationships/hyperlink" Target="#'C'!I8"/><Relationship Id="rId26" Type="http://schemas.openxmlformats.org/officeDocument/2006/relationships/hyperlink" Target="#G!I8"/><Relationship Id="rId3" Type="http://schemas.openxmlformats.org/officeDocument/2006/relationships/hyperlink" Target="https://clasesexcel.com/" TargetMode="External"/><Relationship Id="rId21" Type="http://schemas.openxmlformats.org/officeDocument/2006/relationships/image" Target="../media/image12.emf"/><Relationship Id="rId34" Type="http://schemas.openxmlformats.org/officeDocument/2006/relationships/image" Target="../media/image18.emf"/><Relationship Id="rId7" Type="http://schemas.openxmlformats.org/officeDocument/2006/relationships/hyperlink" Target="#OCTAVOS!I8"/><Relationship Id="rId12" Type="http://schemas.openxmlformats.org/officeDocument/2006/relationships/image" Target="../media/image7.emf"/><Relationship Id="rId17" Type="http://schemas.openxmlformats.org/officeDocument/2006/relationships/image" Target="../media/image10.emf"/><Relationship Id="rId25" Type="http://schemas.openxmlformats.org/officeDocument/2006/relationships/image" Target="../media/image14.emf"/><Relationship Id="rId33" Type="http://schemas.openxmlformats.org/officeDocument/2006/relationships/hyperlink" Target="#Extra!A1"/><Relationship Id="rId2" Type="http://schemas.openxmlformats.org/officeDocument/2006/relationships/image" Target="../media/image2.png"/><Relationship Id="rId16" Type="http://schemas.openxmlformats.org/officeDocument/2006/relationships/hyperlink" Target="#B!I8"/><Relationship Id="rId20" Type="http://schemas.openxmlformats.org/officeDocument/2006/relationships/hyperlink" Target="#D!I8"/><Relationship Id="rId29" Type="http://schemas.openxmlformats.org/officeDocument/2006/relationships/image" Target="../media/image16.emf"/><Relationship Id="rId1" Type="http://schemas.openxmlformats.org/officeDocument/2006/relationships/image" Target="../media/image1.png"/><Relationship Id="rId6" Type="http://schemas.openxmlformats.org/officeDocument/2006/relationships/image" Target="../media/image4.emf"/><Relationship Id="rId11" Type="http://schemas.openxmlformats.org/officeDocument/2006/relationships/hyperlink" Target="#SEMIFINALES!I8"/><Relationship Id="rId24" Type="http://schemas.openxmlformats.org/officeDocument/2006/relationships/hyperlink" Target="#'F'!I8"/><Relationship Id="rId32" Type="http://schemas.openxmlformats.org/officeDocument/2006/relationships/image" Target="../media/image17.emf"/><Relationship Id="rId5" Type="http://schemas.openxmlformats.org/officeDocument/2006/relationships/hyperlink" Target="#A!I8"/><Relationship Id="rId15" Type="http://schemas.openxmlformats.org/officeDocument/2006/relationships/image" Target="../media/image9.emf"/><Relationship Id="rId23" Type="http://schemas.openxmlformats.org/officeDocument/2006/relationships/image" Target="../media/image13.emf"/><Relationship Id="rId28" Type="http://schemas.openxmlformats.org/officeDocument/2006/relationships/hyperlink" Target="#H!I8"/><Relationship Id="rId10" Type="http://schemas.openxmlformats.org/officeDocument/2006/relationships/image" Target="../media/image6.emf"/><Relationship Id="rId19" Type="http://schemas.openxmlformats.org/officeDocument/2006/relationships/image" Target="../media/image11.emf"/><Relationship Id="rId31" Type="http://schemas.openxmlformats.org/officeDocument/2006/relationships/hyperlink" Target="#DEFINICI&#211;N!I8"/><Relationship Id="rId4" Type="http://schemas.openxmlformats.org/officeDocument/2006/relationships/image" Target="../media/image3.png"/><Relationship Id="rId9" Type="http://schemas.openxmlformats.org/officeDocument/2006/relationships/hyperlink" Target="#CUARTOS!I8"/><Relationship Id="rId14" Type="http://schemas.openxmlformats.org/officeDocument/2006/relationships/image" Target="../media/image8.emf"/><Relationship Id="rId22" Type="http://schemas.openxmlformats.org/officeDocument/2006/relationships/hyperlink" Target="#E!I8"/><Relationship Id="rId27" Type="http://schemas.openxmlformats.org/officeDocument/2006/relationships/image" Target="../media/image15.emf"/><Relationship Id="rId30" Type="http://schemas.openxmlformats.org/officeDocument/2006/relationships/hyperlink" Target="https://digitalhub.fifa.com/m/6eeee459fabcedc/original/FIFA-World-Cup-Qatar-2022-Regulations_ES.pdf" TargetMode="External"/><Relationship Id="rId35" Type="http://schemas.openxmlformats.org/officeDocument/2006/relationships/hyperlink" Target="#UTC!C3"/><Relationship Id="rId8" Type="http://schemas.openxmlformats.org/officeDocument/2006/relationships/image" Target="../media/image5.emf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emf"/><Relationship Id="rId13" Type="http://schemas.openxmlformats.org/officeDocument/2006/relationships/hyperlink" Target="http://clasesexcel.com/" TargetMode="External"/><Relationship Id="rId3" Type="http://schemas.openxmlformats.org/officeDocument/2006/relationships/image" Target="../media/image57.emf"/><Relationship Id="rId7" Type="http://schemas.openxmlformats.org/officeDocument/2006/relationships/image" Target="../media/image61.emf"/><Relationship Id="rId12" Type="http://schemas.openxmlformats.org/officeDocument/2006/relationships/image" Target="../media/image65.emf"/><Relationship Id="rId2" Type="http://schemas.openxmlformats.org/officeDocument/2006/relationships/image" Target="../media/image56.emf"/><Relationship Id="rId1" Type="http://schemas.openxmlformats.org/officeDocument/2006/relationships/image" Target="../media/image55.emf"/><Relationship Id="rId6" Type="http://schemas.openxmlformats.org/officeDocument/2006/relationships/image" Target="../media/image60.emf"/><Relationship Id="rId11" Type="http://schemas.openxmlformats.org/officeDocument/2006/relationships/image" Target="../media/image24.jpeg"/><Relationship Id="rId5" Type="http://schemas.openxmlformats.org/officeDocument/2006/relationships/image" Target="../media/image59.emf"/><Relationship Id="rId15" Type="http://schemas.openxmlformats.org/officeDocument/2006/relationships/hyperlink" Target="#UTC!C3"/><Relationship Id="rId10" Type="http://schemas.openxmlformats.org/officeDocument/2006/relationships/image" Target="../media/image64.emf"/><Relationship Id="rId4" Type="http://schemas.openxmlformats.org/officeDocument/2006/relationships/image" Target="../media/image58.emf"/><Relationship Id="rId9" Type="http://schemas.openxmlformats.org/officeDocument/2006/relationships/image" Target="../media/image63.emf"/><Relationship Id="rId14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http://clasesexcel.com/" TargetMode="External"/><Relationship Id="rId3" Type="http://schemas.openxmlformats.org/officeDocument/2006/relationships/image" Target="../media/image77.emf"/><Relationship Id="rId7" Type="http://schemas.openxmlformats.org/officeDocument/2006/relationships/image" Target="../media/image79.emf"/><Relationship Id="rId2" Type="http://schemas.openxmlformats.org/officeDocument/2006/relationships/image" Target="../media/image56.emf"/><Relationship Id="rId1" Type="http://schemas.openxmlformats.org/officeDocument/2006/relationships/image" Target="../media/image76.emf"/><Relationship Id="rId6" Type="http://schemas.openxmlformats.org/officeDocument/2006/relationships/image" Target="../media/image24.jpeg"/><Relationship Id="rId5" Type="http://schemas.openxmlformats.org/officeDocument/2006/relationships/image" Target="../media/image78.emf"/><Relationship Id="rId10" Type="http://schemas.openxmlformats.org/officeDocument/2006/relationships/hyperlink" Target="#UTC!C3"/><Relationship Id="rId4" Type="http://schemas.openxmlformats.org/officeDocument/2006/relationships/image" Target="../media/image57.emf"/><Relationship Id="rId9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57.emf"/><Relationship Id="rId7" Type="http://schemas.openxmlformats.org/officeDocument/2006/relationships/hyperlink" Target="http://clasesexcel.com/" TargetMode="External"/><Relationship Id="rId2" Type="http://schemas.openxmlformats.org/officeDocument/2006/relationships/image" Target="../media/image83.emf"/><Relationship Id="rId1" Type="http://schemas.openxmlformats.org/officeDocument/2006/relationships/image" Target="../media/image58.emf"/><Relationship Id="rId6" Type="http://schemas.openxmlformats.org/officeDocument/2006/relationships/image" Target="../media/image84.emf"/><Relationship Id="rId5" Type="http://schemas.openxmlformats.org/officeDocument/2006/relationships/image" Target="../media/image24.jpeg"/><Relationship Id="rId4" Type="http://schemas.openxmlformats.org/officeDocument/2006/relationships/image" Target="../media/image56.emf"/><Relationship Id="rId9" Type="http://schemas.openxmlformats.org/officeDocument/2006/relationships/hyperlink" Target="#UTC!C3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UTC!C3"/><Relationship Id="rId3" Type="http://schemas.openxmlformats.org/officeDocument/2006/relationships/image" Target="../media/image56.emf"/><Relationship Id="rId7" Type="http://schemas.openxmlformats.org/officeDocument/2006/relationships/image" Target="../media/image26.png"/><Relationship Id="rId2" Type="http://schemas.openxmlformats.org/officeDocument/2006/relationships/image" Target="../media/image62.emf"/><Relationship Id="rId1" Type="http://schemas.openxmlformats.org/officeDocument/2006/relationships/image" Target="../media/image76.emf"/><Relationship Id="rId6" Type="http://schemas.openxmlformats.org/officeDocument/2006/relationships/hyperlink" Target="http://clasesexcel.com/" TargetMode="External"/><Relationship Id="rId5" Type="http://schemas.openxmlformats.org/officeDocument/2006/relationships/image" Target="../media/image24.jpeg"/><Relationship Id="rId4" Type="http://schemas.openxmlformats.org/officeDocument/2006/relationships/image" Target="../media/image58.emf"/><Relationship Id="rId9" Type="http://schemas.openxmlformats.org/officeDocument/2006/relationships/image" Target="../media/image86.emf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9.png"/><Relationship Id="rId18" Type="http://schemas.openxmlformats.org/officeDocument/2006/relationships/image" Target="../media/image104.png"/><Relationship Id="rId26" Type="http://schemas.openxmlformats.org/officeDocument/2006/relationships/image" Target="../media/image112.png"/><Relationship Id="rId39" Type="http://schemas.openxmlformats.org/officeDocument/2006/relationships/image" Target="../media/image123.emf"/><Relationship Id="rId21" Type="http://schemas.openxmlformats.org/officeDocument/2006/relationships/image" Target="../media/image107.png"/><Relationship Id="rId34" Type="http://schemas.openxmlformats.org/officeDocument/2006/relationships/image" Target="../media/image26.png"/><Relationship Id="rId7" Type="http://schemas.openxmlformats.org/officeDocument/2006/relationships/image" Target="../media/image93.png"/><Relationship Id="rId12" Type="http://schemas.openxmlformats.org/officeDocument/2006/relationships/image" Target="../media/image98.png"/><Relationship Id="rId17" Type="http://schemas.openxmlformats.org/officeDocument/2006/relationships/image" Target="../media/image103.png"/><Relationship Id="rId25" Type="http://schemas.openxmlformats.org/officeDocument/2006/relationships/image" Target="../media/image111.png"/><Relationship Id="rId33" Type="http://schemas.openxmlformats.org/officeDocument/2006/relationships/hyperlink" Target="http://clasesexcel.com/" TargetMode="External"/><Relationship Id="rId38" Type="http://schemas.openxmlformats.org/officeDocument/2006/relationships/image" Target="../media/image122.emf"/><Relationship Id="rId2" Type="http://schemas.openxmlformats.org/officeDocument/2006/relationships/image" Target="../media/image88.png"/><Relationship Id="rId16" Type="http://schemas.openxmlformats.org/officeDocument/2006/relationships/image" Target="../media/image102.png"/><Relationship Id="rId20" Type="http://schemas.openxmlformats.org/officeDocument/2006/relationships/image" Target="../media/image106.png"/><Relationship Id="rId29" Type="http://schemas.openxmlformats.org/officeDocument/2006/relationships/image" Target="../media/image115.png"/><Relationship Id="rId1" Type="http://schemas.openxmlformats.org/officeDocument/2006/relationships/image" Target="../media/image87.png"/><Relationship Id="rId6" Type="http://schemas.openxmlformats.org/officeDocument/2006/relationships/image" Target="../media/image92.png"/><Relationship Id="rId11" Type="http://schemas.openxmlformats.org/officeDocument/2006/relationships/image" Target="../media/image97.png"/><Relationship Id="rId24" Type="http://schemas.openxmlformats.org/officeDocument/2006/relationships/image" Target="../media/image110.png"/><Relationship Id="rId32" Type="http://schemas.openxmlformats.org/officeDocument/2006/relationships/image" Target="../media/image118.png"/><Relationship Id="rId37" Type="http://schemas.openxmlformats.org/officeDocument/2006/relationships/image" Target="../media/image121.emf"/><Relationship Id="rId5" Type="http://schemas.openxmlformats.org/officeDocument/2006/relationships/image" Target="../media/image91.png"/><Relationship Id="rId15" Type="http://schemas.openxmlformats.org/officeDocument/2006/relationships/image" Target="../media/image101.png"/><Relationship Id="rId23" Type="http://schemas.openxmlformats.org/officeDocument/2006/relationships/image" Target="../media/image109.png"/><Relationship Id="rId28" Type="http://schemas.openxmlformats.org/officeDocument/2006/relationships/image" Target="../media/image114.png"/><Relationship Id="rId36" Type="http://schemas.openxmlformats.org/officeDocument/2006/relationships/image" Target="../media/image120.emf"/><Relationship Id="rId10" Type="http://schemas.openxmlformats.org/officeDocument/2006/relationships/image" Target="../media/image96.png"/><Relationship Id="rId19" Type="http://schemas.openxmlformats.org/officeDocument/2006/relationships/image" Target="../media/image105.png"/><Relationship Id="rId31" Type="http://schemas.openxmlformats.org/officeDocument/2006/relationships/image" Target="../media/image117.png"/><Relationship Id="rId4" Type="http://schemas.openxmlformats.org/officeDocument/2006/relationships/image" Target="../media/image90.png"/><Relationship Id="rId9" Type="http://schemas.openxmlformats.org/officeDocument/2006/relationships/image" Target="../media/image95.png"/><Relationship Id="rId14" Type="http://schemas.openxmlformats.org/officeDocument/2006/relationships/image" Target="../media/image100.png"/><Relationship Id="rId22" Type="http://schemas.openxmlformats.org/officeDocument/2006/relationships/image" Target="../media/image108.png"/><Relationship Id="rId27" Type="http://schemas.openxmlformats.org/officeDocument/2006/relationships/image" Target="../media/image113.png"/><Relationship Id="rId30" Type="http://schemas.openxmlformats.org/officeDocument/2006/relationships/image" Target="../media/image116.png"/><Relationship Id="rId35" Type="http://schemas.openxmlformats.org/officeDocument/2006/relationships/image" Target="../media/image119.jpeg"/><Relationship Id="rId8" Type="http://schemas.openxmlformats.org/officeDocument/2006/relationships/image" Target="../media/image94.png"/><Relationship Id="rId3" Type="http://schemas.openxmlformats.org/officeDocument/2006/relationships/image" Target="../media/image89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https://upload.wikimedia.org/wikipedia/commons/8/88/World_Time_Zones_Map.png" TargetMode="External"/><Relationship Id="rId1" Type="http://schemas.openxmlformats.org/officeDocument/2006/relationships/image" Target="../media/image24.jpeg"/></Relationships>
</file>

<file path=xl/drawings/_rels/drawing16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openxmlformats.org/officeDocument/2006/relationships/hyperlink" Target="mailto:info@clasesexcel.com?subject=Fixture%20Catar%202022" TargetMode="External"/><Relationship Id="rId3" Type="http://schemas.openxmlformats.org/officeDocument/2006/relationships/hyperlink" Target="https://clasesexcel.com/" TargetMode="External"/><Relationship Id="rId7" Type="http://schemas.openxmlformats.org/officeDocument/2006/relationships/image" Target="../media/image125.png"/><Relationship Id="rId12" Type="http://schemas.openxmlformats.org/officeDocument/2006/relationships/hyperlink" Target="https://clasesexcel.com/contacto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24.png"/><Relationship Id="rId6" Type="http://schemas.openxmlformats.org/officeDocument/2006/relationships/image" Target="../media/image26.png"/><Relationship Id="rId11" Type="http://schemas.openxmlformats.org/officeDocument/2006/relationships/hyperlink" Target="https://clasesexcel.com/terminos-y-condiciones-de-uso/" TargetMode="External"/><Relationship Id="rId5" Type="http://schemas.openxmlformats.org/officeDocument/2006/relationships/hyperlink" Target="http://clasesexcel.com/" TargetMode="External"/><Relationship Id="rId10" Type="http://schemas.openxmlformats.org/officeDocument/2006/relationships/hyperlink" Target="http://www.icondrawer.com" TargetMode="External"/><Relationship Id="rId4" Type="http://schemas.openxmlformats.org/officeDocument/2006/relationships/hyperlink" Target="https://clasesexcel.com" TargetMode="External"/><Relationship Id="rId9" Type="http://schemas.openxmlformats.org/officeDocument/2006/relationships/hyperlink" Target="https://fontsrepo.com/" TargetMode="Externa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2.png"/><Relationship Id="rId13" Type="http://schemas.openxmlformats.org/officeDocument/2006/relationships/image" Target="../media/image137.png"/><Relationship Id="rId18" Type="http://schemas.openxmlformats.org/officeDocument/2006/relationships/image" Target="../media/image141.png"/><Relationship Id="rId26" Type="http://schemas.openxmlformats.org/officeDocument/2006/relationships/image" Target="../media/image149.png"/><Relationship Id="rId3" Type="http://schemas.openxmlformats.org/officeDocument/2006/relationships/image" Target="../media/image128.png"/><Relationship Id="rId21" Type="http://schemas.openxmlformats.org/officeDocument/2006/relationships/image" Target="../media/image144.png"/><Relationship Id="rId7" Type="http://schemas.openxmlformats.org/officeDocument/2006/relationships/image" Target="../media/image131.png"/><Relationship Id="rId12" Type="http://schemas.openxmlformats.org/officeDocument/2006/relationships/image" Target="../media/image136.png"/><Relationship Id="rId17" Type="http://schemas.openxmlformats.org/officeDocument/2006/relationships/image" Target="../media/image140.png"/><Relationship Id="rId25" Type="http://schemas.openxmlformats.org/officeDocument/2006/relationships/image" Target="../media/image148.png"/><Relationship Id="rId2" Type="http://schemas.openxmlformats.org/officeDocument/2006/relationships/image" Target="../media/image127.png"/><Relationship Id="rId16" Type="http://schemas.openxmlformats.org/officeDocument/2006/relationships/image" Target="../media/image103.png"/><Relationship Id="rId20" Type="http://schemas.openxmlformats.org/officeDocument/2006/relationships/image" Target="../media/image143.png"/><Relationship Id="rId29" Type="http://schemas.openxmlformats.org/officeDocument/2006/relationships/image" Target="../media/image152.png"/><Relationship Id="rId1" Type="http://schemas.openxmlformats.org/officeDocument/2006/relationships/image" Target="../media/image126.png"/><Relationship Id="rId6" Type="http://schemas.openxmlformats.org/officeDocument/2006/relationships/image" Target="../media/image130.png"/><Relationship Id="rId11" Type="http://schemas.openxmlformats.org/officeDocument/2006/relationships/image" Target="../media/image135.png"/><Relationship Id="rId24" Type="http://schemas.openxmlformats.org/officeDocument/2006/relationships/image" Target="../media/image147.png"/><Relationship Id="rId32" Type="http://schemas.openxmlformats.org/officeDocument/2006/relationships/image" Target="../media/image155.png"/><Relationship Id="rId5" Type="http://schemas.openxmlformats.org/officeDocument/2006/relationships/image" Target="../media/image129.png"/><Relationship Id="rId15" Type="http://schemas.openxmlformats.org/officeDocument/2006/relationships/image" Target="../media/image139.png"/><Relationship Id="rId23" Type="http://schemas.openxmlformats.org/officeDocument/2006/relationships/image" Target="../media/image146.png"/><Relationship Id="rId28" Type="http://schemas.openxmlformats.org/officeDocument/2006/relationships/image" Target="../media/image151.png"/><Relationship Id="rId10" Type="http://schemas.openxmlformats.org/officeDocument/2006/relationships/image" Target="../media/image134.png"/><Relationship Id="rId19" Type="http://schemas.openxmlformats.org/officeDocument/2006/relationships/image" Target="../media/image142.png"/><Relationship Id="rId31" Type="http://schemas.openxmlformats.org/officeDocument/2006/relationships/image" Target="../media/image154.png"/><Relationship Id="rId4" Type="http://schemas.openxmlformats.org/officeDocument/2006/relationships/image" Target="../media/image91.png"/><Relationship Id="rId9" Type="http://schemas.openxmlformats.org/officeDocument/2006/relationships/image" Target="../media/image133.png"/><Relationship Id="rId14" Type="http://schemas.openxmlformats.org/officeDocument/2006/relationships/image" Target="../media/image138.png"/><Relationship Id="rId22" Type="http://schemas.openxmlformats.org/officeDocument/2006/relationships/image" Target="../media/image145.png"/><Relationship Id="rId27" Type="http://schemas.openxmlformats.org/officeDocument/2006/relationships/image" Target="../media/image150.png"/><Relationship Id="rId30" Type="http://schemas.openxmlformats.org/officeDocument/2006/relationships/image" Target="../media/image15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1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http://clasesexcel.com/" TargetMode="External"/><Relationship Id="rId2" Type="http://schemas.openxmlformats.org/officeDocument/2006/relationships/image" Target="../media/image20.png"/><Relationship Id="rId16" Type="http://schemas.openxmlformats.org/officeDocument/2006/relationships/image" Target="../media/image25.emf"/><Relationship Id="rId1" Type="http://schemas.openxmlformats.org/officeDocument/2006/relationships/image" Target="../media/image19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3.png"/><Relationship Id="rId15" Type="http://schemas.openxmlformats.org/officeDocument/2006/relationships/image" Target="../media/image24.jpeg"/><Relationship Id="rId10" Type="http://schemas.openxmlformats.org/officeDocument/2006/relationships/hyperlink" Target="#E!A1"/><Relationship Id="rId4" Type="http://schemas.openxmlformats.org/officeDocument/2006/relationships/image" Target="../media/image22.png"/><Relationship Id="rId9" Type="http://schemas.openxmlformats.org/officeDocument/2006/relationships/hyperlink" Target="#'C'!A1"/><Relationship Id="rId14" Type="http://schemas.openxmlformats.org/officeDocument/2006/relationships/hyperlink" Target="#UTC!C3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29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1" Type="http://schemas.openxmlformats.org/officeDocument/2006/relationships/image" Target="../media/image27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0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33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32.png"/><Relationship Id="rId16" Type="http://schemas.openxmlformats.org/officeDocument/2006/relationships/image" Target="../media/image26.png"/><Relationship Id="rId1" Type="http://schemas.openxmlformats.org/officeDocument/2006/relationships/image" Target="../media/image31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4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37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36.png"/><Relationship Id="rId16" Type="http://schemas.openxmlformats.org/officeDocument/2006/relationships/image" Target="../media/image26.png"/><Relationship Id="rId1" Type="http://schemas.openxmlformats.org/officeDocument/2006/relationships/image" Target="../media/image35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8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1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0.png"/><Relationship Id="rId16" Type="http://schemas.openxmlformats.org/officeDocument/2006/relationships/image" Target="../media/image26.png"/><Relationship Id="rId1" Type="http://schemas.openxmlformats.org/officeDocument/2006/relationships/image" Target="../media/image39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42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5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4.png"/><Relationship Id="rId16" Type="http://schemas.openxmlformats.org/officeDocument/2006/relationships/image" Target="../media/image26.png"/><Relationship Id="rId1" Type="http://schemas.openxmlformats.org/officeDocument/2006/relationships/image" Target="../media/image43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46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9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8.png"/><Relationship Id="rId16" Type="http://schemas.openxmlformats.org/officeDocument/2006/relationships/image" Target="../media/image26.png"/><Relationship Id="rId1" Type="http://schemas.openxmlformats.org/officeDocument/2006/relationships/image" Target="../media/image47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50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53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52.png"/><Relationship Id="rId16" Type="http://schemas.openxmlformats.org/officeDocument/2006/relationships/image" Target="../media/image26.png"/><Relationship Id="rId1" Type="http://schemas.openxmlformats.org/officeDocument/2006/relationships/image" Target="../media/image51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54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3.emf"/><Relationship Id="rId3" Type="http://schemas.openxmlformats.org/officeDocument/2006/relationships/image" Target="../media/image68.emf"/><Relationship Id="rId7" Type="http://schemas.openxmlformats.org/officeDocument/2006/relationships/image" Target="../media/image72.emf"/><Relationship Id="rId2" Type="http://schemas.openxmlformats.org/officeDocument/2006/relationships/image" Target="../media/image67.emf"/><Relationship Id="rId1" Type="http://schemas.openxmlformats.org/officeDocument/2006/relationships/image" Target="../media/image66.emf"/><Relationship Id="rId6" Type="http://schemas.openxmlformats.org/officeDocument/2006/relationships/image" Target="../media/image71.emf"/><Relationship Id="rId5" Type="http://schemas.openxmlformats.org/officeDocument/2006/relationships/image" Target="../media/image70.emf"/><Relationship Id="rId10" Type="http://schemas.openxmlformats.org/officeDocument/2006/relationships/image" Target="../media/image75.emf"/><Relationship Id="rId4" Type="http://schemas.openxmlformats.org/officeDocument/2006/relationships/image" Target="../media/image69.emf"/><Relationship Id="rId9" Type="http://schemas.openxmlformats.org/officeDocument/2006/relationships/image" Target="../media/image7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1.emf"/><Relationship Id="rId2" Type="http://schemas.openxmlformats.org/officeDocument/2006/relationships/image" Target="../media/image67.emf"/><Relationship Id="rId1" Type="http://schemas.openxmlformats.org/officeDocument/2006/relationships/image" Target="../media/image80.emf"/><Relationship Id="rId5" Type="http://schemas.openxmlformats.org/officeDocument/2006/relationships/image" Target="../media/image82.emf"/><Relationship Id="rId4" Type="http://schemas.openxmlformats.org/officeDocument/2006/relationships/image" Target="../media/image6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8.emf"/><Relationship Id="rId2" Type="http://schemas.openxmlformats.org/officeDocument/2006/relationships/image" Target="../media/image85.emf"/><Relationship Id="rId1" Type="http://schemas.openxmlformats.org/officeDocument/2006/relationships/image" Target="../media/image69.emf"/><Relationship Id="rId4" Type="http://schemas.openxmlformats.org/officeDocument/2006/relationships/image" Target="../media/image6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73.emf"/><Relationship Id="rId1" Type="http://schemas.openxmlformats.org/officeDocument/2006/relationships/image" Target="../media/image80.emf"/><Relationship Id="rId4" Type="http://schemas.openxmlformats.org/officeDocument/2006/relationships/image" Target="../media/image6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760417</xdr:colOff>
      <xdr:row>23</xdr:row>
      <xdr:rowOff>228023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535A084B-0C60-6F71-FC2F-A3796C92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6667" cy="4619048"/>
        </a:xfrm>
        <a:prstGeom prst="rect">
          <a:avLst/>
        </a:prstGeom>
      </xdr:spPr>
    </xdr:pic>
    <xdr:clientData/>
  </xdr:twoCellAnchor>
  <xdr:oneCellAnchor>
    <xdr:from>
      <xdr:col>14</xdr:col>
      <xdr:colOff>460374</xdr:colOff>
      <xdr:row>22</xdr:row>
      <xdr:rowOff>11630</xdr:rowOff>
    </xdr:from>
    <xdr:ext cx="1465209" cy="217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022541" y="4350797"/>
          <a:ext cx="146520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800">
              <a:solidFill>
                <a:schemeClr val="bg1"/>
              </a:solidFill>
              <a:latin typeface="+mn-lt"/>
            </a:rPr>
            <a:t>Todos</a:t>
          </a:r>
          <a:r>
            <a:rPr lang="es-ES" sz="800" baseline="0">
              <a:solidFill>
                <a:schemeClr val="bg1"/>
              </a:solidFill>
              <a:latin typeface="+mn-lt"/>
            </a:rPr>
            <a:t> los derechos reservados</a:t>
          </a:r>
          <a:endParaRPr lang="es-ES" sz="800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</xdr:col>
      <xdr:colOff>86309</xdr:colOff>
      <xdr:row>21</xdr:row>
      <xdr:rowOff>104766</xdr:rowOff>
    </xdr:from>
    <xdr:ext cx="2564228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48309" y="4162416"/>
          <a:ext cx="2564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20 noviembre al 18 de diciembre de 2022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9</xdr:col>
      <xdr:colOff>89783</xdr:colOff>
      <xdr:row>0</xdr:row>
      <xdr:rowOff>166301</xdr:rowOff>
    </xdr:from>
    <xdr:to>
      <xdr:col>15</xdr:col>
      <xdr:colOff>472603</xdr:colOff>
      <xdr:row>25</xdr:row>
      <xdr:rowOff>18286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604DDFD-2B2C-C4F7-6D06-409721E9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238790">
          <a:off x="6662033" y="166301"/>
          <a:ext cx="4954820" cy="4681160"/>
        </a:xfrm>
        <a:prstGeom prst="rect">
          <a:avLst/>
        </a:prstGeom>
      </xdr:spPr>
    </xdr:pic>
    <xdr:clientData/>
  </xdr:twoCellAnchor>
  <xdr:twoCellAnchor editAs="oneCell">
    <xdr:from>
      <xdr:col>14</xdr:col>
      <xdr:colOff>586319</xdr:colOff>
      <xdr:row>20</xdr:row>
      <xdr:rowOff>179912</xdr:rowOff>
    </xdr:from>
    <xdr:to>
      <xdr:col>16</xdr:col>
      <xdr:colOff>316919</xdr:colOff>
      <xdr:row>22</xdr:row>
      <xdr:rowOff>65039</xdr:rowOff>
    </xdr:to>
    <xdr:pic>
      <xdr:nvPicPr>
        <xdr:cNvPr id="70" name="Imagen 6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F692F5-57BB-0D75-3AC8-3F463C7F9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8486" y="4180412"/>
          <a:ext cx="1254600" cy="223794"/>
        </a:xfrm>
        <a:prstGeom prst="rect">
          <a:avLst/>
        </a:prstGeom>
      </xdr:spPr>
    </xdr:pic>
    <xdr:clientData/>
  </xdr:twoCellAnchor>
  <xdr:twoCellAnchor>
    <xdr:from>
      <xdr:col>16</xdr:col>
      <xdr:colOff>428624</xdr:colOff>
      <xdr:row>19</xdr:row>
      <xdr:rowOff>127013</xdr:rowOff>
    </xdr:from>
    <xdr:to>
      <xdr:col>16</xdr:col>
      <xdr:colOff>608624</xdr:colOff>
      <xdr:row>22</xdr:row>
      <xdr:rowOff>165170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85C0F071-5064-49D2-AFB1-F32DEF10036B}"/>
            </a:ext>
          </a:extLst>
        </xdr:cNvPr>
        <xdr:cNvGrpSpPr/>
      </xdr:nvGrpSpPr>
      <xdr:grpSpPr>
        <a:xfrm flipV="1">
          <a:off x="12334874" y="3803663"/>
          <a:ext cx="180000" cy="562032"/>
          <a:chOff x="13155082" y="1523999"/>
          <a:chExt cx="180000" cy="567324"/>
        </a:xfrm>
      </xdr:grpSpPr>
      <xdr:sp macro="" textlink="">
        <xdr:nvSpPr>
          <xdr:cNvPr id="113" name="Rombo 112">
            <a:extLst>
              <a:ext uri="{FF2B5EF4-FFF2-40B4-BE49-F238E27FC236}">
                <a16:creationId xmlns:a16="http://schemas.microsoft.com/office/drawing/2014/main" id="{62A7DD73-15C8-7924-264F-98D28854F227}"/>
              </a:ext>
            </a:extLst>
          </xdr:cNvPr>
          <xdr:cNvSpPr/>
        </xdr:nvSpPr>
        <xdr:spPr>
          <a:xfrm>
            <a:off x="13155082" y="1523999"/>
            <a:ext cx="180000" cy="180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  <xdr:sp macro="" textlink="">
        <xdr:nvSpPr>
          <xdr:cNvPr id="114" name="Rombo 113">
            <a:extLst>
              <a:ext uri="{FF2B5EF4-FFF2-40B4-BE49-F238E27FC236}">
                <a16:creationId xmlns:a16="http://schemas.microsoft.com/office/drawing/2014/main" id="{C28FB408-723F-05CE-11FD-9A549E8032B1}"/>
              </a:ext>
            </a:extLst>
          </xdr:cNvPr>
          <xdr:cNvSpPr/>
        </xdr:nvSpPr>
        <xdr:spPr>
          <a:xfrm>
            <a:off x="13173082" y="1771661"/>
            <a:ext cx="144000" cy="144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  <xdr:sp macro="" textlink="">
        <xdr:nvSpPr>
          <xdr:cNvPr id="115" name="Rombo 114">
            <a:extLst>
              <a:ext uri="{FF2B5EF4-FFF2-40B4-BE49-F238E27FC236}">
                <a16:creationId xmlns:a16="http://schemas.microsoft.com/office/drawing/2014/main" id="{E953560D-4F27-0299-805D-D111B125C606}"/>
              </a:ext>
            </a:extLst>
          </xdr:cNvPr>
          <xdr:cNvSpPr/>
        </xdr:nvSpPr>
        <xdr:spPr>
          <a:xfrm>
            <a:off x="13191082" y="1983323"/>
            <a:ext cx="108000" cy="108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</xdr:grpSp>
    <xdr:clientData/>
  </xdr:twoCellAnchor>
  <xdr:twoCellAnchor editAs="oneCell">
    <xdr:from>
      <xdr:col>5</xdr:col>
      <xdr:colOff>582083</xdr:colOff>
      <xdr:row>1</xdr:row>
      <xdr:rowOff>130175</xdr:rowOff>
    </xdr:from>
    <xdr:to>
      <xdr:col>8</xdr:col>
      <xdr:colOff>182033</xdr:colOff>
      <xdr:row>3</xdr:row>
      <xdr:rowOff>82550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30CFA0-01E1-4B6E-B4F5-B40413EB8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377825"/>
          <a:ext cx="16002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7</xdr:row>
      <xdr:rowOff>184365</xdr:rowOff>
    </xdr:from>
    <xdr:to>
      <xdr:col>8</xdr:col>
      <xdr:colOff>505883</xdr:colOff>
      <xdr:row>9</xdr:row>
      <xdr:rowOff>136740</xdr:rowOff>
    </xdr:to>
    <xdr:pic>
      <xdr:nvPicPr>
        <xdr:cNvPr id="15" name="Imagen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4CBB97A-D69D-4360-9A90-80A0C775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1575015"/>
          <a:ext cx="19240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10</xdr:row>
      <xdr:rowOff>126366</xdr:rowOff>
    </xdr:from>
    <xdr:to>
      <xdr:col>8</xdr:col>
      <xdr:colOff>467783</xdr:colOff>
      <xdr:row>12</xdr:row>
      <xdr:rowOff>78741</xdr:rowOff>
    </xdr:to>
    <xdr:pic>
      <xdr:nvPicPr>
        <xdr:cNvPr id="17" name="Imagen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5BAF425-D0E1-4823-A47D-AB802C7D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2088516"/>
          <a:ext cx="1885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13</xdr:row>
      <xdr:rowOff>68367</xdr:rowOff>
    </xdr:from>
    <xdr:to>
      <xdr:col>8</xdr:col>
      <xdr:colOff>1058</xdr:colOff>
      <xdr:row>15</xdr:row>
      <xdr:rowOff>20742</xdr:rowOff>
    </xdr:to>
    <xdr:pic>
      <xdr:nvPicPr>
        <xdr:cNvPr id="18" name="Imagen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0A4BAE0-EC40-4ED1-8642-6895C806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2602017"/>
          <a:ext cx="14192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515408</xdr:colOff>
      <xdr:row>18</xdr:row>
      <xdr:rowOff>133345</xdr:rowOff>
    </xdr:from>
    <xdr:to>
      <xdr:col>8</xdr:col>
      <xdr:colOff>248708</xdr:colOff>
      <xdr:row>20</xdr:row>
      <xdr:rowOff>38095</xdr:rowOff>
    </xdr:to>
    <xdr:pic>
      <xdr:nvPicPr>
        <xdr:cNvPr id="21" name="Imagen 2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E9FF589-1130-4E16-8E0A-AE319135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7408" y="3619495"/>
          <a:ext cx="971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3</xdr:row>
      <xdr:rowOff>167219</xdr:rowOff>
    </xdr:from>
    <xdr:to>
      <xdr:col>6</xdr:col>
      <xdr:colOff>534458</xdr:colOff>
      <xdr:row>5</xdr:row>
      <xdr:rowOff>43394</xdr:rowOff>
    </xdr:to>
    <xdr:pic>
      <xdr:nvPicPr>
        <xdr:cNvPr id="22" name="Imagen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E8DA7A-C00A-4F14-ABAA-FD4D621B0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631474</xdr:colOff>
      <xdr:row>3</xdr:row>
      <xdr:rowOff>167219</xdr:rowOff>
    </xdr:from>
    <xdr:to>
      <xdr:col>8</xdr:col>
      <xdr:colOff>107599</xdr:colOff>
      <xdr:row>5</xdr:row>
      <xdr:rowOff>43394</xdr:rowOff>
    </xdr:to>
    <xdr:pic>
      <xdr:nvPicPr>
        <xdr:cNvPr id="23" name="Imagen 2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5050A3E-1DB8-46F8-951F-6D431F67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03474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204615</xdr:colOff>
      <xdr:row>3</xdr:row>
      <xdr:rowOff>167219</xdr:rowOff>
    </xdr:from>
    <xdr:to>
      <xdr:col>9</xdr:col>
      <xdr:colOff>156990</xdr:colOff>
      <xdr:row>5</xdr:row>
      <xdr:rowOff>43394</xdr:rowOff>
    </xdr:to>
    <xdr:pic>
      <xdr:nvPicPr>
        <xdr:cNvPr id="25" name="Imagen 2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8896240-1B7E-44DE-92CE-0986B54B0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14865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254007</xdr:colOff>
      <xdr:row>3</xdr:row>
      <xdr:rowOff>167219</xdr:rowOff>
    </xdr:from>
    <xdr:to>
      <xdr:col>10</xdr:col>
      <xdr:colOff>206382</xdr:colOff>
      <xdr:row>5</xdr:row>
      <xdr:rowOff>43394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8C2821D-1D46-4DF7-A856-92D40152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26257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571500</xdr:colOff>
      <xdr:row>5</xdr:row>
      <xdr:rowOff>128064</xdr:rowOff>
    </xdr:from>
    <xdr:to>
      <xdr:col>6</xdr:col>
      <xdr:colOff>523875</xdr:colOff>
      <xdr:row>7</xdr:row>
      <xdr:rowOff>4239</xdr:rowOff>
    </xdr:to>
    <xdr:pic>
      <xdr:nvPicPr>
        <xdr:cNvPr id="27" name="Imagen 2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E85AF8B-7DDD-48B9-AFF5-8806E5E0A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81500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624419</xdr:colOff>
      <xdr:row>5</xdr:row>
      <xdr:rowOff>128064</xdr:rowOff>
    </xdr:from>
    <xdr:to>
      <xdr:col>8</xdr:col>
      <xdr:colOff>100544</xdr:colOff>
      <xdr:row>7</xdr:row>
      <xdr:rowOff>4239</xdr:rowOff>
    </xdr:to>
    <xdr:pic>
      <xdr:nvPicPr>
        <xdr:cNvPr id="30" name="Imagen 29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401C6F0-87F6-463C-B0C5-0FB26CDD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196419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201088</xdr:colOff>
      <xdr:row>5</xdr:row>
      <xdr:rowOff>128064</xdr:rowOff>
    </xdr:from>
    <xdr:to>
      <xdr:col>9</xdr:col>
      <xdr:colOff>153463</xdr:colOff>
      <xdr:row>7</xdr:row>
      <xdr:rowOff>4239</xdr:rowOff>
    </xdr:to>
    <xdr:pic>
      <xdr:nvPicPr>
        <xdr:cNvPr id="31" name="Imagen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B4FC31-2541-49FA-998C-F08FD5AF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11338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254007</xdr:colOff>
      <xdr:row>5</xdr:row>
      <xdr:rowOff>128064</xdr:rowOff>
    </xdr:from>
    <xdr:to>
      <xdr:col>10</xdr:col>
      <xdr:colOff>206382</xdr:colOff>
      <xdr:row>7</xdr:row>
      <xdr:rowOff>4239</xdr:rowOff>
    </xdr:to>
    <xdr:pic>
      <xdr:nvPicPr>
        <xdr:cNvPr id="32" name="Imagen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D54701-A98F-4AD5-8480-E6F37020B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26257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527583</xdr:colOff>
      <xdr:row>3</xdr:row>
      <xdr:rowOff>113000</xdr:rowOff>
    </xdr:from>
    <xdr:ext cx="2160000" cy="200262"/>
    <xdr:sp macro="" textlink="">
      <xdr:nvSpPr>
        <xdr:cNvPr id="20" name="CuadroTexto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147833" y="741650"/>
          <a:ext cx="2160000" cy="2002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200" i="0" u="sng">
              <a:solidFill>
                <a:schemeClr val="bg1"/>
              </a:solidFill>
            </a:rPr>
            <a:t>Términos</a:t>
          </a:r>
          <a:r>
            <a:rPr lang="es-ES" sz="1200" i="0" u="sng" baseline="0">
              <a:solidFill>
                <a:schemeClr val="bg1"/>
              </a:solidFill>
            </a:rPr>
            <a:t> y condiciones de uso</a:t>
          </a:r>
          <a:endParaRPr lang="es-ES" sz="1200" i="0" u="sng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167583</xdr:colOff>
      <xdr:row>2</xdr:row>
      <xdr:rowOff>85413</xdr:rowOff>
    </xdr:from>
    <xdr:ext cx="2520000" cy="225426"/>
    <xdr:sp macro="" textlink="">
      <xdr:nvSpPr>
        <xdr:cNvPr id="13" name="CuadroTexto 1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787833" y="523563"/>
          <a:ext cx="2520000" cy="225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300" u="sng">
              <a:solidFill>
                <a:schemeClr val="bg1"/>
              </a:solidFill>
            </a:rPr>
            <a:t>Descarga el Reglamento del torneo</a:t>
          </a:r>
        </a:p>
      </xdr:txBody>
    </xdr:sp>
    <xdr:clientData/>
  </xdr:oneCellAnchor>
  <xdr:oneCellAnchor>
    <xdr:from>
      <xdr:col>13</xdr:col>
      <xdr:colOff>670428</xdr:colOff>
      <xdr:row>1</xdr:row>
      <xdr:rowOff>48316</xdr:rowOff>
    </xdr:from>
    <xdr:ext cx="2017155" cy="234936"/>
    <xdr:sp macro="" textlink="">
      <xdr:nvSpPr>
        <xdr:cNvPr id="16" name="CuadroText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290678" y="295966"/>
          <a:ext cx="2017155" cy="234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400" u="sng">
              <a:solidFill>
                <a:schemeClr val="bg1"/>
              </a:solidFill>
            </a:rPr>
            <a:t>Aprende más sobre Excel</a:t>
          </a:r>
        </a:p>
      </xdr:txBody>
    </xdr:sp>
    <xdr:clientData/>
  </xdr:oneCellAnchor>
  <xdr:twoCellAnchor editAs="oneCell">
    <xdr:from>
      <xdr:col>5</xdr:col>
      <xdr:colOff>582083</xdr:colOff>
      <xdr:row>16</xdr:row>
      <xdr:rowOff>10368</xdr:rowOff>
    </xdr:from>
    <xdr:to>
      <xdr:col>10</xdr:col>
      <xdr:colOff>182033</xdr:colOff>
      <xdr:row>17</xdr:row>
      <xdr:rowOff>143719</xdr:rowOff>
    </xdr:to>
    <xdr:pic>
      <xdr:nvPicPr>
        <xdr:cNvPr id="2" name="Imagen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903E49C-FFE1-4773-96CF-CAF999D744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526"/>
        <a:stretch/>
      </xdr:blipFill>
      <xdr:spPr bwMode="auto">
        <a:xfrm>
          <a:off x="4392083" y="3115518"/>
          <a:ext cx="3124200" cy="32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18</xdr:row>
      <xdr:rowOff>133345</xdr:rowOff>
    </xdr:from>
    <xdr:to>
      <xdr:col>6</xdr:col>
      <xdr:colOff>420158</xdr:colOff>
      <xdr:row>20</xdr:row>
      <xdr:rowOff>38095</xdr:rowOff>
    </xdr:to>
    <xdr:pic>
      <xdr:nvPicPr>
        <xdr:cNvPr id="5" name="Imagen 4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0A1CAB5-E428-4D14-82B3-14D9966D9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3" y="3619495"/>
          <a:ext cx="600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582083</xdr:colOff>
      <xdr:row>21</xdr:row>
      <xdr:rowOff>85716</xdr:rowOff>
    </xdr:from>
    <xdr:ext cx="2486643" cy="264560"/>
    <xdr:sp macro="" textlink="">
      <xdr:nvSpPr>
        <xdr:cNvPr id="6" name="CuadroTexto 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C6B0F02-9E4E-44E1-96C8-A6D39CD293E7}"/>
            </a:ext>
          </a:extLst>
        </xdr:cNvPr>
        <xdr:cNvSpPr txBox="1"/>
      </xdr:nvSpPr>
      <xdr:spPr>
        <a:xfrm>
          <a:off x="4392083" y="4143366"/>
          <a:ext cx="2486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1" u="sng">
              <a:solidFill>
                <a:srgbClr val="FEB811"/>
              </a:solidFill>
            </a:rPr>
            <a:t>Haz clic aquí para elegir tu zona horaria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9</xdr:row>
          <xdr:rowOff>66675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1" spid="_x0000_s635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478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13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2" spid="_x0000_s6359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19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47625</xdr:rowOff>
        </xdr:from>
        <xdr:to>
          <xdr:col>5</xdr:col>
          <xdr:colOff>342900</xdr:colOff>
          <xdr:row>17</xdr:row>
          <xdr:rowOff>66675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3" spid="_x0000_s6359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47850" y="2200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47625</xdr:rowOff>
        </xdr:from>
        <xdr:to>
          <xdr:col>5</xdr:col>
          <xdr:colOff>342900</xdr:colOff>
          <xdr:row>21</xdr:row>
          <xdr:rowOff>66675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4" spid="_x0000_s635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847850" y="2581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47625</xdr:rowOff>
        </xdr:from>
        <xdr:to>
          <xdr:col>5</xdr:col>
          <xdr:colOff>342900</xdr:colOff>
          <xdr:row>25</xdr:row>
          <xdr:rowOff>66675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5" spid="_x0000_s6359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847850" y="2962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47625</xdr:rowOff>
        </xdr:from>
        <xdr:to>
          <xdr:col>5</xdr:col>
          <xdr:colOff>342900</xdr:colOff>
          <xdr:row>29</xdr:row>
          <xdr:rowOff>57150</xdr:rowOff>
        </xdr:to>
        <xdr:pic>
          <xdr:nvPicPr>
            <xdr:cNvPr id="16" name="Imagen 15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6" spid="_x0000_s6359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847850" y="3343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47625</xdr:rowOff>
        </xdr:from>
        <xdr:to>
          <xdr:col>5</xdr:col>
          <xdr:colOff>342900</xdr:colOff>
          <xdr:row>33</xdr:row>
          <xdr:rowOff>66675</xdr:rowOff>
        </xdr:to>
        <xdr:pic>
          <xdr:nvPicPr>
            <xdr:cNvPr id="18" name="Imagen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7" spid="_x0000_s6359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47850" y="37338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47625</xdr:rowOff>
        </xdr:from>
        <xdr:to>
          <xdr:col>5</xdr:col>
          <xdr:colOff>342900</xdr:colOff>
          <xdr:row>38</xdr:row>
          <xdr:rowOff>19050</xdr:rowOff>
        </xdr:to>
        <xdr:pic>
          <xdr:nvPicPr>
            <xdr:cNvPr id="19" name="Imagen 18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8" spid="_x0000_s6359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41148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6</xdr:row>
          <xdr:rowOff>0</xdr:rowOff>
        </xdr:from>
        <xdr:to>
          <xdr:col>14</xdr:col>
          <xdr:colOff>9525</xdr:colOff>
          <xdr:row>9</xdr:row>
          <xdr:rowOff>66675</xdr:rowOff>
        </xdr:to>
        <xdr:pic>
          <xdr:nvPicPr>
            <xdr:cNvPr id="20" name="Imagen 19">
              <a:extLst>
                <a:ext uri="{FF2B5EF4-FFF2-40B4-BE49-F238E27FC236}">
                  <a16:creationId xmlns:a16="http://schemas.microsoft.com/office/drawing/2014/main" id="{00000000-0008-0000-0900-00001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9" spid="_x0000_s6360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52673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10</xdr:row>
          <xdr:rowOff>47625</xdr:rowOff>
        </xdr:from>
        <xdr:to>
          <xdr:col>14</xdr:col>
          <xdr:colOff>9525</xdr:colOff>
          <xdr:row>13</xdr:row>
          <xdr:rowOff>66675</xdr:rowOff>
        </xdr:to>
        <xdr:pic>
          <xdr:nvPicPr>
            <xdr:cNvPr id="23" name="Imagen 22">
              <a:extLst>
                <a:ext uri="{FF2B5EF4-FFF2-40B4-BE49-F238E27FC236}">
                  <a16:creationId xmlns:a16="http://schemas.microsoft.com/office/drawing/2014/main" id="{00000000-0008-0000-0900-00001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0" spid="_x0000_s6360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5267325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14</xdr:row>
          <xdr:rowOff>47625</xdr:rowOff>
        </xdr:from>
        <xdr:to>
          <xdr:col>14</xdr:col>
          <xdr:colOff>9525</xdr:colOff>
          <xdr:row>17</xdr:row>
          <xdr:rowOff>66675</xdr:rowOff>
        </xdr:to>
        <xdr:pic>
          <xdr:nvPicPr>
            <xdr:cNvPr id="24" name="Imagen 23">
              <a:extLst>
                <a:ext uri="{FF2B5EF4-FFF2-40B4-BE49-F238E27FC236}">
                  <a16:creationId xmlns:a16="http://schemas.microsoft.com/office/drawing/2014/main" id="{00000000-0008-0000-0900-00001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1" spid="_x0000_s6360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267325" y="2247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18</xdr:row>
          <xdr:rowOff>47625</xdr:rowOff>
        </xdr:from>
        <xdr:to>
          <xdr:col>14</xdr:col>
          <xdr:colOff>9525</xdr:colOff>
          <xdr:row>21</xdr:row>
          <xdr:rowOff>66675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900-00001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2" spid="_x0000_s6360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67325" y="2628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22</xdr:row>
          <xdr:rowOff>47625</xdr:rowOff>
        </xdr:from>
        <xdr:to>
          <xdr:col>14</xdr:col>
          <xdr:colOff>9525</xdr:colOff>
          <xdr:row>25</xdr:row>
          <xdr:rowOff>66675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900-00001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3" spid="_x0000_s6360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267325" y="3009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26</xdr:row>
          <xdr:rowOff>47625</xdr:rowOff>
        </xdr:from>
        <xdr:to>
          <xdr:col>14</xdr:col>
          <xdr:colOff>9525</xdr:colOff>
          <xdr:row>29</xdr:row>
          <xdr:rowOff>57150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9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4" spid="_x0000_s63605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5267325" y="3390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30</xdr:row>
          <xdr:rowOff>47625</xdr:rowOff>
        </xdr:from>
        <xdr:to>
          <xdr:col>14</xdr:col>
          <xdr:colOff>9525</xdr:colOff>
          <xdr:row>33</xdr:row>
          <xdr:rowOff>66675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9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5" spid="_x0000_s6360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67325" y="378142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34</xdr:row>
          <xdr:rowOff>47625</xdr:rowOff>
        </xdr:from>
        <xdr:to>
          <xdr:col>14</xdr:col>
          <xdr:colOff>9525</xdr:colOff>
          <xdr:row>38</xdr:row>
          <xdr:rowOff>19050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900-00001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6" spid="_x0000_s6360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267325" y="416242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8FB3B6-8E79-47CF-AF94-3699058ECE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1</xdr:row>
      <xdr:rowOff>57150</xdr:rowOff>
    </xdr:from>
    <xdr:to>
      <xdr:col>13</xdr:col>
      <xdr:colOff>133350</xdr:colOff>
      <xdr:row>1</xdr:row>
      <xdr:rowOff>371475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138435-2C53-43D9-B6D5-FA5EB3E498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990" b="5714"/>
        <a:stretch/>
      </xdr:blipFill>
      <xdr:spPr bwMode="auto">
        <a:xfrm>
          <a:off x="2314575" y="295275"/>
          <a:ext cx="19050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3" name="Imagen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D6D12F-37B5-4C8C-953B-E634FF61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6" name="CuadroTexto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39E0F2C-0632-40A8-97C0-8DA3193AB6C9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6</xdr:row>
          <xdr:rowOff>0</xdr:rowOff>
        </xdr:from>
        <xdr:to>
          <xdr:col>5</xdr:col>
          <xdr:colOff>352425</xdr:colOff>
          <xdr:row>9</xdr:row>
          <xdr:rowOff>66675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7" spid="_x0000_s716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73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13</xdr:row>
          <xdr:rowOff>66675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8" spid="_x0000_s7169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19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47625</xdr:rowOff>
        </xdr:from>
        <xdr:to>
          <xdr:col>5</xdr:col>
          <xdr:colOff>342900</xdr:colOff>
          <xdr:row>17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9" spid="_x0000_s7169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47850" y="2200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47625</xdr:rowOff>
        </xdr:from>
        <xdr:to>
          <xdr:col>5</xdr:col>
          <xdr:colOff>342900</xdr:colOff>
          <xdr:row>22</xdr:row>
          <xdr:rowOff>19050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0" spid="_x0000_s7169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2581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6</xdr:row>
          <xdr:rowOff>0</xdr:rowOff>
        </xdr:from>
        <xdr:to>
          <xdr:col>14</xdr:col>
          <xdr:colOff>9525</xdr:colOff>
          <xdr:row>9</xdr:row>
          <xdr:rowOff>66675</xdr:rowOff>
        </xdr:to>
        <xdr:pic>
          <xdr:nvPicPr>
            <xdr:cNvPr id="12" name="Imagen 11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1" spid="_x0000_s717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2673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10</xdr:row>
          <xdr:rowOff>47625</xdr:rowOff>
        </xdr:from>
        <xdr:to>
          <xdr:col>14</xdr:col>
          <xdr:colOff>9525</xdr:colOff>
          <xdr:row>13</xdr:row>
          <xdr:rowOff>66675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A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2" spid="_x0000_s7170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267325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14</xdr:row>
          <xdr:rowOff>47625</xdr:rowOff>
        </xdr:from>
        <xdr:to>
          <xdr:col>14</xdr:col>
          <xdr:colOff>9525</xdr:colOff>
          <xdr:row>17</xdr:row>
          <xdr:rowOff>66675</xdr:rowOff>
        </xdr:to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id="{00000000-0008-0000-0A00-00000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3" spid="_x0000_s717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267325" y="2247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18</xdr:row>
          <xdr:rowOff>47625</xdr:rowOff>
        </xdr:from>
        <xdr:to>
          <xdr:col>14</xdr:col>
          <xdr:colOff>9525</xdr:colOff>
          <xdr:row>22</xdr:row>
          <xdr:rowOff>19050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A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4" spid="_x0000_s7170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267325" y="2628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216BBB-2C37-43EF-A633-A7CE07447D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1</xdr:row>
      <xdr:rowOff>57150</xdr:rowOff>
    </xdr:from>
    <xdr:to>
      <xdr:col>13</xdr:col>
      <xdr:colOff>114300</xdr:colOff>
      <xdr:row>1</xdr:row>
      <xdr:rowOff>390525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5195B3-A4E1-41EA-A775-DC9D9D80F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4575" y="295275"/>
          <a:ext cx="1885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4" name="Imagen 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1468E6B-6D50-4B80-B73C-B1F39B65C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5" name="CuadroTexto 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FE786E5-57BC-4F65-88AC-8B43788243CD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9</xdr:row>
          <xdr:rowOff>66675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5" spid="_x0000_s496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14</xdr:row>
          <xdr:rowOff>19050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6" spid="_x0000_s4967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6</xdr:row>
          <xdr:rowOff>0</xdr:rowOff>
        </xdr:from>
        <xdr:to>
          <xdr:col>14</xdr:col>
          <xdr:colOff>19050</xdr:colOff>
          <xdr:row>9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7" spid="_x0000_s4967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76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10</xdr:row>
          <xdr:rowOff>47625</xdr:rowOff>
        </xdr:from>
        <xdr:to>
          <xdr:col>14</xdr:col>
          <xdr:colOff>19050</xdr:colOff>
          <xdr:row>14</xdr:row>
          <xdr:rowOff>19050</xdr:rowOff>
        </xdr:to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8" spid="_x0000_s496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276850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D2BCC1-6EF1-4782-A9DD-1216F7FA4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828675</xdr:colOff>
      <xdr:row>1</xdr:row>
      <xdr:rowOff>57150</xdr:rowOff>
    </xdr:from>
    <xdr:to>
      <xdr:col>10</xdr:col>
      <xdr:colOff>180975</xdr:colOff>
      <xdr:row>1</xdr:row>
      <xdr:rowOff>390525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1F2EB1-DC5B-4F78-AC6B-27850F93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43150" y="295275"/>
          <a:ext cx="14192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3" name="Imagen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87C698A-CEF9-45F0-9D88-5707D0A9A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4" name="CuadroTexto 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9F9199B-1753-4FC4-8AAC-8FA7C419AF66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800101</xdr:colOff>
      <xdr:row>1</xdr:row>
      <xdr:rowOff>333375</xdr:rowOff>
    </xdr:from>
    <xdr:ext cx="4895850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2314576" y="571500"/>
          <a:ext cx="489585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10</xdr:row>
          <xdr:rowOff>19050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9" spid="_x0000_s507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342900</xdr:colOff>
          <xdr:row>17</xdr:row>
          <xdr:rowOff>19050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0" spid="_x0000_s5070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219075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6</xdr:row>
          <xdr:rowOff>0</xdr:rowOff>
        </xdr:from>
        <xdr:to>
          <xdr:col>14</xdr:col>
          <xdr:colOff>19050</xdr:colOff>
          <xdr:row>10</xdr:row>
          <xdr:rowOff>19050</xdr:rowOff>
        </xdr:to>
        <xdr:pic>
          <xdr:nvPicPr>
            <xdr:cNvPr id="12" name="Imagen 11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1" spid="_x0000_s5070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76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13</xdr:row>
          <xdr:rowOff>0</xdr:rowOff>
        </xdr:from>
        <xdr:to>
          <xdr:col>14</xdr:col>
          <xdr:colOff>19050</xdr:colOff>
          <xdr:row>17</xdr:row>
          <xdr:rowOff>19050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C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2" spid="_x0000_s5070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276850" y="219075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065A2A-3465-44D4-A2C5-943BF7657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0</xdr:row>
      <xdr:rowOff>95250</xdr:rowOff>
    </xdr:from>
    <xdr:to>
      <xdr:col>20</xdr:col>
      <xdr:colOff>4308</xdr:colOff>
      <xdr:row>1</xdr:row>
      <xdr:rowOff>94890</xdr:rowOff>
    </xdr:to>
    <xdr:pic>
      <xdr:nvPicPr>
        <xdr:cNvPr id="6" name="Imagen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CEBD8B0-1FA1-46FE-A471-2CF8D99A8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724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2" name="CuadroTexto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7031FD8-6BD5-4D4F-9ED5-7805A38F1CD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  <xdr:twoCellAnchor editAs="oneCell">
    <xdr:from>
      <xdr:col>5</xdr:col>
      <xdr:colOff>790575</xdr:colOff>
      <xdr:row>1</xdr:row>
      <xdr:rowOff>47625</xdr:rowOff>
    </xdr:from>
    <xdr:to>
      <xdr:col>13</xdr:col>
      <xdr:colOff>1343025</xdr:colOff>
      <xdr:row>1</xdr:row>
      <xdr:rowOff>409575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976E02B-B15D-2ABC-A9EA-D2A11D51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50"/>
          <a:ext cx="31242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</xdr:row>
      <xdr:rowOff>9525</xdr:rowOff>
    </xdr:from>
    <xdr:to>
      <xdr:col>1</xdr:col>
      <xdr:colOff>189525</xdr:colOff>
      <xdr:row>19</xdr:row>
      <xdr:rowOff>189525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6099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</xdr:row>
      <xdr:rowOff>0</xdr:rowOff>
    </xdr:from>
    <xdr:to>
      <xdr:col>1</xdr:col>
      <xdr:colOff>189525</xdr:colOff>
      <xdr:row>20</xdr:row>
      <xdr:rowOff>180000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790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21</xdr:row>
      <xdr:rowOff>0</xdr:rowOff>
    </xdr:from>
    <xdr:to>
      <xdr:col>1</xdr:col>
      <xdr:colOff>189525</xdr:colOff>
      <xdr:row>21</xdr:row>
      <xdr:rowOff>180000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981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22</xdr:row>
      <xdr:rowOff>0</xdr:rowOff>
    </xdr:from>
    <xdr:to>
      <xdr:col>1</xdr:col>
      <xdr:colOff>189525</xdr:colOff>
      <xdr:row>22</xdr:row>
      <xdr:rowOff>180000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171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</xdr:row>
      <xdr:rowOff>0</xdr:rowOff>
    </xdr:from>
    <xdr:to>
      <xdr:col>1</xdr:col>
      <xdr:colOff>189525</xdr:colOff>
      <xdr:row>23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362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0</xdr:rowOff>
    </xdr:from>
    <xdr:to>
      <xdr:col>1</xdr:col>
      <xdr:colOff>189525</xdr:colOff>
      <xdr:row>24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552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</xdr:row>
      <xdr:rowOff>0</xdr:rowOff>
    </xdr:from>
    <xdr:to>
      <xdr:col>1</xdr:col>
      <xdr:colOff>189525</xdr:colOff>
      <xdr:row>25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23875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26</xdr:row>
      <xdr:rowOff>0</xdr:rowOff>
    </xdr:from>
    <xdr:to>
      <xdr:col>1</xdr:col>
      <xdr:colOff>189525</xdr:colOff>
      <xdr:row>26</xdr:row>
      <xdr:rowOff>180000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23875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19</xdr:row>
      <xdr:rowOff>0</xdr:rowOff>
    </xdr:from>
    <xdr:to>
      <xdr:col>3</xdr:col>
      <xdr:colOff>170475</xdr:colOff>
      <xdr:row>19</xdr:row>
      <xdr:rowOff>180000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20</xdr:row>
      <xdr:rowOff>0</xdr:rowOff>
    </xdr:from>
    <xdr:to>
      <xdr:col>3</xdr:col>
      <xdr:colOff>170475</xdr:colOff>
      <xdr:row>20</xdr:row>
      <xdr:rowOff>180000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21</xdr:row>
      <xdr:rowOff>0</xdr:rowOff>
    </xdr:from>
    <xdr:to>
      <xdr:col>3</xdr:col>
      <xdr:colOff>170475</xdr:colOff>
      <xdr:row>21</xdr:row>
      <xdr:rowOff>180000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22</xdr:row>
      <xdr:rowOff>0</xdr:rowOff>
    </xdr:from>
    <xdr:to>
      <xdr:col>3</xdr:col>
      <xdr:colOff>170475</xdr:colOff>
      <xdr:row>22</xdr:row>
      <xdr:rowOff>180000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0</xdr:rowOff>
    </xdr:from>
    <xdr:to>
      <xdr:col>3</xdr:col>
      <xdr:colOff>170475</xdr:colOff>
      <xdr:row>23</xdr:row>
      <xdr:rowOff>180000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24</xdr:row>
      <xdr:rowOff>0</xdr:rowOff>
    </xdr:from>
    <xdr:to>
      <xdr:col>3</xdr:col>
      <xdr:colOff>170475</xdr:colOff>
      <xdr:row>24</xdr:row>
      <xdr:rowOff>180000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6005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25</xdr:row>
      <xdr:rowOff>0</xdr:rowOff>
    </xdr:from>
    <xdr:to>
      <xdr:col>3</xdr:col>
      <xdr:colOff>170475</xdr:colOff>
      <xdr:row>25</xdr:row>
      <xdr:rowOff>180000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26</xdr:row>
      <xdr:rowOff>0</xdr:rowOff>
    </xdr:from>
    <xdr:to>
      <xdr:col>3</xdr:col>
      <xdr:colOff>170475</xdr:colOff>
      <xdr:row>26</xdr:row>
      <xdr:rowOff>180000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180000</xdr:colOff>
      <xdr:row>19</xdr:row>
      <xdr:rowOff>180000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180000</xdr:colOff>
      <xdr:row>20</xdr:row>
      <xdr:rowOff>180000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180000</xdr:colOff>
      <xdr:row>21</xdr:row>
      <xdr:rowOff>180000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180000</xdr:colOff>
      <xdr:row>22</xdr:row>
      <xdr:rowOff>180000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180000</xdr:colOff>
      <xdr:row>23</xdr:row>
      <xdr:rowOff>180000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180000</xdr:colOff>
      <xdr:row>24</xdr:row>
      <xdr:rowOff>180000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6005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180000</xdr:colOff>
      <xdr:row>25</xdr:row>
      <xdr:rowOff>180000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180000</xdr:colOff>
      <xdr:row>26</xdr:row>
      <xdr:rowOff>180000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180000</xdr:colOff>
      <xdr:row>19</xdr:row>
      <xdr:rowOff>180000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180000</xdr:colOff>
      <xdr:row>20</xdr:row>
      <xdr:rowOff>180000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180000</xdr:colOff>
      <xdr:row>21</xdr:row>
      <xdr:rowOff>180000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180000</xdr:colOff>
      <xdr:row>22</xdr:row>
      <xdr:rowOff>180000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180000</xdr:colOff>
      <xdr:row>23</xdr:row>
      <xdr:rowOff>180000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180000</xdr:colOff>
      <xdr:row>24</xdr:row>
      <xdr:rowOff>180000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552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180000</xdr:colOff>
      <xdr:row>25</xdr:row>
      <xdr:rowOff>180000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743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180000</xdr:colOff>
      <xdr:row>26</xdr:row>
      <xdr:rowOff>180000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933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47625</xdr:rowOff>
    </xdr:from>
    <xdr:to>
      <xdr:col>16</xdr:col>
      <xdr:colOff>347208</xdr:colOff>
      <xdr:row>0</xdr:row>
      <xdr:rowOff>285390</xdr:rowOff>
    </xdr:to>
    <xdr:pic>
      <xdr:nvPicPr>
        <xdr:cNvPr id="2" name="Imagen 1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E6481F7-593B-4505-BBD3-4FC5DAF58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25050" y="47625"/>
          <a:ext cx="1347333" cy="237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423056</xdr:colOff>
      <xdr:row>2</xdr:row>
      <xdr:rowOff>9524</xdr:rowOff>
    </xdr:from>
    <xdr:to>
      <xdr:col>16</xdr:col>
      <xdr:colOff>371475</xdr:colOff>
      <xdr:row>15</xdr:row>
      <xdr:rowOff>53744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A5F947BD-FB09-3EEB-9441-D7018E482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300231" y="638174"/>
          <a:ext cx="2996419" cy="2387370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1295400</xdr:colOff>
      <xdr:row>17</xdr:row>
      <xdr:rowOff>161925</xdr:rowOff>
    </xdr:from>
    <xdr:to>
      <xdr:col>16</xdr:col>
      <xdr:colOff>114300</xdr:colOff>
      <xdr:row>19</xdr:row>
      <xdr:rowOff>38100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6D5EE2BB-7A20-0257-131D-C41292B7F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91450" y="3381375"/>
          <a:ext cx="3248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</xdr:row>
      <xdr:rowOff>161925</xdr:rowOff>
    </xdr:from>
    <xdr:to>
      <xdr:col>3</xdr:col>
      <xdr:colOff>257175</xdr:colOff>
      <xdr:row>19</xdr:row>
      <xdr:rowOff>38100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D80567E8-20DB-E0DF-CA78-64DFACC72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23850" y="3381375"/>
          <a:ext cx="1809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</xdr:row>
      <xdr:rowOff>0</xdr:rowOff>
    </xdr:from>
    <xdr:to>
      <xdr:col>12</xdr:col>
      <xdr:colOff>152400</xdr:colOff>
      <xdr:row>2</xdr:row>
      <xdr:rowOff>57150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2BB3A76-AA61-7F44-5C22-9D1BD18A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24825" y="428625"/>
          <a:ext cx="1295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180975</xdr:rowOff>
    </xdr:from>
    <xdr:to>
      <xdr:col>5</xdr:col>
      <xdr:colOff>571500</xdr:colOff>
      <xdr:row>1</xdr:row>
      <xdr:rowOff>114300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CEC1F565-2A50-480D-E249-ECAC98D14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0" y="180975"/>
          <a:ext cx="36576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1893300</xdr:colOff>
      <xdr:row>0</xdr:row>
      <xdr:rowOff>995264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9DAFD4-6103-4780-85C5-3A91CAA6E6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oneCellAnchor>
    <xdr:from>
      <xdr:col>0</xdr:col>
      <xdr:colOff>323850</xdr:colOff>
      <xdr:row>5</xdr:row>
      <xdr:rowOff>0</xdr:rowOff>
    </xdr:from>
    <xdr:ext cx="5174878" cy="219075"/>
    <xdr:sp macro="" textlink="">
      <xdr:nvSpPr>
        <xdr:cNvPr id="3" name="Cuadro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9CFEC2-F9FA-8DB8-9208-5FF6089D2F7C}"/>
            </a:ext>
          </a:extLst>
        </xdr:cNvPr>
        <xdr:cNvSpPr txBox="1"/>
      </xdr:nvSpPr>
      <xdr:spPr>
        <a:xfrm>
          <a:off x="323850" y="2000250"/>
          <a:ext cx="5174878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noAutofit/>
        </a:bodyPr>
        <a:lstStyle/>
        <a:p>
          <a:r>
            <a:rPr lang="es-UY" sz="1100" u="sng">
              <a:solidFill>
                <a:srgbClr val="2065B0"/>
              </a:solidFill>
            </a:rPr>
            <a:t>https://upload.wikimedia.org/wikipedia/commons/8/88/World_Time_Zones_Map.png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760417</xdr:colOff>
      <xdr:row>23</xdr:row>
      <xdr:rowOff>152400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AC7FA05-1956-4986-8574-FDEAA379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12666667" cy="4486275"/>
        </a:xfrm>
        <a:prstGeom prst="rect">
          <a:avLst/>
        </a:prstGeom>
      </xdr:spPr>
    </xdr:pic>
    <xdr:clientData/>
  </xdr:twoCellAnchor>
  <xdr:twoCellAnchor>
    <xdr:from>
      <xdr:col>4</xdr:col>
      <xdr:colOff>453430</xdr:colOff>
      <xdr:row>0</xdr:row>
      <xdr:rowOff>104775</xdr:rowOff>
    </xdr:from>
    <xdr:to>
      <xdr:col>10</xdr:col>
      <xdr:colOff>739180</xdr:colOff>
      <xdr:row>22</xdr:row>
      <xdr:rowOff>104775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2304A55B-AF04-C295-CFFD-ABAD34EB85A3}"/>
            </a:ext>
          </a:extLst>
        </xdr:cNvPr>
        <xdr:cNvSpPr/>
      </xdr:nvSpPr>
      <xdr:spPr>
        <a:xfrm>
          <a:off x="3501430" y="104775"/>
          <a:ext cx="4572000" cy="4191000"/>
        </a:xfrm>
        <a:prstGeom prst="ellipse">
          <a:avLst/>
        </a:prstGeom>
        <a:solidFill>
          <a:schemeClr val="bg1"/>
        </a:solidFill>
        <a:ln>
          <a:solidFill>
            <a:srgbClr val="8F173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Y" sz="1100"/>
        </a:p>
      </xdr:txBody>
    </xdr:sp>
    <xdr:clientData/>
  </xdr:twoCellAnchor>
  <xdr:oneCellAnchor>
    <xdr:from>
      <xdr:col>6</xdr:col>
      <xdr:colOff>389371</xdr:colOff>
      <xdr:row>3</xdr:row>
      <xdr:rowOff>19049</xdr:rowOff>
    </xdr:from>
    <xdr:ext cx="1652119" cy="23320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4961371" y="590549"/>
          <a:ext cx="165211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Todos</a:t>
          </a:r>
          <a:r>
            <a:rPr lang="es-ES" sz="900" b="1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 los derechos reservados</a:t>
          </a:r>
          <a:endParaRPr lang="es-ES" sz="900" b="1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</xdr:txBody>
    </xdr:sp>
    <xdr:clientData/>
  </xdr:oneCellAnchor>
  <xdr:oneCellAnchor>
    <xdr:from>
      <xdr:col>6</xdr:col>
      <xdr:colOff>322205</xdr:colOff>
      <xdr:row>18</xdr:row>
      <xdr:rowOff>139358</xdr:rowOff>
    </xdr:from>
    <xdr:ext cx="1786451" cy="280205"/>
    <xdr:sp macro="" textlink="">
      <xdr:nvSpPr>
        <xdr:cNvPr id="16" name="CuadroText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4894205" y="3568358"/>
          <a:ext cx="178645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s-ES" sz="1200" b="1" u="sng">
              <a:solidFill>
                <a:srgbClr val="8F1737"/>
              </a:solidFill>
            </a:rPr>
            <a:t>Aprende más sobre Excel</a:t>
          </a:r>
        </a:p>
      </xdr:txBody>
    </xdr:sp>
    <xdr:clientData/>
  </xdr:oneCellAnchor>
  <xdr:oneCellAnchor>
    <xdr:from>
      <xdr:col>6</xdr:col>
      <xdr:colOff>581378</xdr:colOff>
      <xdr:row>3</xdr:row>
      <xdr:rowOff>123824</xdr:rowOff>
    </xdr:from>
    <xdr:ext cx="1268104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5153378" y="695324"/>
          <a:ext cx="12681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>
              <a:solidFill>
                <a:schemeClr val="tx1">
                  <a:lumMod val="75000"/>
                  <a:lumOff val="25000"/>
                </a:schemeClr>
              </a:solidFill>
            </a:rPr>
            <a:t>©2022 ClasesExcel</a:t>
          </a:r>
        </a:p>
      </xdr:txBody>
    </xdr:sp>
    <xdr:clientData/>
  </xdr:oneCellAnchor>
  <xdr:oneCellAnchor>
    <xdr:from>
      <xdr:col>5</xdr:col>
      <xdr:colOff>337245</xdr:colOff>
      <xdr:row>5</xdr:row>
      <xdr:rowOff>114300</xdr:rowOff>
    </xdr:from>
    <xdr:ext cx="3280370" cy="28020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4147245" y="1066800"/>
          <a:ext cx="32803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200" b="1"/>
            <a:t>Autor</a:t>
          </a:r>
          <a:r>
            <a:rPr lang="es-ES" sz="1200"/>
            <a:t>: </a:t>
          </a:r>
          <a:r>
            <a:rPr lang="es-ES" sz="1200" baseline="0"/>
            <a:t>Ariel Martínez Romano para Clases Excel© </a:t>
          </a:r>
          <a:endParaRPr lang="es-ES" sz="1200"/>
        </a:p>
      </xdr:txBody>
    </xdr:sp>
    <xdr:clientData/>
  </xdr:oneCellAnchor>
  <xdr:twoCellAnchor>
    <xdr:from>
      <xdr:col>5</xdr:col>
      <xdr:colOff>337245</xdr:colOff>
      <xdr:row>8</xdr:row>
      <xdr:rowOff>80540</xdr:rowOff>
    </xdr:from>
    <xdr:to>
      <xdr:col>8</xdr:col>
      <xdr:colOff>640995</xdr:colOff>
      <xdr:row>9</xdr:row>
      <xdr:rowOff>170840</xdr:rowOff>
    </xdr:to>
    <xdr:sp macro="" textlink="">
      <xdr:nvSpPr>
        <xdr:cNvPr id="21" name="3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/>
      </xdr:nvSpPr>
      <xdr:spPr>
        <a:xfrm>
          <a:off x="4147245" y="1604540"/>
          <a:ext cx="2304000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Web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u="sng">
              <a:solidFill>
                <a:srgbClr val="8F1737"/>
              </a:solidFill>
            </a:rPr>
            <a:t>https://clasesexcel.com/</a:t>
          </a:r>
        </a:p>
      </xdr:txBody>
    </xdr:sp>
    <xdr:clientData/>
  </xdr:twoCellAnchor>
  <xdr:twoCellAnchor editAs="oneCell">
    <xdr:from>
      <xdr:col>6</xdr:col>
      <xdr:colOff>541764</xdr:colOff>
      <xdr:row>2</xdr:row>
      <xdr:rowOff>19049</xdr:rowOff>
    </xdr:from>
    <xdr:to>
      <xdr:col>8</xdr:col>
      <xdr:colOff>650847</xdr:colOff>
      <xdr:row>3</xdr:row>
      <xdr:rowOff>66314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B70701-E073-494D-B53D-B546F634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13764" y="400049"/>
          <a:ext cx="1347333" cy="237765"/>
        </a:xfrm>
        <a:prstGeom prst="rect">
          <a:avLst/>
        </a:prstGeom>
      </xdr:spPr>
    </xdr:pic>
    <xdr:clientData/>
  </xdr:twoCellAnchor>
  <xdr:twoCellAnchor editAs="oneCell">
    <xdr:from>
      <xdr:col>7</xdr:col>
      <xdr:colOff>335088</xdr:colOff>
      <xdr:row>6</xdr:row>
      <xdr:rowOff>142652</xdr:rowOff>
    </xdr:from>
    <xdr:to>
      <xdr:col>13</xdr:col>
      <xdr:colOff>265914</xdr:colOff>
      <xdr:row>27</xdr:row>
      <xdr:rowOff>173941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6E8829B-E219-48D7-BA1C-6CC28B484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9249896">
          <a:off x="5669088" y="1285652"/>
          <a:ext cx="4217076" cy="3984164"/>
        </a:xfrm>
        <a:prstGeom prst="rect">
          <a:avLst/>
        </a:prstGeom>
      </xdr:spPr>
    </xdr:pic>
    <xdr:clientData/>
  </xdr:twoCellAnchor>
  <xdr:twoCellAnchor>
    <xdr:from>
      <xdr:col>12</xdr:col>
      <xdr:colOff>361950</xdr:colOff>
      <xdr:row>0</xdr:row>
      <xdr:rowOff>171450</xdr:rowOff>
    </xdr:from>
    <xdr:to>
      <xdr:col>16</xdr:col>
      <xdr:colOff>238125</xdr:colOff>
      <xdr:row>23</xdr:row>
      <xdr:rowOff>57150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/>
      </xdr:nvSpPr>
      <xdr:spPr>
        <a:xfrm>
          <a:off x="9220200" y="171450"/>
          <a:ext cx="2924175" cy="4219575"/>
        </a:xfrm>
        <a:prstGeom prst="rect">
          <a:avLst/>
        </a:prstGeom>
        <a:solidFill>
          <a:srgbClr val="000000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12</xdr:col>
      <xdr:colOff>409573</xdr:colOff>
      <xdr:row>16</xdr:row>
      <xdr:rowOff>85725</xdr:rowOff>
    </xdr:from>
    <xdr:ext cx="2675412" cy="561885"/>
    <xdr:sp macro="" textlink="">
      <xdr:nvSpPr>
        <xdr:cNvPr id="11" name="CuadroText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9267823" y="3133725"/>
          <a:ext cx="2675412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solidFill>
                <a:schemeClr val="bg1"/>
              </a:solidFill>
            </a:rPr>
            <a:t>La</a:t>
          </a:r>
          <a:r>
            <a:rPr lang="es-ES" sz="1000" baseline="0">
              <a:solidFill>
                <a:schemeClr val="bg1"/>
              </a:solidFill>
            </a:rPr>
            <a:t> fuente Qatar 2022, con licencia free para uso</a:t>
          </a:r>
        </a:p>
        <a:p>
          <a:r>
            <a:rPr lang="es-ES" sz="1000" baseline="0">
              <a:solidFill>
                <a:schemeClr val="bg1"/>
              </a:solidFill>
            </a:rPr>
            <a:t>personal y comercial, fue descargada de:</a:t>
          </a:r>
        </a:p>
        <a:p>
          <a:r>
            <a:rPr lang="es-ES" sz="1000" u="sng">
              <a:solidFill>
                <a:schemeClr val="bg1"/>
              </a:solidFill>
            </a:rPr>
            <a:t>fontsrepo.com</a:t>
          </a:r>
          <a:endParaRPr lang="es-ES" sz="1100" u="sng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409573</xdr:colOff>
      <xdr:row>14</xdr:row>
      <xdr:rowOff>76200</xdr:rowOff>
    </xdr:from>
    <xdr:ext cx="2880000" cy="405367"/>
    <xdr:sp macro="" textlink="">
      <xdr:nvSpPr>
        <xdr:cNvPr id="12" name="CuadroText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9267823" y="2743200"/>
          <a:ext cx="2880000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solidFill>
                <a:schemeClr val="bg1"/>
              </a:solidFill>
            </a:rPr>
            <a:t>Las imágenes de las banderas pertenecen al</a:t>
          </a:r>
        </a:p>
        <a:p>
          <a:r>
            <a:rPr lang="es-ES" sz="1000">
              <a:solidFill>
                <a:schemeClr val="bg1"/>
              </a:solidFill>
            </a:rPr>
            <a:t>paquete </a:t>
          </a:r>
          <a:r>
            <a:rPr lang="es-ES" sz="1000" baseline="0">
              <a:solidFill>
                <a:schemeClr val="bg1"/>
              </a:solidFill>
            </a:rPr>
            <a:t>Flag Icons de: </a:t>
          </a:r>
          <a:r>
            <a:rPr lang="ru-RU" sz="1000" u="sng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icondrawer.com</a:t>
          </a:r>
          <a:endParaRPr lang="es-ES" sz="1100" u="sng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409573</xdr:colOff>
      <xdr:row>19</xdr:row>
      <xdr:rowOff>47625</xdr:rowOff>
    </xdr:from>
    <xdr:ext cx="2928494" cy="56188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9267823" y="3667125"/>
          <a:ext cx="2928494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Todas las marcas, logotipos y cualquier otro material</a:t>
          </a:r>
        </a:p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gráfico relacionado con FIFA World Cup Qatar 2022</a:t>
          </a:r>
        </a:p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es propiedad exclusiva de sus respectivos dueños.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409573</xdr:colOff>
      <xdr:row>2</xdr:row>
      <xdr:rowOff>38100</xdr:rowOff>
    </xdr:from>
    <xdr:ext cx="2880000" cy="237821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 txBox="1"/>
      </xdr:nvSpPr>
      <xdr:spPr>
        <a:xfrm>
          <a:off x="9267823" y="419100"/>
          <a:ext cx="2880000" cy="2378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>
              <a:solidFill>
                <a:schemeClr val="bg1"/>
              </a:solidFill>
            </a:rPr>
            <a:t>Esta publicación contiene material protegido y su distribución es gratuita.</a:t>
          </a:r>
        </a:p>
        <a:p>
          <a:endParaRPr lang="es-ES" sz="700">
            <a:solidFill>
              <a:schemeClr val="bg1"/>
            </a:solidFill>
          </a:endParaRPr>
        </a:p>
        <a:p>
          <a:r>
            <a:rPr lang="es-ES" sz="1100">
              <a:solidFill>
                <a:schemeClr val="bg1"/>
              </a:solidFill>
            </a:rPr>
            <a:t>Queda expresamente prohibida su venta, alquiler y todo otro tipo de comercialización bajo ninguna circunstancia.</a:t>
          </a:r>
        </a:p>
        <a:p>
          <a:endParaRPr lang="es-ES" sz="700">
            <a:solidFill>
              <a:schemeClr val="bg1"/>
            </a:solidFill>
          </a:endParaRPr>
        </a:p>
        <a:p>
          <a:r>
            <a:rPr lang="es-ES" sz="1100">
              <a:solidFill>
                <a:schemeClr val="bg1"/>
              </a:solidFill>
            </a:rPr>
            <a:t>El uso no autorizado de este documento o del material que en él se presenta, puede dar lugar a una reclamación por daños y perjuicios y/o a cualquier otra acción legal que Clases Excel estime conveniente para asegurar la defensa de sus derechos.</a:t>
          </a:r>
        </a:p>
        <a:p>
          <a:r>
            <a:rPr lang="es-ES" sz="1100">
              <a:solidFill>
                <a:schemeClr val="bg1"/>
              </a:solidFill>
            </a:rPr>
            <a:t>............................................................................</a:t>
          </a:r>
        </a:p>
      </xdr:txBody>
    </xdr:sp>
    <xdr:clientData/>
  </xdr:oneCellAnchor>
  <xdr:twoCellAnchor>
    <xdr:from>
      <xdr:col>13</xdr:col>
      <xdr:colOff>647699</xdr:colOff>
      <xdr:row>12</xdr:row>
      <xdr:rowOff>47625</xdr:rowOff>
    </xdr:from>
    <xdr:to>
      <xdr:col>16</xdr:col>
      <xdr:colOff>238125</xdr:colOff>
      <xdr:row>13</xdr:row>
      <xdr:rowOff>161925</xdr:rowOff>
    </xdr:to>
    <xdr:sp macro="" textlink="">
      <xdr:nvSpPr>
        <xdr:cNvPr id="27" name="8 Rectángul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/>
      </xdr:nvSpPr>
      <xdr:spPr>
        <a:xfrm>
          <a:off x="10267949" y="2333625"/>
          <a:ext cx="1876426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 u="sng">
              <a:solidFill>
                <a:srgbClr val="FEB811"/>
              </a:solidFill>
            </a:rPr>
            <a:t>Términos y condiciones</a:t>
          </a:r>
        </a:p>
      </xdr:txBody>
    </xdr:sp>
    <xdr:clientData/>
  </xdr:twoCellAnchor>
  <xdr:twoCellAnchor>
    <xdr:from>
      <xdr:col>5</xdr:col>
      <xdr:colOff>337245</xdr:colOff>
      <xdr:row>9</xdr:row>
      <xdr:rowOff>142625</xdr:rowOff>
    </xdr:from>
    <xdr:to>
      <xdr:col>9</xdr:col>
      <xdr:colOff>603946</xdr:colOff>
      <xdr:row>11</xdr:row>
      <xdr:rowOff>42425</xdr:rowOff>
    </xdr:to>
    <xdr:sp macro="" textlink="">
      <xdr:nvSpPr>
        <xdr:cNvPr id="23" name="3 Rectángul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/>
      </xdr:nvSpPr>
      <xdr:spPr>
        <a:xfrm>
          <a:off x="4147245" y="1857125"/>
          <a:ext cx="3028951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Contacto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b="0" i="0" u="sng">
              <a:solidFill>
                <a:srgbClr val="8F1737"/>
              </a:solidFill>
              <a:effectLst/>
              <a:latin typeface="+mn-lt"/>
              <a:ea typeface="+mn-ea"/>
              <a:cs typeface="+mn-cs"/>
            </a:rPr>
            <a:t>https://clasesexcel.com/contacto/</a:t>
          </a:r>
          <a:endParaRPr lang="es-ES" sz="1200" u="sng">
            <a:solidFill>
              <a:srgbClr val="8F1737"/>
            </a:solidFill>
          </a:endParaRPr>
        </a:p>
      </xdr:txBody>
    </xdr:sp>
    <xdr:clientData/>
  </xdr:twoCellAnchor>
  <xdr:twoCellAnchor>
    <xdr:from>
      <xdr:col>5</xdr:col>
      <xdr:colOff>337245</xdr:colOff>
      <xdr:row>11</xdr:row>
      <xdr:rowOff>14210</xdr:rowOff>
    </xdr:from>
    <xdr:to>
      <xdr:col>8</xdr:col>
      <xdr:colOff>640995</xdr:colOff>
      <xdr:row>12</xdr:row>
      <xdr:rowOff>104510</xdr:rowOff>
    </xdr:to>
    <xdr:sp macro="" textlink="">
      <xdr:nvSpPr>
        <xdr:cNvPr id="24" name="3 Rectángul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/>
      </xdr:nvSpPr>
      <xdr:spPr>
        <a:xfrm>
          <a:off x="4147245" y="2109710"/>
          <a:ext cx="2304000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Email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u="sng">
              <a:solidFill>
                <a:srgbClr val="8F1737"/>
              </a:solidFill>
            </a:rPr>
            <a:t>info@clasesexcel.com</a:t>
          </a:r>
        </a:p>
      </xdr:txBody>
    </xdr:sp>
    <xdr:clientData/>
  </xdr:twoCellAnchor>
  <xdr:oneCellAnchor>
    <xdr:from>
      <xdr:col>5</xdr:col>
      <xdr:colOff>337245</xdr:colOff>
      <xdr:row>13</xdr:row>
      <xdr:rowOff>137786</xdr:rowOff>
    </xdr:from>
    <xdr:ext cx="2439899" cy="452432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4147245" y="2614286"/>
          <a:ext cx="2439899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200" b="1"/>
            <a:t>Diseño</a:t>
          </a:r>
          <a:r>
            <a:rPr lang="es-ES" sz="1200"/>
            <a:t>: Ariel Martínez Romano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</a:t>
          </a:r>
        </a:p>
        <a:p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Clases Excel© </a:t>
          </a:r>
          <a:endParaRPr lang="es-ES" sz="1200"/>
        </a:p>
      </xdr:txBody>
    </xdr:sp>
    <xdr:clientData/>
  </xdr:oneCellAnchor>
  <xdr:oneCellAnchor>
    <xdr:from>
      <xdr:col>5</xdr:col>
      <xdr:colOff>337245</xdr:colOff>
      <xdr:row>12</xdr:row>
      <xdr:rowOff>76295</xdr:rowOff>
    </xdr:from>
    <xdr:ext cx="2317750" cy="28020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4147245" y="2362295"/>
          <a:ext cx="23177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s-ES" sz="1200" b="1"/>
            <a:t>Primera edición</a:t>
          </a:r>
          <a:r>
            <a:rPr lang="es-ES" sz="1200"/>
            <a:t>:</a:t>
          </a:r>
          <a:r>
            <a:rPr lang="es-ES" sz="1200" baseline="0"/>
            <a:t> Octubre de 2022</a:t>
          </a:r>
          <a:endParaRPr lang="es-ES" sz="1200"/>
        </a:p>
      </xdr:txBody>
    </xdr:sp>
    <xdr:clientData/>
  </xdr:oneCellAnchor>
  <xdr:oneCellAnchor>
    <xdr:from>
      <xdr:col>1</xdr:col>
      <xdr:colOff>85725</xdr:colOff>
      <xdr:row>21</xdr:row>
      <xdr:rowOff>161925</xdr:rowOff>
    </xdr:from>
    <xdr:ext cx="2564228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2D3668B5-90AB-42DF-86F3-E83318216819}"/>
            </a:ext>
          </a:extLst>
        </xdr:cNvPr>
        <xdr:cNvSpPr txBox="1"/>
      </xdr:nvSpPr>
      <xdr:spPr>
        <a:xfrm>
          <a:off x="847725" y="4162425"/>
          <a:ext cx="2564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20 noviembre al 18 de diciembre de 2022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333375</xdr:colOff>
      <xdr:row>6</xdr:row>
      <xdr:rowOff>123825</xdr:rowOff>
    </xdr:from>
    <xdr:ext cx="3209853" cy="37407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F09E1F7-9495-3705-81D9-5479C9553272}"/>
            </a:ext>
          </a:extLst>
        </xdr:cNvPr>
        <xdr:cNvSpPr txBox="1"/>
      </xdr:nvSpPr>
      <xdr:spPr>
        <a:xfrm>
          <a:off x="4143375" y="1266825"/>
          <a:ext cx="3209853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UY" sz="900" baseline="0"/>
            <a:t>Un reconocimiento especial a Víctor Gordillo, por sus constantes</a:t>
          </a:r>
        </a:p>
        <a:p>
          <a:r>
            <a:rPr lang="es-UY" sz="900" baseline="0"/>
            <a:t>sugerencias y aportes para la mejora del fixture.</a:t>
          </a:r>
          <a:endParaRPr lang="es-UY" sz="9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1</xdr:col>
      <xdr:colOff>325050</xdr:colOff>
      <xdr:row>2</xdr:row>
      <xdr:rowOff>10725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2952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1</xdr:col>
      <xdr:colOff>325050</xdr:colOff>
      <xdr:row>3</xdr:row>
      <xdr:rowOff>10725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5905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</xdr:row>
      <xdr:rowOff>0</xdr:rowOff>
    </xdr:from>
    <xdr:to>
      <xdr:col>1</xdr:col>
      <xdr:colOff>325050</xdr:colOff>
      <xdr:row>4</xdr:row>
      <xdr:rowOff>10725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858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4</xdr:row>
      <xdr:rowOff>0</xdr:rowOff>
    </xdr:from>
    <xdr:to>
      <xdr:col>1</xdr:col>
      <xdr:colOff>325050</xdr:colOff>
      <xdr:row>5</xdr:row>
      <xdr:rowOff>10725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11811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5</xdr:row>
      <xdr:rowOff>0</xdr:rowOff>
    </xdr:from>
    <xdr:to>
      <xdr:col>1</xdr:col>
      <xdr:colOff>325050</xdr:colOff>
      <xdr:row>6</xdr:row>
      <xdr:rowOff>10725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14763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6</xdr:row>
      <xdr:rowOff>0</xdr:rowOff>
    </xdr:from>
    <xdr:to>
      <xdr:col>1</xdr:col>
      <xdr:colOff>325050</xdr:colOff>
      <xdr:row>7</xdr:row>
      <xdr:rowOff>10725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17716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7</xdr:row>
      <xdr:rowOff>0</xdr:rowOff>
    </xdr:from>
    <xdr:to>
      <xdr:col>1</xdr:col>
      <xdr:colOff>325050</xdr:colOff>
      <xdr:row>8</xdr:row>
      <xdr:rowOff>10725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0669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8</xdr:row>
      <xdr:rowOff>0</xdr:rowOff>
    </xdr:from>
    <xdr:to>
      <xdr:col>1</xdr:col>
      <xdr:colOff>325050</xdr:colOff>
      <xdr:row>9</xdr:row>
      <xdr:rowOff>10725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3622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9</xdr:row>
      <xdr:rowOff>0</xdr:rowOff>
    </xdr:from>
    <xdr:to>
      <xdr:col>1</xdr:col>
      <xdr:colOff>325050</xdr:colOff>
      <xdr:row>10</xdr:row>
      <xdr:rowOff>10725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6574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10</xdr:row>
      <xdr:rowOff>0</xdr:rowOff>
    </xdr:from>
    <xdr:to>
      <xdr:col>1</xdr:col>
      <xdr:colOff>325050</xdr:colOff>
      <xdr:row>11</xdr:row>
      <xdr:rowOff>10725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9527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11</xdr:row>
      <xdr:rowOff>0</xdr:rowOff>
    </xdr:from>
    <xdr:to>
      <xdr:col>1</xdr:col>
      <xdr:colOff>325050</xdr:colOff>
      <xdr:row>12</xdr:row>
      <xdr:rowOff>10725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2480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12</xdr:row>
      <xdr:rowOff>0</xdr:rowOff>
    </xdr:from>
    <xdr:to>
      <xdr:col>1</xdr:col>
      <xdr:colOff>325050</xdr:colOff>
      <xdr:row>13</xdr:row>
      <xdr:rowOff>10725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5433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13</xdr:row>
      <xdr:rowOff>0</xdr:rowOff>
    </xdr:from>
    <xdr:to>
      <xdr:col>1</xdr:col>
      <xdr:colOff>325050</xdr:colOff>
      <xdr:row>14</xdr:row>
      <xdr:rowOff>10725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8385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14</xdr:row>
      <xdr:rowOff>0</xdr:rowOff>
    </xdr:from>
    <xdr:to>
      <xdr:col>1</xdr:col>
      <xdr:colOff>325050</xdr:colOff>
      <xdr:row>15</xdr:row>
      <xdr:rowOff>10725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1338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15</xdr:row>
      <xdr:rowOff>0</xdr:rowOff>
    </xdr:from>
    <xdr:to>
      <xdr:col>1</xdr:col>
      <xdr:colOff>325050</xdr:colOff>
      <xdr:row>16</xdr:row>
      <xdr:rowOff>10725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4291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16</xdr:row>
      <xdr:rowOff>0</xdr:rowOff>
    </xdr:from>
    <xdr:to>
      <xdr:col>1</xdr:col>
      <xdr:colOff>325050</xdr:colOff>
      <xdr:row>17</xdr:row>
      <xdr:rowOff>10725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7244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17</xdr:row>
      <xdr:rowOff>0</xdr:rowOff>
    </xdr:from>
    <xdr:to>
      <xdr:col>1</xdr:col>
      <xdr:colOff>325050</xdr:colOff>
      <xdr:row>18</xdr:row>
      <xdr:rowOff>10725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0196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18</xdr:row>
      <xdr:rowOff>0</xdr:rowOff>
    </xdr:from>
    <xdr:to>
      <xdr:col>1</xdr:col>
      <xdr:colOff>325050</xdr:colOff>
      <xdr:row>19</xdr:row>
      <xdr:rowOff>10725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3149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19</xdr:row>
      <xdr:rowOff>0</xdr:rowOff>
    </xdr:from>
    <xdr:to>
      <xdr:col>1</xdr:col>
      <xdr:colOff>325050</xdr:colOff>
      <xdr:row>20</xdr:row>
      <xdr:rowOff>10725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6102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20</xdr:row>
      <xdr:rowOff>0</xdr:rowOff>
    </xdr:from>
    <xdr:to>
      <xdr:col>1</xdr:col>
      <xdr:colOff>325050</xdr:colOff>
      <xdr:row>21</xdr:row>
      <xdr:rowOff>10725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9055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21</xdr:row>
      <xdr:rowOff>0</xdr:rowOff>
    </xdr:from>
    <xdr:to>
      <xdr:col>1</xdr:col>
      <xdr:colOff>325050</xdr:colOff>
      <xdr:row>22</xdr:row>
      <xdr:rowOff>10725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2007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22</xdr:row>
      <xdr:rowOff>0</xdr:rowOff>
    </xdr:from>
    <xdr:to>
      <xdr:col>1</xdr:col>
      <xdr:colOff>325050</xdr:colOff>
      <xdr:row>23</xdr:row>
      <xdr:rowOff>10725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4960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23</xdr:row>
      <xdr:rowOff>0</xdr:rowOff>
    </xdr:from>
    <xdr:to>
      <xdr:col>1</xdr:col>
      <xdr:colOff>325050</xdr:colOff>
      <xdr:row>24</xdr:row>
      <xdr:rowOff>10725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7913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24</xdr:row>
      <xdr:rowOff>0</xdr:rowOff>
    </xdr:from>
    <xdr:to>
      <xdr:col>1</xdr:col>
      <xdr:colOff>325050</xdr:colOff>
      <xdr:row>25</xdr:row>
      <xdr:rowOff>10725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0866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25</xdr:row>
      <xdr:rowOff>0</xdr:rowOff>
    </xdr:from>
    <xdr:to>
      <xdr:col>1</xdr:col>
      <xdr:colOff>325050</xdr:colOff>
      <xdr:row>26</xdr:row>
      <xdr:rowOff>10725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3818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26</xdr:row>
      <xdr:rowOff>0</xdr:rowOff>
    </xdr:from>
    <xdr:to>
      <xdr:col>1</xdr:col>
      <xdr:colOff>325050</xdr:colOff>
      <xdr:row>27</xdr:row>
      <xdr:rowOff>10725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6771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27</xdr:row>
      <xdr:rowOff>0</xdr:rowOff>
    </xdr:from>
    <xdr:to>
      <xdr:col>1</xdr:col>
      <xdr:colOff>325050</xdr:colOff>
      <xdr:row>28</xdr:row>
      <xdr:rowOff>10725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9724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28</xdr:row>
      <xdr:rowOff>0</xdr:rowOff>
    </xdr:from>
    <xdr:to>
      <xdr:col>1</xdr:col>
      <xdr:colOff>325050</xdr:colOff>
      <xdr:row>29</xdr:row>
      <xdr:rowOff>10725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82677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29</xdr:row>
      <xdr:rowOff>0</xdr:rowOff>
    </xdr:from>
    <xdr:to>
      <xdr:col>1</xdr:col>
      <xdr:colOff>325050</xdr:colOff>
      <xdr:row>30</xdr:row>
      <xdr:rowOff>10725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5629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30</xdr:row>
      <xdr:rowOff>0</xdr:rowOff>
    </xdr:from>
    <xdr:to>
      <xdr:col>1</xdr:col>
      <xdr:colOff>325050</xdr:colOff>
      <xdr:row>31</xdr:row>
      <xdr:rowOff>10725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8582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31</xdr:row>
      <xdr:rowOff>0</xdr:rowOff>
    </xdr:from>
    <xdr:to>
      <xdr:col>1</xdr:col>
      <xdr:colOff>325050</xdr:colOff>
      <xdr:row>32</xdr:row>
      <xdr:rowOff>10725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91535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325050</xdr:colOff>
      <xdr:row>1</xdr:row>
      <xdr:rowOff>10725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48151</xdr:colOff>
      <xdr:row>18</xdr:row>
      <xdr:rowOff>19680</xdr:rowOff>
    </xdr:from>
    <xdr:to>
      <xdr:col>5</xdr:col>
      <xdr:colOff>385536</xdr:colOff>
      <xdr:row>22</xdr:row>
      <xdr:rowOff>34680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06209" y="2606084"/>
          <a:ext cx="396000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6</xdr:row>
      <xdr:rowOff>2448</xdr:rowOff>
    </xdr:from>
    <xdr:to>
      <xdr:col>5</xdr:col>
      <xdr:colOff>371518</xdr:colOff>
      <xdr:row>10</xdr:row>
      <xdr:rowOff>29073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1488348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11518</xdr:colOff>
      <xdr:row>14</xdr:row>
      <xdr:rowOff>25168</xdr:rowOff>
    </xdr:from>
    <xdr:to>
      <xdr:col>5</xdr:col>
      <xdr:colOff>371518</xdr:colOff>
      <xdr:row>18</xdr:row>
      <xdr:rowOff>4168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2225443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22</xdr:row>
      <xdr:rowOff>37033</xdr:rowOff>
    </xdr:from>
    <xdr:to>
      <xdr:col>14</xdr:col>
      <xdr:colOff>22961</xdr:colOff>
      <xdr:row>26</xdr:row>
      <xdr:rowOff>16033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999308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10</xdr:row>
      <xdr:rowOff>42383</xdr:rowOff>
    </xdr:from>
    <xdr:to>
      <xdr:col>5</xdr:col>
      <xdr:colOff>371518</xdr:colOff>
      <xdr:row>14</xdr:row>
      <xdr:rowOff>21383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8191" y="1866787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14</xdr:row>
      <xdr:rowOff>41397</xdr:rowOff>
    </xdr:from>
    <xdr:to>
      <xdr:col>14</xdr:col>
      <xdr:colOff>22961</xdr:colOff>
      <xdr:row>18</xdr:row>
      <xdr:rowOff>20397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241672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26</xdr:row>
      <xdr:rowOff>34852</xdr:rowOff>
    </xdr:from>
    <xdr:to>
      <xdr:col>14</xdr:col>
      <xdr:colOff>22961</xdr:colOff>
      <xdr:row>30</xdr:row>
      <xdr:rowOff>13852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3378127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6</xdr:row>
      <xdr:rowOff>11973</xdr:rowOff>
    </xdr:from>
    <xdr:to>
      <xdr:col>14</xdr:col>
      <xdr:colOff>22961</xdr:colOff>
      <xdr:row>10</xdr:row>
      <xdr:rowOff>34934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1497873"/>
          <a:ext cx="362198" cy="35633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18</xdr:row>
      <xdr:rowOff>39215</xdr:rowOff>
    </xdr:from>
    <xdr:to>
      <xdr:col>14</xdr:col>
      <xdr:colOff>22961</xdr:colOff>
      <xdr:row>22</xdr:row>
      <xdr:rowOff>18215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620490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48152</xdr:colOff>
      <xdr:row>26</xdr:row>
      <xdr:rowOff>16852</xdr:rowOff>
    </xdr:from>
    <xdr:to>
      <xdr:col>5</xdr:col>
      <xdr:colOff>385537</xdr:colOff>
      <xdr:row>30</xdr:row>
      <xdr:rowOff>31852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05477" y="3360127"/>
          <a:ext cx="394535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1019907</xdr:colOff>
      <xdr:row>10</xdr:row>
      <xdr:rowOff>46526</xdr:rowOff>
    </xdr:from>
    <xdr:to>
      <xdr:col>14</xdr:col>
      <xdr:colOff>36980</xdr:colOff>
      <xdr:row>14</xdr:row>
      <xdr:rowOff>61526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0432" y="1865801"/>
          <a:ext cx="398198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22</xdr:row>
      <xdr:rowOff>26738</xdr:rowOff>
    </xdr:from>
    <xdr:to>
      <xdr:col>5</xdr:col>
      <xdr:colOff>371518</xdr:colOff>
      <xdr:row>26</xdr:row>
      <xdr:rowOff>5738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2989013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49050</xdr:colOff>
      <xdr:row>3</xdr:row>
      <xdr:rowOff>1</xdr:rowOff>
    </xdr:to>
    <xdr:sp macro="" textlink="">
      <xdr:nvSpPr>
        <xdr:cNvPr id="15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97180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chemeClr val="bg1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1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43333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17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1185245</xdr:colOff>
      <xdr:row>3</xdr:row>
      <xdr:rowOff>1</xdr:rowOff>
    </xdr:to>
    <xdr:sp macro="" textlink="">
      <xdr:nvSpPr>
        <xdr:cNvPr id="18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61282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19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20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8715373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21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22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27" name="CuadroTexto 2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72075C8-530F-F533-84B7-DDDA96795B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7133A8-CC80-4350-8DB7-4F6615B036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209550</xdr:colOff>
      <xdr:row>0</xdr:row>
      <xdr:rowOff>95250</xdr:rowOff>
    </xdr:from>
    <xdr:to>
      <xdr:col>41</xdr:col>
      <xdr:colOff>13833</xdr:colOff>
      <xdr:row>1</xdr:row>
      <xdr:rowOff>94890</xdr:rowOff>
    </xdr:to>
    <xdr:pic>
      <xdr:nvPicPr>
        <xdr:cNvPr id="23" name="Imagen 2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F6DFE02-E346-4A57-8AF7-D22C0CEF8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6325" y="95250"/>
          <a:ext cx="1347333" cy="237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6</xdr:row>
      <xdr:rowOff>0</xdr:rowOff>
    </xdr:from>
    <xdr:to>
      <xdr:col>5</xdr:col>
      <xdr:colOff>369525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400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47625</xdr:rowOff>
    </xdr:from>
    <xdr:to>
      <xdr:col>5</xdr:col>
      <xdr:colOff>360000</xdr:colOff>
      <xdr:row>18</xdr:row>
      <xdr:rowOff>26625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7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22</xdr:row>
      <xdr:rowOff>47625</xdr:rowOff>
    </xdr:from>
    <xdr:to>
      <xdr:col>14</xdr:col>
      <xdr:colOff>7575</xdr:colOff>
      <xdr:row>26</xdr:row>
      <xdr:rowOff>26625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009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47625</xdr:rowOff>
    </xdr:from>
    <xdr:to>
      <xdr:col>5</xdr:col>
      <xdr:colOff>360000</xdr:colOff>
      <xdr:row>14</xdr:row>
      <xdr:rowOff>26625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6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14</xdr:row>
      <xdr:rowOff>47625</xdr:rowOff>
    </xdr:from>
    <xdr:to>
      <xdr:col>14</xdr:col>
      <xdr:colOff>7575</xdr:colOff>
      <xdr:row>18</xdr:row>
      <xdr:rowOff>26625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247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26</xdr:row>
      <xdr:rowOff>28575</xdr:rowOff>
    </xdr:from>
    <xdr:to>
      <xdr:col>14</xdr:col>
      <xdr:colOff>7575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6</xdr:row>
      <xdr:rowOff>0</xdr:rowOff>
    </xdr:from>
    <xdr:to>
      <xdr:col>14</xdr:col>
      <xdr:colOff>7575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18</xdr:row>
      <xdr:rowOff>47625</xdr:rowOff>
    </xdr:from>
    <xdr:to>
      <xdr:col>14</xdr:col>
      <xdr:colOff>7575</xdr:colOff>
      <xdr:row>22</xdr:row>
      <xdr:rowOff>26625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628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10</xdr:row>
      <xdr:rowOff>38100</xdr:rowOff>
    </xdr:from>
    <xdr:to>
      <xdr:col>14</xdr:col>
      <xdr:colOff>7575</xdr:colOff>
      <xdr:row>14</xdr:row>
      <xdr:rowOff>17100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47625</xdr:rowOff>
    </xdr:from>
    <xdr:to>
      <xdr:col>5</xdr:col>
      <xdr:colOff>360000</xdr:colOff>
      <xdr:row>26</xdr:row>
      <xdr:rowOff>26625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9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47625</xdr:rowOff>
    </xdr:from>
    <xdr:to>
      <xdr:col>5</xdr:col>
      <xdr:colOff>360000</xdr:colOff>
      <xdr:row>22</xdr:row>
      <xdr:rowOff>26625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28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778C68F-8128-43B2-9E86-DC89AF6091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49050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A3F8992-F6DC-4938-9528-76D0A0E5CA4A}"/>
            </a:ext>
          </a:extLst>
        </xdr:cNvPr>
        <xdr:cNvSpPr/>
      </xdr:nvSpPr>
      <xdr:spPr>
        <a:xfrm>
          <a:off x="2971800" y="619126"/>
          <a:ext cx="792000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24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F820C60-602F-4BFB-AE8B-248D1F040F03}"/>
            </a:ext>
          </a:extLst>
        </xdr:cNvPr>
        <xdr:cNvSpPr/>
      </xdr:nvSpPr>
      <xdr:spPr>
        <a:xfrm>
          <a:off x="543333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26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606366-18C4-40B9-B96F-4424542751F3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1185245</xdr:colOff>
      <xdr:row>3</xdr:row>
      <xdr:rowOff>1</xdr:rowOff>
    </xdr:to>
    <xdr:sp macro="" textlink="">
      <xdr:nvSpPr>
        <xdr:cNvPr id="27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32C769-F30A-4CEF-8DE9-A2D446F502C7}"/>
            </a:ext>
          </a:extLst>
        </xdr:cNvPr>
        <xdr:cNvSpPr/>
      </xdr:nvSpPr>
      <xdr:spPr>
        <a:xfrm>
          <a:off x="461282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29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E85A25A-51A0-49BA-9C5D-A899848EC68A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0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283BD22-5EE1-49E1-B1FE-01EC46F03B1E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1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1A86412-FF4E-4986-99A5-101D8BEBEDBC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2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240D9D8-171B-4A47-8E6E-F3F02043B256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38101</xdr:rowOff>
    </xdr:from>
    <xdr:to>
      <xdr:col>13</xdr:col>
      <xdr:colOff>247650</xdr:colOff>
      <xdr:row>1</xdr:row>
      <xdr:rowOff>361951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69F459D3-570C-4A88-92E2-B0DB89521F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2857"/>
        <a:stretch/>
      </xdr:blipFill>
      <xdr:spPr bwMode="auto">
        <a:xfrm>
          <a:off x="2895600" y="276226"/>
          <a:ext cx="15716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19050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7D79D9B-BA4A-4D26-B98F-342C9AF65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3025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7" name="CuadroTexto 1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0BCB9B8-2561-44EF-BEE1-3E86087BF858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360000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40005</xdr:rowOff>
    </xdr:from>
    <xdr:to>
      <xdr:col>5</xdr:col>
      <xdr:colOff>360000</xdr:colOff>
      <xdr:row>18</xdr:row>
      <xdr:rowOff>19005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32385</xdr:rowOff>
    </xdr:from>
    <xdr:to>
      <xdr:col>14</xdr:col>
      <xdr:colOff>17100</xdr:colOff>
      <xdr:row>26</xdr:row>
      <xdr:rowOff>11385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43815</xdr:rowOff>
    </xdr:from>
    <xdr:to>
      <xdr:col>5</xdr:col>
      <xdr:colOff>360000</xdr:colOff>
      <xdr:row>14</xdr:row>
      <xdr:rowOff>22815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40005</xdr:rowOff>
    </xdr:from>
    <xdr:to>
      <xdr:col>14</xdr:col>
      <xdr:colOff>17100</xdr:colOff>
      <xdr:row>18</xdr:row>
      <xdr:rowOff>19005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28575</xdr:rowOff>
    </xdr:from>
    <xdr:to>
      <xdr:col>14</xdr:col>
      <xdr:colOff>17100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36195</xdr:rowOff>
    </xdr:from>
    <xdr:to>
      <xdr:col>14</xdr:col>
      <xdr:colOff>17100</xdr:colOff>
      <xdr:row>22</xdr:row>
      <xdr:rowOff>15195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43815</xdr:rowOff>
    </xdr:from>
    <xdr:to>
      <xdr:col>14</xdr:col>
      <xdr:colOff>17100</xdr:colOff>
      <xdr:row>14</xdr:row>
      <xdr:rowOff>22815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32385</xdr:rowOff>
    </xdr:from>
    <xdr:to>
      <xdr:col>5</xdr:col>
      <xdr:colOff>360000</xdr:colOff>
      <xdr:row>26</xdr:row>
      <xdr:rowOff>11385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36195</xdr:rowOff>
    </xdr:from>
    <xdr:to>
      <xdr:col>5</xdr:col>
      <xdr:colOff>360000</xdr:colOff>
      <xdr:row>22</xdr:row>
      <xdr:rowOff>15195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FC8FBA5-E60C-4B8E-A990-20D6C2A857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CBD5DD-D653-43E7-B3B3-1B19B38D08FC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0935B6-92B9-416B-9F6E-0DA8CD86BDFB}"/>
            </a:ext>
          </a:extLst>
        </xdr:cNvPr>
        <xdr:cNvSpPr/>
      </xdr:nvSpPr>
      <xdr:spPr>
        <a:xfrm>
          <a:off x="5429250" y="619126"/>
          <a:ext cx="79608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C09B8A-9E6D-467D-BA62-8B5698EFB3FB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CED9D09-DDDD-4FE5-8F0B-CBCF2CAA9326}"/>
            </a:ext>
          </a:extLst>
        </xdr:cNvPr>
        <xdr:cNvSpPr/>
      </xdr:nvSpPr>
      <xdr:spPr>
        <a:xfrm>
          <a:off x="4612820" y="619126"/>
          <a:ext cx="787855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E3C8899-B535-417B-8D37-886ACE22856F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7475A6-12C2-4009-968C-AB729C2E7A6C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91533EC-520A-4A4B-BAAB-833C8AF1ADC0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49E5970-A5B0-4BA6-B70C-3B499ACE0735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38101</xdr:rowOff>
    </xdr:from>
    <xdr:to>
      <xdr:col>13</xdr:col>
      <xdr:colOff>247650</xdr:colOff>
      <xdr:row>1</xdr:row>
      <xdr:rowOff>361951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3D0281E-8663-48C1-9B19-A5A00E630C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2857"/>
        <a:stretch/>
      </xdr:blipFill>
      <xdr:spPr bwMode="auto">
        <a:xfrm>
          <a:off x="2895600" y="276226"/>
          <a:ext cx="15716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19050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38DECA4-A8C3-48C0-844E-1A756430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3025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5806F6A-8731-4008-B61C-223B15CEC62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360000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40005</xdr:rowOff>
    </xdr:from>
    <xdr:to>
      <xdr:col>5</xdr:col>
      <xdr:colOff>360000</xdr:colOff>
      <xdr:row>18</xdr:row>
      <xdr:rowOff>19005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32385</xdr:rowOff>
    </xdr:from>
    <xdr:to>
      <xdr:col>14</xdr:col>
      <xdr:colOff>17100</xdr:colOff>
      <xdr:row>26</xdr:row>
      <xdr:rowOff>11385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43815</xdr:rowOff>
    </xdr:from>
    <xdr:to>
      <xdr:col>5</xdr:col>
      <xdr:colOff>360000</xdr:colOff>
      <xdr:row>14</xdr:row>
      <xdr:rowOff>22815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40005</xdr:rowOff>
    </xdr:from>
    <xdr:to>
      <xdr:col>14</xdr:col>
      <xdr:colOff>17100</xdr:colOff>
      <xdr:row>18</xdr:row>
      <xdr:rowOff>19005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28575</xdr:rowOff>
    </xdr:from>
    <xdr:to>
      <xdr:col>14</xdr:col>
      <xdr:colOff>17100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36195</xdr:rowOff>
    </xdr:from>
    <xdr:to>
      <xdr:col>14</xdr:col>
      <xdr:colOff>17100</xdr:colOff>
      <xdr:row>22</xdr:row>
      <xdr:rowOff>15195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43815</xdr:rowOff>
    </xdr:from>
    <xdr:to>
      <xdr:col>14</xdr:col>
      <xdr:colOff>17100</xdr:colOff>
      <xdr:row>14</xdr:row>
      <xdr:rowOff>22815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32385</xdr:rowOff>
    </xdr:from>
    <xdr:to>
      <xdr:col>5</xdr:col>
      <xdr:colOff>360000</xdr:colOff>
      <xdr:row>26</xdr:row>
      <xdr:rowOff>11385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36195</xdr:rowOff>
    </xdr:from>
    <xdr:to>
      <xdr:col>5</xdr:col>
      <xdr:colOff>360000</xdr:colOff>
      <xdr:row>22</xdr:row>
      <xdr:rowOff>15195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97BB2F6-6A87-4BD7-8C37-6E42E8CDE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BDB8B7-31CA-40BB-957E-F610CB90254F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AB05AE-1779-48B8-BB1C-86D76FDE7883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9E2BCD-8E8C-44BE-B97C-BCC61CFAA14D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861D200-8215-46BF-936F-8591FE3CB2D2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4E7DEAE-C8A4-4268-87A5-10B01727FAF5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FA28DDD-300A-47B4-A517-240556FF9689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82C1AB0-DFF6-4911-B5E1-8EBE41D8A663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BF168EE-7A70-4E3B-8FF4-C26A8CCCC791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42E2F27B-60AB-4635-9D9B-4A43B1555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8F1DF1B-697B-4A75-8EA2-A0F682819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76D102E-1741-45BB-9B17-06BE40A1C925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1D8F293-AE47-4413-9691-633F6062C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381000</xdr:rowOff>
    </xdr:from>
    <xdr:to>
      <xdr:col>10</xdr:col>
      <xdr:colOff>47625</xdr:colOff>
      <xdr:row>3</xdr:row>
      <xdr:rowOff>0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E4A5C77-B37B-46D3-B2B5-FB565642713F}"/>
            </a:ext>
          </a:extLst>
        </xdr:cNvPr>
        <xdr:cNvSpPr/>
      </xdr:nvSpPr>
      <xdr:spPr>
        <a:xfrm>
          <a:off x="2971800" y="619125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381000</xdr:rowOff>
    </xdr:from>
    <xdr:to>
      <xdr:col>15</xdr:col>
      <xdr:colOff>567480</xdr:colOff>
      <xdr:row>3</xdr:row>
      <xdr:rowOff>0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C19393-503A-404C-988F-5C981C8E988A}"/>
            </a:ext>
          </a:extLst>
        </xdr:cNvPr>
        <xdr:cNvSpPr/>
      </xdr:nvSpPr>
      <xdr:spPr>
        <a:xfrm>
          <a:off x="543333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381000</xdr:rowOff>
    </xdr:from>
    <xdr:to>
      <xdr:col>13</xdr:col>
      <xdr:colOff>361950</xdr:colOff>
      <xdr:row>3</xdr:row>
      <xdr:rowOff>0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1BFF7A8-D043-49D8-9511-902426A1B6E5}"/>
            </a:ext>
          </a:extLst>
        </xdr:cNvPr>
        <xdr:cNvSpPr/>
      </xdr:nvSpPr>
      <xdr:spPr>
        <a:xfrm>
          <a:off x="3790950" y="619125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381000</xdr:rowOff>
    </xdr:from>
    <xdr:to>
      <xdr:col>13</xdr:col>
      <xdr:colOff>1185245</xdr:colOff>
      <xdr:row>3</xdr:row>
      <xdr:rowOff>0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25FCA44-9922-4DC3-BD47-E4CAE272E0A9}"/>
            </a:ext>
          </a:extLst>
        </xdr:cNvPr>
        <xdr:cNvSpPr/>
      </xdr:nvSpPr>
      <xdr:spPr>
        <a:xfrm>
          <a:off x="4610100" y="619125"/>
          <a:ext cx="79472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381000</xdr:rowOff>
    </xdr:from>
    <xdr:to>
      <xdr:col>17</xdr:col>
      <xdr:colOff>225940</xdr:colOff>
      <xdr:row>3</xdr:row>
      <xdr:rowOff>0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356EBBC-A4ED-4505-A8DB-E56DFFD59753}"/>
            </a:ext>
          </a:extLst>
        </xdr:cNvPr>
        <xdr:cNvSpPr/>
      </xdr:nvSpPr>
      <xdr:spPr>
        <a:xfrm>
          <a:off x="6253840" y="619125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381000</xdr:rowOff>
    </xdr:from>
    <xdr:to>
      <xdr:col>25</xdr:col>
      <xdr:colOff>114300</xdr:colOff>
      <xdr:row>3</xdr:row>
      <xdr:rowOff>0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FC59805-E220-401F-90BD-496B23FC005B}"/>
            </a:ext>
          </a:extLst>
        </xdr:cNvPr>
        <xdr:cNvSpPr/>
      </xdr:nvSpPr>
      <xdr:spPr>
        <a:xfrm>
          <a:off x="8715373" y="619125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381000</xdr:rowOff>
    </xdr:from>
    <xdr:to>
      <xdr:col>17</xdr:col>
      <xdr:colOff>1046450</xdr:colOff>
      <xdr:row>3</xdr:row>
      <xdr:rowOff>0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F432E0D-CE2A-4875-B385-9CAD1509A0A6}"/>
            </a:ext>
          </a:extLst>
        </xdr:cNvPr>
        <xdr:cNvSpPr/>
      </xdr:nvSpPr>
      <xdr:spPr>
        <a:xfrm>
          <a:off x="707435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381000</xdr:rowOff>
    </xdr:from>
    <xdr:to>
      <xdr:col>22</xdr:col>
      <xdr:colOff>66735</xdr:colOff>
      <xdr:row>3</xdr:row>
      <xdr:rowOff>0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F51913-474B-4668-817C-A34BAA2812AA}"/>
            </a:ext>
          </a:extLst>
        </xdr:cNvPr>
        <xdr:cNvSpPr/>
      </xdr:nvSpPr>
      <xdr:spPr>
        <a:xfrm>
          <a:off x="789486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1491272-EF84-4C99-974C-B9CDF37BB0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105A2BC-B6C9-4432-830A-1F29DE6DD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3AA9388-B360-471F-82D8-DE03BCB67B6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B2EA220-220D-4482-8651-975BD753D8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F7F0A4-144B-46B9-B2B9-80A40C9A69FF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6C4B00-F67B-4C4A-8946-14F420593635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4B735D-2288-407D-9EE9-A6DDC7DD4DC9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FCDD4E-EADF-4BE9-95D0-65C29B652C63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4015ED7-07B3-4124-9C20-52544454DE45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DEC29DA-B761-43EC-B0AA-A9AC13EB47F9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A29887E-8AAB-4ACD-A7C3-78AE562BC6C5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9BD704-1B83-4C40-9451-D233EA1815E2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B0AC1C2-665B-4F78-8EF3-53398FB90F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6F0559-C609-42FE-8BF5-7E49D9741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8F0229E-0F66-4AF3-B760-78D7DBB33849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D642348E-CB56-4AFA-B36F-3354C40A08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399818-3D9C-42AC-8DDF-16E31F14AE0B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8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A03193-E638-4416-9BF7-A34424B6F8B7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B17A79-00DD-4017-AA63-5E97051CB941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6797258-C5E5-4B75-A2D5-9B81269CA187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5B5707C-14F4-4FE5-A0AB-E11DEFD0A139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54E1172-A9C1-4AAF-BCB2-61F92D44AA48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C91E05D-D8F3-4545-A976-818BCF9897D9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5DC3AD-B4BF-4674-8D27-70A2ECD74C2B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89E68FC4-21EE-40B2-ADB2-F86221A027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238807-08FA-4718-A629-03F8E3C22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B4D48A4-85DB-4A8F-9E52-9E8430E3B26D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22</xdr:row>
      <xdr:rowOff>40005</xdr:rowOff>
    </xdr:from>
    <xdr:to>
      <xdr:col>14</xdr:col>
      <xdr:colOff>7575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14</xdr:row>
      <xdr:rowOff>43815</xdr:rowOff>
    </xdr:from>
    <xdr:to>
      <xdr:col>14</xdr:col>
      <xdr:colOff>7575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26</xdr:row>
      <xdr:rowOff>38100</xdr:rowOff>
    </xdr:from>
    <xdr:to>
      <xdr:col>14</xdr:col>
      <xdr:colOff>7575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6</xdr:row>
      <xdr:rowOff>0</xdr:rowOff>
    </xdr:from>
    <xdr:to>
      <xdr:col>14</xdr:col>
      <xdr:colOff>7575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18</xdr:row>
      <xdr:rowOff>41910</xdr:rowOff>
    </xdr:from>
    <xdr:to>
      <xdr:col>14</xdr:col>
      <xdr:colOff>7575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10</xdr:row>
      <xdr:rowOff>45720</xdr:rowOff>
    </xdr:from>
    <xdr:to>
      <xdr:col>14</xdr:col>
      <xdr:colOff>7575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4073EA1-AA04-4513-ADD4-CC956BB10A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785005-47E8-4FC6-99CA-B602AE00C35D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1F075B9-70DE-4F77-891D-65962CD000BC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A9B1B7-EFF4-46C6-A500-E6FD8D6A001F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2F47790-9A76-4DFE-9900-113DED7BD7B2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F5D47AA-2B18-416E-990C-95508C6AAA32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9E4F6F1-5932-4054-BD38-2317F643A15A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31635D5-28F3-4D41-8EB3-5C1669AD0B49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3DBD733-1F5F-400A-8890-66FAFD513364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88B1676-D36A-4E08-9304-413132582B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98F12E1-7FAC-473A-BC27-302B05908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7954A23-DCF2-490E-AAFC-12D014361866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6"/>
  <dimension ref="XFD1:XFD24"/>
  <sheetViews>
    <sheetView showGridLines="0" showRowColHeaders="0" tabSelected="1" zoomScaleNormal="100" workbookViewId="0"/>
  </sheetViews>
  <sheetFormatPr baseColWidth="10" defaultRowHeight="15" x14ac:dyDescent="0.25"/>
  <cols>
    <col min="8" max="8" width="7.140625" customWidth="1"/>
    <col min="16384" max="16384" width="0" hidden="1" customWidth="1"/>
  </cols>
  <sheetData>
    <row r="1" spans="16384:16384" ht="20.100000000000001" customHeight="1" x14ac:dyDescent="0.25">
      <c r="XFD1">
        <f>tcp</f>
        <v>0</v>
      </c>
    </row>
    <row r="22" ht="11.25" customHeight="1" x14ac:dyDescent="0.25"/>
    <row r="24" ht="20.100000000000001" customHeight="1" x14ac:dyDescent="0.25"/>
  </sheetData>
  <sheetProtection algorithmName="SHA-512" hashValue="ouax6d2+ZGhySsLLbD4C0VaQAFTg8RkPty5zqJkFNyH2TMcJgqziDFYD6JDCX8t4411bzruzfHsfnkjhRtP/CA==" saltValue="9GCUIP+DXTAl0gi+1Lq7rA==" spinCount="100000" sheet="1" objects="1" scenarios="1"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R42"/>
  <sheetViews>
    <sheetView showGridLines="0" showRowColHeader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140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19.5703125" bestFit="1" customWidth="1"/>
  </cols>
  <sheetData>
    <row r="1" spans="2:18" ht="18.75" customHeight="1" x14ac:dyDescent="0.25"/>
    <row r="2" spans="2:18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2"/>
      <c r="P2" s="11"/>
      <c r="Q2" s="11"/>
    </row>
    <row r="4" spans="2:18" ht="15" customHeight="1" x14ac:dyDescent="0.25"/>
    <row r="5" spans="2:18" ht="15" customHeight="1" x14ac:dyDescent="0.25">
      <c r="B5" s="56" t="s">
        <v>71</v>
      </c>
    </row>
    <row r="6" spans="2:18" ht="18" customHeight="1" x14ac:dyDescent="0.25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25" t="s">
        <v>41</v>
      </c>
    </row>
    <row r="7" spans="2:18" ht="3.95" customHeight="1" thickBot="1" x14ac:dyDescent="0.3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18" ht="7.5" customHeight="1" x14ac:dyDescent="0.25">
      <c r="B8" s="76">
        <v>49</v>
      </c>
      <c r="C8" s="87">
        <f>VLOOKUP(B8,FechaHora,2,0) + VLOOKUP(UTCElegido,TablaUTC,3,0)</f>
        <v>44898.75</v>
      </c>
      <c r="D8" s="88">
        <f>VLOOKUP(B8,FechaHora,2,0) + VLOOKUP(UTCElegido,TablaUTC,3,0)</f>
        <v>44898.75</v>
      </c>
      <c r="E8" s="33" t="str">
        <f>IF(F8="","vacía",SUBSTITUTE(F8," ","_"))</f>
        <v>vacía</v>
      </c>
      <c r="F8" s="89" t="str">
        <f>PrimeroA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tr">
        <f>SegundoB</f>
        <v/>
      </c>
      <c r="O8" s="33" t="str">
        <f>IF(N8="","vacía",SUBSTITUTE(N8," ","_"))</f>
        <v>vacía</v>
      </c>
      <c r="P8" s="75" t="s">
        <v>142</v>
      </c>
      <c r="R8" s="131" t="str">
        <f>IF(G8="","",IF(G8="E","Suma los penales",IF(G8="G",F8,N8)))</f>
        <v/>
      </c>
    </row>
    <row r="9" spans="2:18" ht="7.5" customHeight="1" thickBot="1" x14ac:dyDescent="0.3">
      <c r="B9" s="7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75"/>
      <c r="R9" s="132"/>
    </row>
    <row r="10" spans="2:18" ht="7.5" customHeight="1" x14ac:dyDescent="0.25">
      <c r="B10" s="76"/>
      <c r="C10" s="129"/>
      <c r="D10" s="130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133"/>
    </row>
    <row r="11" spans="2:18" ht="7.5" customHeight="1" thickBot="1" x14ac:dyDescent="0.3">
      <c r="B11" s="76"/>
      <c r="C11" s="129"/>
      <c r="D11" s="130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133"/>
    </row>
    <row r="12" spans="2:18" ht="7.5" customHeight="1" x14ac:dyDescent="0.25">
      <c r="B12" s="76">
        <v>50</v>
      </c>
      <c r="C12" s="87">
        <f>VLOOKUP(B12,FechaHora,2,0) + VLOOKUP(UTCElegido,TablaUTC,3,0)</f>
        <v>44898.916666666664</v>
      </c>
      <c r="D12" s="88">
        <f>VLOOKUP(B12,FechaHora,2,0) + VLOOKUP(UTCElegido,TablaUTC,3,0)</f>
        <v>44898.916666666664</v>
      </c>
      <c r="E12" s="33" t="str">
        <f>IF(F12="","vacía",SUBSTITUTE(F12," ","_"))</f>
        <v>vacía</v>
      </c>
      <c r="F12" s="89" t="str">
        <f>PrimeroC</f>
        <v/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34" t="str">
        <f>SegundoD</f>
        <v/>
      </c>
      <c r="O12" s="33" t="str">
        <f>IF(N12="","vacía",SUBSTITUTE(N12," ","_"))</f>
        <v>vacía</v>
      </c>
      <c r="P12" s="75" t="s">
        <v>148</v>
      </c>
      <c r="R12" s="131" t="str">
        <f>IF(G12="","",IF(G12="E","Suma los penales",IF(G12="G",F12,N12)))</f>
        <v/>
      </c>
    </row>
    <row r="13" spans="2:18" ht="7.5" customHeight="1" thickBot="1" x14ac:dyDescent="0.3">
      <c r="B13" s="7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134"/>
      <c r="O13" s="26"/>
      <c r="P13" s="75"/>
      <c r="R13" s="132"/>
    </row>
    <row r="14" spans="2:18" ht="7.5" customHeight="1" x14ac:dyDescent="0.25">
      <c r="B14" s="76"/>
      <c r="C14" s="129"/>
      <c r="D14" s="130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33"/>
    </row>
    <row r="15" spans="2:18" ht="7.5" customHeight="1" thickBot="1" x14ac:dyDescent="0.3">
      <c r="B15" s="76"/>
      <c r="C15" s="129"/>
      <c r="D15" s="130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133"/>
    </row>
    <row r="16" spans="2:18" ht="7.5" customHeight="1" x14ac:dyDescent="0.25">
      <c r="B16" s="76">
        <v>51</v>
      </c>
      <c r="C16" s="87">
        <f>VLOOKUP(B16,FechaHora,2,0) + VLOOKUP(UTCElegido,TablaUTC,3,0)</f>
        <v>44899.916666666664</v>
      </c>
      <c r="D16" s="88">
        <f>VLOOKUP(B16,FechaHora,2,0) + VLOOKUP(UTCElegido,TablaUTC,3,0)</f>
        <v>44899.916666666664</v>
      </c>
      <c r="E16" s="33" t="str">
        <f>IF(F16="","vacía",SUBSTITUTE(F16," ","_"))</f>
        <v>vacía</v>
      </c>
      <c r="F16" s="89" t="str">
        <f>PrimeroB</f>
        <v/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tr">
        <f>SegundoA</f>
        <v/>
      </c>
      <c r="O16" s="33" t="str">
        <f>IF(N16="","vacía",SUBSTITUTE(N16," ","_"))</f>
        <v>vacía</v>
      </c>
      <c r="P16" s="75" t="s">
        <v>74</v>
      </c>
      <c r="R16" s="131" t="str">
        <f>IF(G16="","",IF(G16="E","Suma los penales",IF(G16="G",F16,N16)))</f>
        <v/>
      </c>
    </row>
    <row r="17" spans="2:18" ht="7.5" customHeight="1" thickBot="1" x14ac:dyDescent="0.3">
      <c r="B17" s="7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132"/>
    </row>
    <row r="18" spans="2:18" ht="7.5" customHeight="1" x14ac:dyDescent="0.25">
      <c r="B18" s="76"/>
      <c r="C18" s="129"/>
      <c r="D18" s="130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133"/>
    </row>
    <row r="19" spans="2:18" ht="7.5" customHeight="1" thickBot="1" x14ac:dyDescent="0.3">
      <c r="B19" s="76"/>
      <c r="C19" s="129"/>
      <c r="D19" s="130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33"/>
    </row>
    <row r="20" spans="2:18" ht="7.5" customHeight="1" x14ac:dyDescent="0.25">
      <c r="B20" s="76">
        <v>52</v>
      </c>
      <c r="C20" s="87">
        <f>VLOOKUP(B20,FechaHora,2,0) + VLOOKUP(UTCElegido,TablaUTC,3,0)</f>
        <v>44899.75</v>
      </c>
      <c r="D20" s="88">
        <f>VLOOKUP(B20,FechaHora,2,0) + VLOOKUP(UTCElegido,TablaUTC,3,0)</f>
        <v>44899.75</v>
      </c>
      <c r="E20" s="33" t="str">
        <f>IF(F20="","vacía",SUBSTITUTE(F20," ","_"))</f>
        <v>vacía</v>
      </c>
      <c r="F20" s="135" t="str">
        <f>PrimeroD</f>
        <v/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tr">
        <f>SegundoC</f>
        <v/>
      </c>
      <c r="O20" s="33" t="str">
        <f>IF(N20="","vacía",SUBSTITUTE(N20," ","_"))</f>
        <v>vacía</v>
      </c>
      <c r="P20" s="75" t="s">
        <v>75</v>
      </c>
      <c r="R20" s="131" t="str">
        <f>IF(G20="","",IF(G20="E","Suma los penales",IF(G20="G",F20,N20)))</f>
        <v/>
      </c>
    </row>
    <row r="21" spans="2:18" ht="7.5" customHeight="1" thickBot="1" x14ac:dyDescent="0.3">
      <c r="B21" s="76"/>
      <c r="C21" s="76"/>
      <c r="D21" s="76"/>
      <c r="E21" s="26"/>
      <c r="F21" s="135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132"/>
    </row>
    <row r="22" spans="2:18" ht="7.5" customHeight="1" x14ac:dyDescent="0.25">
      <c r="B22" s="76"/>
      <c r="C22" s="129"/>
      <c r="D22" s="130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133"/>
    </row>
    <row r="23" spans="2:18" ht="7.5" customHeight="1" thickBot="1" x14ac:dyDescent="0.3">
      <c r="B23" s="76"/>
      <c r="C23" s="129"/>
      <c r="D23" s="130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133"/>
    </row>
    <row r="24" spans="2:18" ht="7.5" customHeight="1" x14ac:dyDescent="0.25">
      <c r="B24" s="76">
        <v>53</v>
      </c>
      <c r="C24" s="87">
        <f>VLOOKUP(B24,FechaHora,2,0) + VLOOKUP(UTCElegido,TablaUTC,3,0)</f>
        <v>44900.75</v>
      </c>
      <c r="D24" s="88">
        <f>VLOOKUP(B24,FechaHora,2,0) + VLOOKUP(UTCElegido,TablaUTC,3,0)</f>
        <v>44900.75</v>
      </c>
      <c r="E24" s="33" t="str">
        <f>IF(F24="","vacía",SUBSTITUTE(F24," ","_"))</f>
        <v>vacía</v>
      </c>
      <c r="F24" s="135" t="str">
        <f>PrimeroE</f>
        <v/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tr">
        <f>SegundoF</f>
        <v/>
      </c>
      <c r="O24" s="33" t="str">
        <f>IF(N24="","vacía",SUBSTITUTE(N24," ","_"))</f>
        <v>vacía</v>
      </c>
      <c r="P24" s="75" t="s">
        <v>81</v>
      </c>
      <c r="R24" s="131" t="str">
        <f>IF(G24="","",IF(G24="E","Suma los penales",IF(G24="G",F24,N24)))</f>
        <v/>
      </c>
    </row>
    <row r="25" spans="2:18" ht="7.5" customHeight="1" thickBot="1" x14ac:dyDescent="0.3">
      <c r="B25" s="76"/>
      <c r="C25" s="76"/>
      <c r="D25" s="76"/>
      <c r="E25" s="26"/>
      <c r="F25" s="135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132"/>
    </row>
    <row r="26" spans="2:18" ht="7.5" customHeight="1" x14ac:dyDescent="0.25">
      <c r="B26" s="76"/>
      <c r="C26" s="129"/>
      <c r="D26" s="130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133"/>
    </row>
    <row r="27" spans="2:18" ht="7.5" customHeight="1" thickBot="1" x14ac:dyDescent="0.3">
      <c r="B27" s="76"/>
      <c r="C27" s="129"/>
      <c r="D27" s="130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133"/>
    </row>
    <row r="28" spans="2:18" ht="7.5" customHeight="1" x14ac:dyDescent="0.25">
      <c r="B28" s="76">
        <v>54</v>
      </c>
      <c r="C28" s="87">
        <f>VLOOKUP(B28,FechaHora,2,0) + VLOOKUP(UTCElegido,TablaUTC,3,0)</f>
        <v>44900.916666666664</v>
      </c>
      <c r="D28" s="88">
        <f>VLOOKUP(B28,FechaHora,2,0) + VLOOKUP(UTCElegido,TablaUTC,3,0)</f>
        <v>44900.916666666664</v>
      </c>
      <c r="E28" s="33" t="str">
        <f>IF(F28="","vacía",SUBSTITUTE(F28," ","_"))</f>
        <v>vacía</v>
      </c>
      <c r="F28" s="89" t="str">
        <f>PrimeroG</f>
        <v/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tr">
        <f>SegundoH</f>
        <v/>
      </c>
      <c r="O28" s="33" t="str">
        <f>IF(N28="","vacía",SUBSTITUTE(N28," ","_"))</f>
        <v>vacía</v>
      </c>
      <c r="P28" s="75" t="s">
        <v>149</v>
      </c>
      <c r="R28" s="131" t="str">
        <f>IF(G28="","",IF(G28="E","Suma los penales",IF(G28="G",F28,N28)))</f>
        <v/>
      </c>
    </row>
    <row r="29" spans="2:18" ht="8.25" customHeight="1" thickBot="1" x14ac:dyDescent="0.3">
      <c r="B29" s="76"/>
      <c r="C29" s="76"/>
      <c r="D29" s="76"/>
      <c r="E29" s="26"/>
      <c r="F29" s="89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132"/>
    </row>
    <row r="30" spans="2:18" ht="7.5" customHeight="1" x14ac:dyDescent="0.25">
      <c r="B30" s="76"/>
      <c r="C30" s="129"/>
      <c r="D30" s="130"/>
      <c r="E30" s="26"/>
      <c r="F30" s="74"/>
      <c r="G30" s="26"/>
      <c r="H30" s="26"/>
      <c r="I30" s="136"/>
      <c r="J30" s="69"/>
      <c r="K30" s="136"/>
      <c r="L30" s="26"/>
      <c r="M30" s="26"/>
      <c r="N30" s="74"/>
      <c r="O30" s="26"/>
      <c r="P30" s="75"/>
      <c r="R30" s="133"/>
    </row>
    <row r="31" spans="2:18" ht="7.5" customHeight="1" thickBot="1" x14ac:dyDescent="0.3">
      <c r="B31" s="76"/>
      <c r="C31" s="129"/>
      <c r="D31" s="130"/>
      <c r="E31" s="26"/>
      <c r="F31" s="74"/>
      <c r="G31" s="26"/>
      <c r="H31" s="26"/>
      <c r="I31" s="137"/>
      <c r="J31" s="69"/>
      <c r="K31" s="137"/>
      <c r="L31" s="26"/>
      <c r="M31" s="26"/>
      <c r="N31" s="74"/>
      <c r="O31" s="26"/>
      <c r="P31" s="75"/>
      <c r="R31" s="133"/>
    </row>
    <row r="32" spans="2:18" ht="7.5" customHeight="1" x14ac:dyDescent="0.25">
      <c r="B32" s="76">
        <v>55</v>
      </c>
      <c r="C32" s="87">
        <f>VLOOKUP(B32,FechaHora,2,0) + VLOOKUP(UTCElegido,TablaUTC,3,0)</f>
        <v>44901.75</v>
      </c>
      <c r="D32" s="88">
        <f>VLOOKUP(B32,FechaHora,2,0) + VLOOKUP(UTCElegido,TablaUTC,3,0)</f>
        <v>44901.75</v>
      </c>
      <c r="E32" s="33" t="str">
        <f>IF(F32="","vacía",SUBSTITUTE(F32," ","_"))</f>
        <v>vacía</v>
      </c>
      <c r="F32" s="89" t="str">
        <f>PrimeroF</f>
        <v/>
      </c>
      <c r="G32" s="69" t="str">
        <f>IF(AND(I32&lt;&gt;"",K32&lt;&gt;""),IF(I32=K32,"E",IF(I32&gt;K32,"G","P")),"")</f>
        <v/>
      </c>
      <c r="H32" s="28"/>
      <c r="I32" s="70"/>
      <c r="J32" s="69" t="s">
        <v>0</v>
      </c>
      <c r="K32" s="70"/>
      <c r="L32" s="69" t="str">
        <f>IF(AND(K32&lt;&gt;"",I32&lt;&gt;""),IF(K32=I32,"E",IF(K32&gt;I32,"G","P")),"")</f>
        <v/>
      </c>
      <c r="M32" s="27"/>
      <c r="N32" s="134" t="str">
        <f>SegundoE</f>
        <v/>
      </c>
      <c r="O32" s="33" t="str">
        <f>IF(N32="","vacía",SUBSTITUTE(N32," ","_"))</f>
        <v>vacía</v>
      </c>
      <c r="P32" s="75" t="s">
        <v>146</v>
      </c>
      <c r="R32" s="131" t="str">
        <f>IF(G32="","",IF(G32="E","Suma los penales",IF(G32="G",F32,N32)))</f>
        <v/>
      </c>
    </row>
    <row r="33" spans="2:18" ht="7.5" customHeight="1" thickBot="1" x14ac:dyDescent="0.3">
      <c r="B33" s="76"/>
      <c r="C33" s="76"/>
      <c r="D33" s="76"/>
      <c r="E33" s="26"/>
      <c r="F33" s="89"/>
      <c r="G33" s="69"/>
      <c r="H33" s="28"/>
      <c r="I33" s="71"/>
      <c r="J33" s="69"/>
      <c r="K33" s="71"/>
      <c r="L33" s="69"/>
      <c r="M33" s="27"/>
      <c r="N33" s="134"/>
      <c r="O33" s="26"/>
      <c r="P33" s="75"/>
      <c r="R33" s="132"/>
    </row>
    <row r="34" spans="2:18" ht="7.5" customHeight="1" x14ac:dyDescent="0.25">
      <c r="B34" s="76"/>
      <c r="C34" s="129"/>
      <c r="D34" s="130"/>
      <c r="E34" s="26"/>
      <c r="F34" s="74"/>
      <c r="G34" s="26"/>
      <c r="H34" s="26"/>
      <c r="I34" s="69"/>
      <c r="J34" s="69"/>
      <c r="K34" s="69"/>
      <c r="L34" s="26"/>
      <c r="M34" s="26"/>
      <c r="N34" s="74"/>
      <c r="O34" s="26"/>
      <c r="P34" s="75"/>
      <c r="R34" s="133"/>
    </row>
    <row r="35" spans="2:18" ht="7.5" customHeight="1" thickBot="1" x14ac:dyDescent="0.3">
      <c r="B35" s="76"/>
      <c r="C35" s="129"/>
      <c r="D35" s="130"/>
      <c r="E35" s="26"/>
      <c r="F35" s="74"/>
      <c r="G35" s="26"/>
      <c r="H35" s="26"/>
      <c r="I35" s="69"/>
      <c r="J35" s="69"/>
      <c r="K35" s="69"/>
      <c r="L35" s="26"/>
      <c r="M35" s="26"/>
      <c r="N35" s="74"/>
      <c r="O35" s="26"/>
      <c r="P35" s="75"/>
      <c r="R35" s="133"/>
    </row>
    <row r="36" spans="2:18" ht="7.5" customHeight="1" x14ac:dyDescent="0.25">
      <c r="B36" s="76">
        <v>56</v>
      </c>
      <c r="C36" s="87">
        <f>VLOOKUP(B36,FechaHora,2,0) + VLOOKUP(UTCElegido,TablaUTC,3,0)</f>
        <v>44901.916666666664</v>
      </c>
      <c r="D36" s="88">
        <f>VLOOKUP(B36,FechaHora,2,0) + VLOOKUP(UTCElegido,TablaUTC,3,0)</f>
        <v>44901.916666666664</v>
      </c>
      <c r="E36" s="33" t="str">
        <f>IF(F36="","vacía",SUBSTITUTE(F36," ","_"))</f>
        <v>vacía</v>
      </c>
      <c r="F36" s="89" t="str">
        <f>PrimeroH</f>
        <v/>
      </c>
      <c r="G36" s="69" t="str">
        <f>IF(AND(I36&lt;&gt;"",K36&lt;&gt;""),IF(I36=K36,"E",IF(I36&gt;K36,"G","P")),"")</f>
        <v/>
      </c>
      <c r="H36" s="28"/>
      <c r="I36" s="70"/>
      <c r="J36" s="69" t="s">
        <v>0</v>
      </c>
      <c r="K36" s="70"/>
      <c r="L36" s="69" t="str">
        <f>IF(AND(K36&lt;&gt;"",I36&lt;&gt;""),IF(K36=I36,"E",IF(K36&gt;I36,"G","P")),"")</f>
        <v/>
      </c>
      <c r="M36" s="27"/>
      <c r="N36" s="72" t="str">
        <f>SegundoG</f>
        <v/>
      </c>
      <c r="O36" s="33" t="str">
        <f>IF(N36="","vacía",SUBSTITUTE(N36," ","_"))</f>
        <v>vacía</v>
      </c>
      <c r="P36" s="75" t="s">
        <v>145</v>
      </c>
      <c r="R36" s="131" t="str">
        <f>IF(G36="","",IF(G36="E","Suma los penales",IF(G36="G",F36,N36)))</f>
        <v/>
      </c>
    </row>
    <row r="37" spans="2:18" ht="7.5" customHeight="1" thickBot="1" x14ac:dyDescent="0.3">
      <c r="B37" s="76"/>
      <c r="C37" s="76"/>
      <c r="D37" s="76"/>
      <c r="E37" s="26"/>
      <c r="F37" s="89"/>
      <c r="G37" s="69"/>
      <c r="H37" s="28"/>
      <c r="I37" s="71"/>
      <c r="J37" s="69"/>
      <c r="K37" s="71"/>
      <c r="L37" s="69"/>
      <c r="M37" s="27"/>
      <c r="N37" s="72"/>
      <c r="O37" s="26"/>
      <c r="P37" s="75"/>
      <c r="R37" s="132"/>
    </row>
    <row r="38" spans="2:18" ht="3.95" customHeight="1" x14ac:dyDescent="0.25">
      <c r="B38" s="29"/>
      <c r="C38" s="30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9"/>
    </row>
    <row r="39" spans="2:18" ht="3.6" customHeight="1" x14ac:dyDescent="0.25"/>
    <row r="40" spans="2:18" ht="7.5" customHeight="1" x14ac:dyDescent="0.25"/>
    <row r="41" spans="2:18" ht="7.5" customHeight="1" x14ac:dyDescent="0.25"/>
    <row r="42" spans="2:18" ht="7.5" customHeight="1" x14ac:dyDescent="0.25"/>
  </sheetData>
  <sheetProtection sheet="1" objects="1" scenarios="1" selectLockedCells="1"/>
  <mergeCells count="167">
    <mergeCell ref="L20:L21"/>
    <mergeCell ref="F30:F31"/>
    <mergeCell ref="I30:I31"/>
    <mergeCell ref="J30:J31"/>
    <mergeCell ref="K30:K31"/>
    <mergeCell ref="N30:N31"/>
    <mergeCell ref="P30:P31"/>
    <mergeCell ref="G28:G29"/>
    <mergeCell ref="I28:I29"/>
    <mergeCell ref="J28:J29"/>
    <mergeCell ref="K28:K29"/>
    <mergeCell ref="P32:P33"/>
    <mergeCell ref="P28:P29"/>
    <mergeCell ref="R34:R35"/>
    <mergeCell ref="R36:R37"/>
    <mergeCell ref="R28:R29"/>
    <mergeCell ref="N32:N33"/>
    <mergeCell ref="N34:N35"/>
    <mergeCell ref="R32:R33"/>
    <mergeCell ref="R14:R15"/>
    <mergeCell ref="R16:R17"/>
    <mergeCell ref="R18:R19"/>
    <mergeCell ref="R30:R31"/>
    <mergeCell ref="R20:R21"/>
    <mergeCell ref="R22:R23"/>
    <mergeCell ref="R24:R25"/>
    <mergeCell ref="R26:R27"/>
    <mergeCell ref="N18:N19"/>
    <mergeCell ref="P18:P19"/>
    <mergeCell ref="N22:N23"/>
    <mergeCell ref="N20:N21"/>
    <mergeCell ref="P20:P21"/>
    <mergeCell ref="P22:P23"/>
    <mergeCell ref="I34:I35"/>
    <mergeCell ref="J34:J35"/>
    <mergeCell ref="N26:N27"/>
    <mergeCell ref="P26:P27"/>
    <mergeCell ref="L36:L37"/>
    <mergeCell ref="D32:D33"/>
    <mergeCell ref="F32:F33"/>
    <mergeCell ref="G32:G33"/>
    <mergeCell ref="I32:I33"/>
    <mergeCell ref="J32:J33"/>
    <mergeCell ref="K32:K33"/>
    <mergeCell ref="L32:L33"/>
    <mergeCell ref="D34:D35"/>
    <mergeCell ref="F34:F35"/>
    <mergeCell ref="D36:D37"/>
    <mergeCell ref="F36:F37"/>
    <mergeCell ref="G36:G37"/>
    <mergeCell ref="I36:I37"/>
    <mergeCell ref="J36:J37"/>
    <mergeCell ref="K36:K37"/>
    <mergeCell ref="K34:K35"/>
    <mergeCell ref="N36:N37"/>
    <mergeCell ref="P36:P37"/>
    <mergeCell ref="P34:P35"/>
    <mergeCell ref="D24:D25"/>
    <mergeCell ref="G24:G25"/>
    <mergeCell ref="I24:I25"/>
    <mergeCell ref="J24:J25"/>
    <mergeCell ref="K24:K25"/>
    <mergeCell ref="N28:N29"/>
    <mergeCell ref="N24:N25"/>
    <mergeCell ref="P24:P25"/>
    <mergeCell ref="L24:L25"/>
    <mergeCell ref="D26:D27"/>
    <mergeCell ref="F26:F27"/>
    <mergeCell ref="I26:I27"/>
    <mergeCell ref="J26:J27"/>
    <mergeCell ref="L28:L29"/>
    <mergeCell ref="K26:K27"/>
    <mergeCell ref="D28:D29"/>
    <mergeCell ref="F28:F29"/>
    <mergeCell ref="F24:F25"/>
    <mergeCell ref="D22:D23"/>
    <mergeCell ref="F22:F23"/>
    <mergeCell ref="I22:I23"/>
    <mergeCell ref="J22:J23"/>
    <mergeCell ref="K22:K23"/>
    <mergeCell ref="D20:D21"/>
    <mergeCell ref="G20:G21"/>
    <mergeCell ref="I20:I21"/>
    <mergeCell ref="J20:J21"/>
    <mergeCell ref="K20:K21"/>
    <mergeCell ref="F20:F21"/>
    <mergeCell ref="D16:D17"/>
    <mergeCell ref="F16:F17"/>
    <mergeCell ref="G16:G17"/>
    <mergeCell ref="I16:I17"/>
    <mergeCell ref="J16:J17"/>
    <mergeCell ref="K16:K17"/>
    <mergeCell ref="L16:L17"/>
    <mergeCell ref="N16:N17"/>
    <mergeCell ref="P16:P17"/>
    <mergeCell ref="R8:R9"/>
    <mergeCell ref="R10:R11"/>
    <mergeCell ref="R12:R13"/>
    <mergeCell ref="P14:P15"/>
    <mergeCell ref="D10:D11"/>
    <mergeCell ref="F10:F11"/>
    <mergeCell ref="I10:I11"/>
    <mergeCell ref="J10:J11"/>
    <mergeCell ref="K10:K11"/>
    <mergeCell ref="N10:N11"/>
    <mergeCell ref="D14:D15"/>
    <mergeCell ref="N12:N13"/>
    <mergeCell ref="F14:F15"/>
    <mergeCell ref="I14:I15"/>
    <mergeCell ref="J14:J15"/>
    <mergeCell ref="K14:K15"/>
    <mergeCell ref="N14:N15"/>
    <mergeCell ref="D12:D13"/>
    <mergeCell ref="D8:D9"/>
    <mergeCell ref="F8:F9"/>
    <mergeCell ref="G8:G9"/>
    <mergeCell ref="I8:I9"/>
    <mergeCell ref="P10:P11"/>
    <mergeCell ref="P12:P13"/>
    <mergeCell ref="P8:P9"/>
    <mergeCell ref="B36:B37"/>
    <mergeCell ref="C36:C37"/>
    <mergeCell ref="C30:C31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D30:D31"/>
    <mergeCell ref="B30:B31"/>
    <mergeCell ref="F12:F13"/>
    <mergeCell ref="G12:G13"/>
    <mergeCell ref="I12:I13"/>
    <mergeCell ref="J12:J13"/>
    <mergeCell ref="J8:J9"/>
    <mergeCell ref="K8:K9"/>
    <mergeCell ref="L8:L9"/>
    <mergeCell ref="K12:K13"/>
    <mergeCell ref="E6:O6"/>
    <mergeCell ref="B28:B29"/>
    <mergeCell ref="C28:C29"/>
    <mergeCell ref="B32:B33"/>
    <mergeCell ref="C32:C33"/>
    <mergeCell ref="B34:B35"/>
    <mergeCell ref="C34:C35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D18:D19"/>
    <mergeCell ref="F18:F19"/>
    <mergeCell ref="I18:I19"/>
    <mergeCell ref="J18:J19"/>
    <mergeCell ref="K18:K19"/>
    <mergeCell ref="N8:N9"/>
    <mergeCell ref="L12:L13"/>
  </mergeCells>
  <conditionalFormatting sqref="I8:I9 I28:I29">
    <cfRule type="expression" dxfId="144" priority="75">
      <formula>G8="P"</formula>
    </cfRule>
    <cfRule type="expression" dxfId="143" priority="76">
      <formula>G8="E"</formula>
    </cfRule>
    <cfRule type="expression" dxfId="142" priority="77">
      <formula>G8="G"</formula>
    </cfRule>
  </conditionalFormatting>
  <conditionalFormatting sqref="K24:K25 K28:K29">
    <cfRule type="expression" dxfId="141" priority="72">
      <formula>L24="P"</formula>
    </cfRule>
    <cfRule type="expression" dxfId="140" priority="73">
      <formula>L24="E"</formula>
    </cfRule>
    <cfRule type="expression" dxfId="139" priority="74">
      <formula>L24="G"</formula>
    </cfRule>
  </conditionalFormatting>
  <conditionalFormatting sqref="K20:K21">
    <cfRule type="expression" dxfId="138" priority="69">
      <formula>L20="P"</formula>
    </cfRule>
    <cfRule type="expression" dxfId="137" priority="70">
      <formula>L20="E"</formula>
    </cfRule>
    <cfRule type="expression" dxfId="136" priority="71">
      <formula>L20="G"</formula>
    </cfRule>
  </conditionalFormatting>
  <conditionalFormatting sqref="K16:K17">
    <cfRule type="expression" dxfId="135" priority="66">
      <formula>L16="P"</formula>
    </cfRule>
    <cfRule type="expression" dxfId="134" priority="67">
      <formula>L16="E"</formula>
    </cfRule>
    <cfRule type="expression" dxfId="133" priority="68">
      <formula>L16="G"</formula>
    </cfRule>
  </conditionalFormatting>
  <conditionalFormatting sqref="K12:K13">
    <cfRule type="expression" dxfId="132" priority="63">
      <formula>L12="P"</formula>
    </cfRule>
    <cfRule type="expression" dxfId="131" priority="64">
      <formula>L12="E"</formula>
    </cfRule>
    <cfRule type="expression" dxfId="130" priority="65">
      <formula>L12="G"</formula>
    </cfRule>
  </conditionalFormatting>
  <conditionalFormatting sqref="K8:K9">
    <cfRule type="expression" dxfId="129" priority="60">
      <formula>L8="P"</formula>
    </cfRule>
    <cfRule type="expression" dxfId="128" priority="61">
      <formula>L8="E"</formula>
    </cfRule>
    <cfRule type="expression" dxfId="127" priority="62">
      <formula>L8="G"</formula>
    </cfRule>
  </conditionalFormatting>
  <conditionalFormatting sqref="I12:I13">
    <cfRule type="expression" dxfId="126" priority="54">
      <formula>G12="P"</formula>
    </cfRule>
    <cfRule type="expression" dxfId="125" priority="55">
      <formula>G12="E"</formula>
    </cfRule>
    <cfRule type="expression" dxfId="124" priority="56">
      <formula>G12="G"</formula>
    </cfRule>
  </conditionalFormatting>
  <conditionalFormatting sqref="I16:I17">
    <cfRule type="expression" dxfId="123" priority="51">
      <formula>G16="P"</formula>
    </cfRule>
    <cfRule type="expression" dxfId="122" priority="52">
      <formula>G16="E"</formula>
    </cfRule>
    <cfRule type="expression" dxfId="121" priority="53">
      <formula>G16="G"</formula>
    </cfRule>
  </conditionalFormatting>
  <conditionalFormatting sqref="I20:I21">
    <cfRule type="expression" dxfId="120" priority="48">
      <formula>G20="P"</formula>
    </cfRule>
    <cfRule type="expression" dxfId="119" priority="49">
      <formula>G20="E"</formula>
    </cfRule>
    <cfRule type="expression" dxfId="118" priority="50">
      <formula>G20="G"</formula>
    </cfRule>
  </conditionalFormatting>
  <conditionalFormatting sqref="I24:I25">
    <cfRule type="expression" dxfId="117" priority="45">
      <formula>G24="P"</formula>
    </cfRule>
    <cfRule type="expression" dxfId="116" priority="46">
      <formula>G24="E"</formula>
    </cfRule>
    <cfRule type="expression" dxfId="115" priority="47">
      <formula>G24="G"</formula>
    </cfRule>
  </conditionalFormatting>
  <conditionalFormatting sqref="I36:I37">
    <cfRule type="expression" dxfId="114" priority="30">
      <formula>G36="P"</formula>
    </cfRule>
    <cfRule type="expression" dxfId="113" priority="31">
      <formula>G36="E"</formula>
    </cfRule>
    <cfRule type="expression" dxfId="112" priority="32">
      <formula>G36="G"</formula>
    </cfRule>
  </conditionalFormatting>
  <conditionalFormatting sqref="K32:K33">
    <cfRule type="expression" dxfId="111" priority="39">
      <formula>L32="P"</formula>
    </cfRule>
    <cfRule type="expression" dxfId="110" priority="40">
      <formula>L32="E"</formula>
    </cfRule>
    <cfRule type="expression" dxfId="109" priority="41">
      <formula>L32="G"</formula>
    </cfRule>
  </conditionalFormatting>
  <conditionalFormatting sqref="I32:I33">
    <cfRule type="expression" dxfId="108" priority="36">
      <formula>G32="P"</formula>
    </cfRule>
    <cfRule type="expression" dxfId="107" priority="37">
      <formula>G32="E"</formula>
    </cfRule>
    <cfRule type="expression" dxfId="106" priority="38">
      <formula>G32="G"</formula>
    </cfRule>
  </conditionalFormatting>
  <conditionalFormatting sqref="K36:K37">
    <cfRule type="expression" dxfId="105" priority="33">
      <formula>L36="P"</formula>
    </cfRule>
    <cfRule type="expression" dxfId="104" priority="34">
      <formula>L36="E"</formula>
    </cfRule>
    <cfRule type="expression" dxfId="103" priority="35">
      <formula>L36="G"</formula>
    </cfRule>
  </conditionalFormatting>
  <conditionalFormatting sqref="R8:R9">
    <cfRule type="cellIs" dxfId="102" priority="15" operator="equal">
      <formula>"Suma los penales"</formula>
    </cfRule>
  </conditionalFormatting>
  <conditionalFormatting sqref="R12:R13">
    <cfRule type="cellIs" dxfId="101" priority="7" operator="equal">
      <formula>"Suma los penales"</formula>
    </cfRule>
  </conditionalFormatting>
  <conditionalFormatting sqref="R16:R17">
    <cfRule type="cellIs" dxfId="100" priority="6" operator="equal">
      <formula>"Suma los penales"</formula>
    </cfRule>
  </conditionalFormatting>
  <conditionalFormatting sqref="R20:R21">
    <cfRule type="cellIs" dxfId="99" priority="5" operator="equal">
      <formula>"Suma los penales"</formula>
    </cfRule>
  </conditionalFormatting>
  <conditionalFormatting sqref="R24:R25">
    <cfRule type="cellIs" dxfId="98" priority="4" operator="equal">
      <formula>"Suma los penales"</formula>
    </cfRule>
  </conditionalFormatting>
  <conditionalFormatting sqref="R28:R29">
    <cfRule type="cellIs" dxfId="97" priority="3" operator="equal">
      <formula>"Suma los penales"</formula>
    </cfRule>
  </conditionalFormatting>
  <conditionalFormatting sqref="R32:R33">
    <cfRule type="cellIs" dxfId="96" priority="2" operator="equal">
      <formula>"Suma los penales"</formula>
    </cfRule>
  </conditionalFormatting>
  <conditionalFormatting sqref="R36:R37">
    <cfRule type="cellIs" dxfId="95" priority="1" operator="equal">
      <formula>"Suma los penales"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1:R26"/>
  <sheetViews>
    <sheetView showGridLines="0" showRowColHeader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28515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19.5703125" bestFit="1" customWidth="1"/>
  </cols>
  <sheetData>
    <row r="1" spans="2:18" ht="18.75" customHeight="1" x14ac:dyDescent="0.25"/>
    <row r="2" spans="2:18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18" ht="15" customHeight="1" x14ac:dyDescent="0.25">
      <c r="I4" s="2"/>
    </row>
    <row r="5" spans="2:18" ht="15" customHeight="1" x14ac:dyDescent="0.25">
      <c r="B5" s="56" t="s">
        <v>71</v>
      </c>
      <c r="I5" s="2"/>
    </row>
    <row r="6" spans="2:18" ht="18" customHeight="1" x14ac:dyDescent="0.25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25" t="s">
        <v>41</v>
      </c>
    </row>
    <row r="7" spans="2:18" ht="3.95" customHeight="1" thickBot="1" x14ac:dyDescent="0.3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18" ht="7.5" customHeight="1" x14ac:dyDescent="0.25">
      <c r="B8" s="76">
        <v>57</v>
      </c>
      <c r="C8" s="87">
        <f>VLOOKUP(B8,FechaHora,2,0) + VLOOKUP(UTCElegido,TablaUTC,3,0)</f>
        <v>44904.916666666664</v>
      </c>
      <c r="D8" s="88">
        <f>VLOOKUP(B8,FechaHora,2,0) + VLOOKUP(UTCElegido,TablaUTC,3,0)</f>
        <v>44904.916666666664</v>
      </c>
      <c r="E8" s="33" t="str">
        <f>IF(F8="","vacía",SUBSTITUTE(F8," ","_"))</f>
        <v>vacía</v>
      </c>
      <c r="F8" s="89" t="str">
        <f>IF(Ganador1&lt;&gt;"Suma los penales",Ganador1,"")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tr">
        <f>IF(Ganador3&lt;&gt;"Suma los penales",Ganador3,"")</f>
        <v/>
      </c>
      <c r="O8" s="33" t="str">
        <f>IF(N8="","vacía",SUBSTITUTE(N8," ","_"))</f>
        <v>vacía</v>
      </c>
      <c r="P8" s="138" t="s">
        <v>145</v>
      </c>
      <c r="R8" s="131" t="str">
        <f>IF(G8="","",IF(G8="E","Suma los penales",IF(G8="G",F8,N8)))</f>
        <v/>
      </c>
    </row>
    <row r="9" spans="2:18" ht="7.5" customHeight="1" thickBot="1" x14ac:dyDescent="0.3">
      <c r="B9" s="7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138"/>
      <c r="R9" s="132"/>
    </row>
    <row r="10" spans="2:18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38"/>
      <c r="R10" s="133"/>
    </row>
    <row r="11" spans="2:18" ht="7.5" customHeight="1" thickBot="1" x14ac:dyDescent="0.3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38"/>
      <c r="R11" s="133"/>
    </row>
    <row r="12" spans="2:18" ht="7.5" customHeight="1" x14ac:dyDescent="0.25">
      <c r="B12" s="76">
        <v>58</v>
      </c>
      <c r="C12" s="87">
        <f>VLOOKUP(B12,FechaHora,2,0) + VLOOKUP(UTCElegido,TablaUTC,3,0)</f>
        <v>44904.75</v>
      </c>
      <c r="D12" s="88">
        <f>VLOOKUP(B12,FechaHora,2,0) + VLOOKUP(UTCElegido,TablaUTC,3,0)</f>
        <v>44904.75</v>
      </c>
      <c r="E12" s="33" t="str">
        <f>IF(F12="","vacía",SUBSTITUTE(F12," ","_"))</f>
        <v>vacía</v>
      </c>
      <c r="F12" s="89" t="str">
        <f>IF(Ganador5&lt;&gt;"Suma los penales",Ganador5,"")</f>
        <v/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34" t="str">
        <f>IF(Ganador7&lt;&gt;"Suma los penales",Ganador7,"")</f>
        <v/>
      </c>
      <c r="O12" s="33" t="str">
        <f>IF(N12="","vacía",SUBSTITUTE(N12," ","_"))</f>
        <v>vacía</v>
      </c>
      <c r="P12" s="138" t="s">
        <v>146</v>
      </c>
      <c r="R12" s="131" t="str">
        <f>IF(G12="","",IF(G12="E","Suma los penales",IF(G12="G",F12,N12)))</f>
        <v/>
      </c>
    </row>
    <row r="13" spans="2:18" ht="7.5" customHeight="1" thickBot="1" x14ac:dyDescent="0.3">
      <c r="B13" s="7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134"/>
      <c r="O13" s="26"/>
      <c r="P13" s="138"/>
      <c r="R13" s="132"/>
    </row>
    <row r="14" spans="2:18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38"/>
      <c r="R14" s="133"/>
    </row>
    <row r="15" spans="2:18" ht="7.5" customHeight="1" thickBot="1" x14ac:dyDescent="0.3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38"/>
      <c r="R15" s="133"/>
    </row>
    <row r="16" spans="2:18" ht="7.5" customHeight="1" x14ac:dyDescent="0.25">
      <c r="B16" s="76">
        <v>59</v>
      </c>
      <c r="C16" s="87">
        <f>VLOOKUP(B16,FechaHora,2,0) + VLOOKUP(UTCElegido,TablaUTC,3,0)</f>
        <v>44905.916666666664</v>
      </c>
      <c r="D16" s="88">
        <f>VLOOKUP(B16,FechaHora,2,0) + VLOOKUP(UTCElegido,TablaUTC,3,0)</f>
        <v>44905.916666666664</v>
      </c>
      <c r="E16" s="33" t="str">
        <f>IF(F16="","vacía",SUBSTITUTE(F16," ","_"))</f>
        <v>vacía</v>
      </c>
      <c r="F16" s="89" t="str">
        <f>IF(Ganador2&lt;&gt;"Suma los penales",Ganador2,"")</f>
        <v/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tr">
        <f>IF(Ganador4&lt;&gt;"Suma los penales",Ganador4,"")</f>
        <v/>
      </c>
      <c r="O16" s="33" t="str">
        <f>IF(N16="","vacía",SUBSTITUTE(N16," ","_"))</f>
        <v>vacía</v>
      </c>
      <c r="P16" s="138" t="s">
        <v>74</v>
      </c>
      <c r="R16" s="131" t="str">
        <f>IF(G16="","",IF(G16="E","Suma los penales",IF(G16="G",F16,N16)))</f>
        <v/>
      </c>
    </row>
    <row r="17" spans="2:18" ht="7.5" customHeight="1" thickBot="1" x14ac:dyDescent="0.3">
      <c r="B17" s="7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138"/>
      <c r="R17" s="132"/>
    </row>
    <row r="18" spans="2:18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38"/>
      <c r="R18" s="133"/>
    </row>
    <row r="19" spans="2:18" ht="7.5" customHeight="1" thickBot="1" x14ac:dyDescent="0.3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38"/>
      <c r="R19" s="133"/>
    </row>
    <row r="20" spans="2:18" ht="7.5" customHeight="1" x14ac:dyDescent="0.25">
      <c r="B20" s="76">
        <v>60</v>
      </c>
      <c r="C20" s="87">
        <f>VLOOKUP(B20,FechaHora,2,0) + VLOOKUP(UTCElegido,TablaUTC,3,0)</f>
        <v>44905.75</v>
      </c>
      <c r="D20" s="88">
        <f>VLOOKUP(B20,FechaHora,2,0) + VLOOKUP(UTCElegido,TablaUTC,3,0)</f>
        <v>44905.75</v>
      </c>
      <c r="E20" s="33" t="str">
        <f>IF(F20="","vacía",SUBSTITUTE(F20," ","_"))</f>
        <v>vacía</v>
      </c>
      <c r="F20" s="135" t="str">
        <f>IF(Ganador6&lt;&gt;"Suma los penales",Ganador6,"")</f>
        <v/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tr">
        <f>IF(Ganador8&lt;&gt;"Suma los penales",Ganador8,"")</f>
        <v/>
      </c>
      <c r="O20" s="33" t="str">
        <f>IF(N20="","vacía",SUBSTITUTE(N20," ","_"))</f>
        <v>vacía</v>
      </c>
      <c r="P20" s="138" t="s">
        <v>75</v>
      </c>
      <c r="R20" s="131" t="str">
        <f>IF(G20="","",IF(G20="E","Suma los penales",IF(G20="G",F20,N20)))</f>
        <v/>
      </c>
    </row>
    <row r="21" spans="2:18" ht="7.5" customHeight="1" thickBot="1" x14ac:dyDescent="0.3">
      <c r="B21" s="76"/>
      <c r="C21" s="76"/>
      <c r="D21" s="76"/>
      <c r="E21" s="26"/>
      <c r="F21" s="135"/>
      <c r="G21" s="69"/>
      <c r="H21" s="28"/>
      <c r="I21" s="71"/>
      <c r="J21" s="69"/>
      <c r="K21" s="71"/>
      <c r="L21" s="69"/>
      <c r="M21" s="27"/>
      <c r="N21" s="72"/>
      <c r="O21" s="26"/>
      <c r="P21" s="138"/>
      <c r="R21" s="132"/>
    </row>
    <row r="22" spans="2:18" ht="3.95" customHeight="1" x14ac:dyDescent="0.25">
      <c r="B22" s="29"/>
      <c r="C22" s="30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9"/>
    </row>
    <row r="23" spans="2:18" ht="3.6" customHeight="1" x14ac:dyDescent="0.25"/>
    <row r="24" spans="2:18" ht="7.5" customHeight="1" x14ac:dyDescent="0.25"/>
    <row r="25" spans="2:18" ht="7.5" customHeight="1" x14ac:dyDescent="0.25"/>
    <row r="26" spans="2:18" ht="7.5" customHeight="1" x14ac:dyDescent="0.25"/>
  </sheetData>
  <sheetProtection sheet="1" objects="1" scenarios="1" selectLockedCells="1"/>
  <mergeCells count="79">
    <mergeCell ref="R18:R19"/>
    <mergeCell ref="R20:R21"/>
    <mergeCell ref="R8:R9"/>
    <mergeCell ref="R10:R11"/>
    <mergeCell ref="R12:R13"/>
    <mergeCell ref="R14:R15"/>
    <mergeCell ref="R16:R17"/>
    <mergeCell ref="L20:L21"/>
    <mergeCell ref="N20:N21"/>
    <mergeCell ref="P20:P21"/>
    <mergeCell ref="D20:D21"/>
    <mergeCell ref="F20:F21"/>
    <mergeCell ref="G20:G21"/>
    <mergeCell ref="I20:I21"/>
    <mergeCell ref="J20:J21"/>
    <mergeCell ref="K20:K21"/>
    <mergeCell ref="P16:P17"/>
    <mergeCell ref="D18:D19"/>
    <mergeCell ref="F18:F19"/>
    <mergeCell ref="I18:I19"/>
    <mergeCell ref="J18:J19"/>
    <mergeCell ref="K18:K19"/>
    <mergeCell ref="N18:N19"/>
    <mergeCell ref="P18:P19"/>
    <mergeCell ref="I16:I17"/>
    <mergeCell ref="J16:J17"/>
    <mergeCell ref="K16:K17"/>
    <mergeCell ref="L16:L17"/>
    <mergeCell ref="N16:N17"/>
    <mergeCell ref="D14:D15"/>
    <mergeCell ref="F14:F15"/>
    <mergeCell ref="D16:D17"/>
    <mergeCell ref="F16:F17"/>
    <mergeCell ref="G16:G17"/>
    <mergeCell ref="D12:D13"/>
    <mergeCell ref="F12:F13"/>
    <mergeCell ref="G12:G13"/>
    <mergeCell ref="I12:I13"/>
    <mergeCell ref="J12:J13"/>
    <mergeCell ref="L8:L9"/>
    <mergeCell ref="N8:N9"/>
    <mergeCell ref="P8:P9"/>
    <mergeCell ref="I14:I15"/>
    <mergeCell ref="J14:J15"/>
    <mergeCell ref="K14:K15"/>
    <mergeCell ref="N10:N11"/>
    <mergeCell ref="P10:P11"/>
    <mergeCell ref="L12:L13"/>
    <mergeCell ref="N12:N13"/>
    <mergeCell ref="P12:P13"/>
    <mergeCell ref="N14:N15"/>
    <mergeCell ref="P14:P15"/>
    <mergeCell ref="K12:K13"/>
    <mergeCell ref="F10:F11"/>
    <mergeCell ref="I10:I11"/>
    <mergeCell ref="J10:J11"/>
    <mergeCell ref="K10:K11"/>
    <mergeCell ref="D8:D9"/>
    <mergeCell ref="F8:F9"/>
    <mergeCell ref="G8:G9"/>
    <mergeCell ref="I8:I9"/>
    <mergeCell ref="J8:J9"/>
    <mergeCell ref="K8:K9"/>
    <mergeCell ref="B20:B21"/>
    <mergeCell ref="C20:C21"/>
    <mergeCell ref="E6:O6"/>
    <mergeCell ref="B14:B15"/>
    <mergeCell ref="C14:C15"/>
    <mergeCell ref="B16:B17"/>
    <mergeCell ref="C16:C17"/>
    <mergeCell ref="B18:B19"/>
    <mergeCell ref="C18:C19"/>
    <mergeCell ref="B8:B9"/>
    <mergeCell ref="C8:C9"/>
    <mergeCell ref="B10:B11"/>
    <mergeCell ref="C10:C11"/>
    <mergeCell ref="B12:B13"/>
    <mergeCell ref="C12:C13"/>
    <mergeCell ref="D10:D11"/>
  </mergeCells>
  <conditionalFormatting sqref="I8:I9">
    <cfRule type="expression" dxfId="94" priority="50">
      <formula>G8="P"</formula>
    </cfRule>
    <cfRule type="expression" dxfId="93" priority="51">
      <formula>G8="E"</formula>
    </cfRule>
    <cfRule type="expression" dxfId="92" priority="52">
      <formula>G8="G"</formula>
    </cfRule>
  </conditionalFormatting>
  <conditionalFormatting sqref="K20:K21">
    <cfRule type="expression" dxfId="91" priority="44">
      <formula>L20="P"</formula>
    </cfRule>
    <cfRule type="expression" dxfId="90" priority="45">
      <formula>L20="E"</formula>
    </cfRule>
    <cfRule type="expression" dxfId="89" priority="46">
      <formula>L20="G"</formula>
    </cfRule>
  </conditionalFormatting>
  <conditionalFormatting sqref="K16:K17">
    <cfRule type="expression" dxfId="88" priority="41">
      <formula>L16="P"</formula>
    </cfRule>
    <cfRule type="expression" dxfId="87" priority="42">
      <formula>L16="E"</formula>
    </cfRule>
    <cfRule type="expression" dxfId="86" priority="43">
      <formula>L16="G"</formula>
    </cfRule>
  </conditionalFormatting>
  <conditionalFormatting sqref="K12:K13">
    <cfRule type="expression" dxfId="85" priority="38">
      <formula>L12="P"</formula>
    </cfRule>
    <cfRule type="expression" dxfId="84" priority="39">
      <formula>L12="E"</formula>
    </cfRule>
    <cfRule type="expression" dxfId="83" priority="40">
      <formula>L12="G"</formula>
    </cfRule>
  </conditionalFormatting>
  <conditionalFormatting sqref="K8:K9">
    <cfRule type="expression" dxfId="82" priority="35">
      <formula>L8="P"</formula>
    </cfRule>
    <cfRule type="expression" dxfId="81" priority="36">
      <formula>L8="E"</formula>
    </cfRule>
    <cfRule type="expression" dxfId="80" priority="37">
      <formula>L8="G"</formula>
    </cfRule>
  </conditionalFormatting>
  <conditionalFormatting sqref="I12:I13">
    <cfRule type="expression" dxfId="79" priority="32">
      <formula>G12="P"</formula>
    </cfRule>
    <cfRule type="expression" dxfId="78" priority="33">
      <formula>G12="E"</formula>
    </cfRule>
    <cfRule type="expression" dxfId="77" priority="34">
      <formula>G12="G"</formula>
    </cfRule>
  </conditionalFormatting>
  <conditionalFormatting sqref="I16:I17">
    <cfRule type="expression" dxfId="76" priority="29">
      <formula>G16="P"</formula>
    </cfRule>
    <cfRule type="expression" dxfId="75" priority="30">
      <formula>G16="E"</formula>
    </cfRule>
    <cfRule type="expression" dxfId="74" priority="31">
      <formula>G16="G"</formula>
    </cfRule>
  </conditionalFormatting>
  <conditionalFormatting sqref="I20:I21">
    <cfRule type="expression" dxfId="73" priority="26">
      <formula>G20="P"</formula>
    </cfRule>
    <cfRule type="expression" dxfId="72" priority="27">
      <formula>G20="E"</formula>
    </cfRule>
    <cfRule type="expression" dxfId="71" priority="28">
      <formula>G20="G"</formula>
    </cfRule>
  </conditionalFormatting>
  <conditionalFormatting sqref="R8:R9">
    <cfRule type="cellIs" dxfId="70" priority="6" operator="equal">
      <formula>"Suma los penales"</formula>
    </cfRule>
  </conditionalFormatting>
  <conditionalFormatting sqref="R12:R13">
    <cfRule type="cellIs" dxfId="69" priority="3" operator="equal">
      <formula>"Suma los penales"</formula>
    </cfRule>
  </conditionalFormatting>
  <conditionalFormatting sqref="R16:R17">
    <cfRule type="cellIs" dxfId="68" priority="2" operator="equal">
      <formula>"Suma los penales"</formula>
    </cfRule>
  </conditionalFormatting>
  <conditionalFormatting sqref="R20:R21">
    <cfRule type="cellIs" dxfId="67" priority="1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1:T14"/>
  <sheetViews>
    <sheetView showGridLines="0" showRowColHeader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28515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19.5703125" customWidth="1"/>
    <col min="19" max="19" width="0.85546875" customWidth="1"/>
    <col min="20" max="20" width="22.85546875" hidden="1" customWidth="1"/>
  </cols>
  <sheetData>
    <row r="1" spans="2:20" ht="18.75" customHeight="1" x14ac:dyDescent="0.25">
      <c r="T1" s="12"/>
    </row>
    <row r="2" spans="2:20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20" ht="15" customHeight="1" x14ac:dyDescent="0.25">
      <c r="N4" s="2"/>
    </row>
    <row r="5" spans="2:20" ht="15" customHeight="1" x14ac:dyDescent="0.25">
      <c r="B5" s="56" t="s">
        <v>71</v>
      </c>
      <c r="N5" s="2"/>
    </row>
    <row r="6" spans="2:20" ht="18" customHeight="1" x14ac:dyDescent="0.25">
      <c r="B6" s="62" t="s">
        <v>141</v>
      </c>
      <c r="C6" s="38" t="s">
        <v>29</v>
      </c>
      <c r="D6" s="38" t="s">
        <v>30</v>
      </c>
      <c r="E6" s="112" t="s">
        <v>22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25" t="s">
        <v>41</v>
      </c>
    </row>
    <row r="7" spans="2:20" ht="3.95" customHeight="1" thickBot="1" x14ac:dyDescent="0.3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20" ht="7.5" customHeight="1" x14ac:dyDescent="0.25">
      <c r="B8" s="76">
        <v>61</v>
      </c>
      <c r="C8" s="87">
        <f>VLOOKUP(B8,FechaHora,2,0) + VLOOKUP(UTCElegido,TablaUTC,3,0)</f>
        <v>44908.916666666664</v>
      </c>
      <c r="D8" s="88">
        <f>VLOOKUP(B8,FechaHora,2,0) + VLOOKUP(UTCElegido,TablaUTC,3,0)</f>
        <v>44908.916666666664</v>
      </c>
      <c r="E8" s="33" t="str">
        <f>IF(F8="","vacía",SUBSTITUTE(F8," ","_"))</f>
        <v>vacía</v>
      </c>
      <c r="F8" s="139" t="str">
        <f>IF(GanadorA&lt;&gt;"Suma los penales",GanadorA,"")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141" t="str">
        <f>IF(GanadorB&lt;&gt;"Suma los penales",GanadorB,"")</f>
        <v/>
      </c>
      <c r="O8" s="33" t="str">
        <f>IF(N8="","vacía",SUBSTITUTE(N8," ","_"))</f>
        <v>vacía</v>
      </c>
      <c r="P8" s="75" t="s">
        <v>145</v>
      </c>
      <c r="R8" s="131" t="str">
        <f>IF(G8="","",IF(G8="E","Suma los penales",IF(G8="G",F8,N8)))</f>
        <v/>
      </c>
      <c r="T8" s="109" t="str">
        <f>IF(OR(G8="",G8="E"),"",IF(G8="P",F8,N8))</f>
        <v/>
      </c>
    </row>
    <row r="9" spans="2:20" ht="7.5" customHeight="1" thickBot="1" x14ac:dyDescent="0.3">
      <c r="B9" s="76"/>
      <c r="C9" s="76"/>
      <c r="D9" s="76"/>
      <c r="E9" s="34"/>
      <c r="F9" s="139"/>
      <c r="G9" s="69"/>
      <c r="H9" s="28"/>
      <c r="I9" s="71"/>
      <c r="J9" s="69"/>
      <c r="K9" s="71"/>
      <c r="L9" s="69"/>
      <c r="M9" s="27"/>
      <c r="N9" s="141"/>
      <c r="O9" s="34"/>
      <c r="P9" s="75"/>
      <c r="R9" s="132"/>
      <c r="T9" s="109"/>
    </row>
    <row r="10" spans="2:20" ht="7.5" customHeight="1" x14ac:dyDescent="0.25">
      <c r="B10" s="76"/>
      <c r="C10" s="77"/>
      <c r="D10" s="78"/>
      <c r="E10" s="34"/>
      <c r="F10" s="74"/>
      <c r="G10" s="26"/>
      <c r="H10" s="26"/>
      <c r="I10" s="69"/>
      <c r="J10" s="69"/>
      <c r="K10" s="69"/>
      <c r="L10" s="26"/>
      <c r="M10" s="26"/>
      <c r="N10" s="74"/>
      <c r="O10" s="34"/>
      <c r="P10" s="75"/>
      <c r="R10" s="133"/>
    </row>
    <row r="11" spans="2:20" ht="7.5" customHeight="1" thickBot="1" x14ac:dyDescent="0.3">
      <c r="B11" s="76"/>
      <c r="C11" s="77"/>
      <c r="D11" s="78"/>
      <c r="E11" s="34"/>
      <c r="F11" s="74"/>
      <c r="G11" s="26"/>
      <c r="H11" s="26"/>
      <c r="I11" s="69"/>
      <c r="J11" s="69"/>
      <c r="K11" s="69"/>
      <c r="L11" s="26"/>
      <c r="M11" s="26"/>
      <c r="N11" s="74"/>
      <c r="O11" s="34"/>
      <c r="P11" s="75"/>
      <c r="R11" s="133"/>
    </row>
    <row r="12" spans="2:20" ht="7.5" customHeight="1" x14ac:dyDescent="0.25">
      <c r="B12" s="76">
        <v>62</v>
      </c>
      <c r="C12" s="87">
        <f>VLOOKUP(B12,FechaHora,2,0) + VLOOKUP(UTCElegido,TablaUTC,3,0)</f>
        <v>44909.916666666664</v>
      </c>
      <c r="D12" s="88">
        <f>VLOOKUP(B12,FechaHora,2,0) + VLOOKUP(UTCElegido,TablaUTC,3,0)</f>
        <v>44909.916666666664</v>
      </c>
      <c r="E12" s="33" t="str">
        <f>IF(F12="","vacía",SUBSTITUTE(F12," ","_"))</f>
        <v>vacía</v>
      </c>
      <c r="F12" s="139" t="str">
        <f>IF(GanadorC&lt;&gt;"Suma los penales",GanadorC,"")</f>
        <v/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40" t="str">
        <f>IF(GanadorD&lt;&gt;"Suma los penales",GanadorD,"")</f>
        <v/>
      </c>
      <c r="O12" s="33" t="str">
        <f>IF(N12="","vacía",SUBSTITUTE(N12," ","_"))</f>
        <v>vacía</v>
      </c>
      <c r="P12" s="75" t="s">
        <v>74</v>
      </c>
      <c r="R12" s="131" t="str">
        <f>IF(G12="","",IF(G12="E","Suma los penales",IF(G12="G",F12,N12)))</f>
        <v/>
      </c>
      <c r="T12" s="109" t="str">
        <f>IF(OR(G12="",G12="E"),"",IF(G12="P",F12,N12))</f>
        <v/>
      </c>
    </row>
    <row r="13" spans="2:20" ht="7.5" customHeight="1" thickBot="1" x14ac:dyDescent="0.3">
      <c r="B13" s="76"/>
      <c r="C13" s="76"/>
      <c r="D13" s="76"/>
      <c r="E13" s="34"/>
      <c r="F13" s="139"/>
      <c r="G13" s="69"/>
      <c r="H13" s="28"/>
      <c r="I13" s="71"/>
      <c r="J13" s="69"/>
      <c r="K13" s="71"/>
      <c r="L13" s="69"/>
      <c r="M13" s="27"/>
      <c r="N13" s="140"/>
      <c r="O13" s="34"/>
      <c r="P13" s="75"/>
      <c r="R13" s="132"/>
      <c r="T13" s="109"/>
    </row>
    <row r="14" spans="2:20" ht="3.95" customHeight="1" x14ac:dyDescent="0.25">
      <c r="B14" s="29"/>
      <c r="C14" s="30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9"/>
    </row>
  </sheetData>
  <sheetProtection sheet="1" objects="1" scenarios="1" selectLockedCells="1"/>
  <mergeCells count="37">
    <mergeCell ref="R8:R9"/>
    <mergeCell ref="R10:R11"/>
    <mergeCell ref="R12:R13"/>
    <mergeCell ref="K8:K9"/>
    <mergeCell ref="L8:L9"/>
    <mergeCell ref="N8:N9"/>
    <mergeCell ref="P8:P9"/>
    <mergeCell ref="E6:O6"/>
    <mergeCell ref="G12:G13"/>
    <mergeCell ref="I12:I13"/>
    <mergeCell ref="J12:J13"/>
    <mergeCell ref="N10:N11"/>
    <mergeCell ref="K12:K13"/>
    <mergeCell ref="L12:L13"/>
    <mergeCell ref="N12:N13"/>
    <mergeCell ref="T8:T9"/>
    <mergeCell ref="P10:P11"/>
    <mergeCell ref="T12:T13"/>
    <mergeCell ref="D10:D11"/>
    <mergeCell ref="F10:F11"/>
    <mergeCell ref="I10:I11"/>
    <mergeCell ref="J10:J11"/>
    <mergeCell ref="K10:K11"/>
    <mergeCell ref="D12:D13"/>
    <mergeCell ref="F12:F13"/>
    <mergeCell ref="D8:D9"/>
    <mergeCell ref="F8:F9"/>
    <mergeCell ref="G8:G9"/>
    <mergeCell ref="I8:I9"/>
    <mergeCell ref="J8:J9"/>
    <mergeCell ref="P12:P13"/>
    <mergeCell ref="B8:B9"/>
    <mergeCell ref="C8:C9"/>
    <mergeCell ref="B10:B11"/>
    <mergeCell ref="C10:C11"/>
    <mergeCell ref="B12:B13"/>
    <mergeCell ref="C12:C13"/>
  </mergeCells>
  <conditionalFormatting sqref="I8:I9">
    <cfRule type="expression" dxfId="66" priority="25">
      <formula>G8="P"</formula>
    </cfRule>
    <cfRule type="expression" dxfId="65" priority="26">
      <formula>G8="E"</formula>
    </cfRule>
    <cfRule type="expression" dxfId="64" priority="27">
      <formula>G8="G"</formula>
    </cfRule>
  </conditionalFormatting>
  <conditionalFormatting sqref="K12:K13">
    <cfRule type="expression" dxfId="63" priority="16">
      <formula>L12="P"</formula>
    </cfRule>
    <cfRule type="expression" dxfId="62" priority="17">
      <formula>L12="E"</formula>
    </cfRule>
    <cfRule type="expression" dxfId="61" priority="18">
      <formula>L12="G"</formula>
    </cfRule>
  </conditionalFormatting>
  <conditionalFormatting sqref="K8:K9">
    <cfRule type="expression" dxfId="60" priority="13">
      <formula>L8="P"</formula>
    </cfRule>
    <cfRule type="expression" dxfId="59" priority="14">
      <formula>L8="E"</formula>
    </cfRule>
    <cfRule type="expression" dxfId="58" priority="15">
      <formula>L8="G"</formula>
    </cfRule>
  </conditionalFormatting>
  <conditionalFormatting sqref="I12:I13">
    <cfRule type="expression" dxfId="57" priority="10">
      <formula>G12="P"</formula>
    </cfRule>
    <cfRule type="expression" dxfId="56" priority="11">
      <formula>G12="E"</formula>
    </cfRule>
    <cfRule type="expression" dxfId="55" priority="12">
      <formula>G12="G"</formula>
    </cfRule>
  </conditionalFormatting>
  <conditionalFormatting sqref="R12:R13">
    <cfRule type="cellIs" dxfId="54" priority="1" operator="equal">
      <formula>"Suma los penales"</formula>
    </cfRule>
  </conditionalFormatting>
  <conditionalFormatting sqref="R8:R9">
    <cfRule type="cellIs" dxfId="53" priority="2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B1:T24"/>
  <sheetViews>
    <sheetView showGridLines="0" showRowColHeaders="0" zoomScaleNormal="10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28515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22.85546875" bestFit="1" customWidth="1"/>
    <col min="19" max="19" width="0.85546875" customWidth="1"/>
    <col min="20" max="20" width="22.85546875" customWidth="1"/>
    <col min="23" max="23" width="8.85546875" bestFit="1" customWidth="1"/>
  </cols>
  <sheetData>
    <row r="1" spans="2:20" ht="18.75" customHeight="1" x14ac:dyDescent="0.25">
      <c r="T1" s="12"/>
    </row>
    <row r="2" spans="2:20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2"/>
      <c r="O2" s="11"/>
      <c r="P2" s="11"/>
      <c r="Q2" s="11"/>
    </row>
    <row r="4" spans="2:20" ht="15" customHeight="1" x14ac:dyDescent="0.25"/>
    <row r="5" spans="2:20" ht="15" customHeight="1" thickBot="1" x14ac:dyDescent="0.3">
      <c r="B5" s="56" t="s">
        <v>71</v>
      </c>
    </row>
    <row r="6" spans="2:20" ht="18" customHeight="1" x14ac:dyDescent="0.25">
      <c r="B6" s="62" t="s">
        <v>141</v>
      </c>
      <c r="C6" s="38" t="s">
        <v>140</v>
      </c>
      <c r="D6" s="38" t="s">
        <v>139</v>
      </c>
      <c r="E6" s="112" t="s">
        <v>24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138</v>
      </c>
      <c r="R6" s="21" t="s">
        <v>23</v>
      </c>
      <c r="T6" s="23" t="s">
        <v>25</v>
      </c>
    </row>
    <row r="7" spans="2:20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R7" s="22"/>
      <c r="T7" s="24"/>
    </row>
    <row r="8" spans="2:20" ht="7.5" customHeight="1" x14ac:dyDescent="0.25">
      <c r="B8" s="76">
        <v>63</v>
      </c>
      <c r="C8" s="87">
        <f>VLOOKUP(B8,FechaHora,2,0) + VLOOKUP(UTCElegido,TablaUTC,3,0)</f>
        <v>44912.75</v>
      </c>
      <c r="D8" s="88">
        <f>VLOOKUP(B8,FechaHora,2,0) + VLOOKUP(UTCElegido,TablaUTC,3,0)</f>
        <v>44912.75</v>
      </c>
      <c r="E8" s="33" t="str">
        <f>IF(F8="","vacía",SUBSTITUTE(F8," ","_"))</f>
        <v>vacía</v>
      </c>
      <c r="F8" s="139" t="str">
        <f>SemifinalP1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141" t="str">
        <f>SemifinalP2</f>
        <v/>
      </c>
      <c r="O8" s="33" t="str">
        <f>IF(N8="","vacía",SUBSTITUTE(N8," ","_"))</f>
        <v>vacía</v>
      </c>
      <c r="P8" s="75" t="s">
        <v>142</v>
      </c>
      <c r="R8" s="143" t="str">
        <f>IF(G8="","",IF(G8="E","Suma los penales",IF(G8="G",F8,N8)))</f>
        <v/>
      </c>
      <c r="T8" s="142" t="str">
        <f>IF(G8="","",IF(G8="E","Suma los penales",IF(G8="P",F8,N8)))</f>
        <v/>
      </c>
    </row>
    <row r="9" spans="2:20" ht="7.5" customHeight="1" x14ac:dyDescent="0.25">
      <c r="B9" s="76"/>
      <c r="C9" s="76"/>
      <c r="D9" s="76"/>
      <c r="E9" s="34"/>
      <c r="F9" s="139"/>
      <c r="G9" s="69"/>
      <c r="H9" s="28"/>
      <c r="I9" s="71"/>
      <c r="J9" s="69"/>
      <c r="K9" s="71"/>
      <c r="L9" s="69"/>
      <c r="M9" s="27"/>
      <c r="N9" s="141"/>
      <c r="O9" s="34"/>
      <c r="P9" s="75"/>
      <c r="R9" s="143"/>
      <c r="T9" s="142"/>
    </row>
    <row r="10" spans="2:20" ht="3.95" customHeight="1" thickBot="1" x14ac:dyDescent="0.3">
      <c r="B10" s="29"/>
      <c r="C10" s="30"/>
      <c r="D10" s="31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29"/>
      <c r="R10" s="20"/>
      <c r="T10" s="20"/>
    </row>
    <row r="11" spans="2:20" ht="7.5" customHeight="1" x14ac:dyDescent="0.25"/>
    <row r="12" spans="2:20" ht="7.5" customHeight="1" thickBot="1" x14ac:dyDescent="0.3"/>
    <row r="13" spans="2:20" ht="18" customHeight="1" x14ac:dyDescent="0.25">
      <c r="B13" s="62" t="s">
        <v>141</v>
      </c>
      <c r="C13" s="38" t="s">
        <v>140</v>
      </c>
      <c r="D13" s="38" t="s">
        <v>139</v>
      </c>
      <c r="E13" s="157" t="s">
        <v>27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39" t="s">
        <v>138</v>
      </c>
      <c r="R13" s="18" t="s">
        <v>26</v>
      </c>
    </row>
    <row r="14" spans="2:20" ht="3.95" customHeight="1" x14ac:dyDescent="0.25">
      <c r="B14" s="35"/>
      <c r="C14" s="36"/>
      <c r="D14" s="3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5"/>
      <c r="R14" s="19"/>
    </row>
    <row r="15" spans="2:20" ht="7.5" customHeight="1" x14ac:dyDescent="0.25">
      <c r="B15" s="76">
        <v>64</v>
      </c>
      <c r="C15" s="87">
        <f>VLOOKUP(B15,FechaHora,2,0) + VLOOKUP(UTCElegido,TablaUTC,3,0)</f>
        <v>44913.75</v>
      </c>
      <c r="D15" s="88">
        <f>VLOOKUP(B15,FechaHora,2,0) + VLOOKUP(UTCElegido,TablaUTC,3,0)</f>
        <v>44913.75</v>
      </c>
      <c r="E15" s="33" t="str">
        <f>IF(F15="","vacía",SUBSTITUTE(F15," ","_"))</f>
        <v>vacía</v>
      </c>
      <c r="F15" s="158" t="str">
        <f>IF(SemifinalG1&lt;&gt;"Suma los penales",SemifinalG1,"")</f>
        <v/>
      </c>
      <c r="G15" s="69" t="str">
        <f>IF(AND(I15&lt;&gt;"",K15&lt;&gt;""),IF(I15=K15,"E",IF(I15&gt;K15,"G","P")),"")</f>
        <v/>
      </c>
      <c r="H15" s="28"/>
      <c r="I15" s="70"/>
      <c r="J15" s="69" t="s">
        <v>0</v>
      </c>
      <c r="K15" s="70"/>
      <c r="L15" s="69" t="str">
        <f>IF(AND(K15&lt;&gt;"",I15&lt;&gt;""),IF(K15=I15,"E",IF(K15&gt;I15,"G","P")),"")</f>
        <v/>
      </c>
      <c r="M15" s="27"/>
      <c r="N15" s="141" t="str">
        <f>IF(SemifinalG2&lt;&gt;"Suma los penales",SemifinalG2,"")</f>
        <v/>
      </c>
      <c r="O15" s="33" t="str">
        <f>IF(N15="","vacía",SUBSTITUTE(N15," ","_"))</f>
        <v>vacía</v>
      </c>
      <c r="P15" s="75" t="s">
        <v>145</v>
      </c>
      <c r="R15" s="144" t="str">
        <f>IF(G15="","",IF(G15="E","Suma los penales",IF(G15="P",F15,N15)))</f>
        <v/>
      </c>
    </row>
    <row r="16" spans="2:20" ht="7.5" customHeight="1" x14ac:dyDescent="0.25">
      <c r="B16" s="76"/>
      <c r="C16" s="76"/>
      <c r="D16" s="76"/>
      <c r="E16" s="34"/>
      <c r="F16" s="158"/>
      <c r="G16" s="69"/>
      <c r="H16" s="28"/>
      <c r="I16" s="71"/>
      <c r="J16" s="69"/>
      <c r="K16" s="71"/>
      <c r="L16" s="69"/>
      <c r="M16" s="27"/>
      <c r="N16" s="141"/>
      <c r="O16" s="34"/>
      <c r="P16" s="75"/>
      <c r="R16" s="144"/>
    </row>
    <row r="17" spans="2:18" ht="3.95" customHeight="1" thickBot="1" x14ac:dyDescent="0.3">
      <c r="B17" s="29"/>
      <c r="C17" s="30"/>
      <c r="D17" s="3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9"/>
      <c r="R17" s="20"/>
    </row>
    <row r="18" spans="2:18" ht="3.6" customHeight="1" x14ac:dyDescent="0.25"/>
    <row r="19" spans="2:18" ht="7.5" customHeight="1" x14ac:dyDescent="0.25"/>
    <row r="20" spans="2:18" ht="7.5" customHeight="1" thickBot="1" x14ac:dyDescent="0.3"/>
    <row r="21" spans="2:18" ht="7.5" customHeight="1" x14ac:dyDescent="0.25">
      <c r="E21" s="145" t="s">
        <v>150</v>
      </c>
      <c r="F21" s="146"/>
      <c r="G21" s="146"/>
      <c r="H21" s="146"/>
      <c r="I21" s="146"/>
      <c r="J21" s="146"/>
      <c r="K21" s="146"/>
      <c r="L21" s="146"/>
      <c r="M21" s="146"/>
      <c r="N21" s="147"/>
    </row>
    <row r="22" spans="2:18" ht="15" customHeight="1" x14ac:dyDescent="0.25">
      <c r="E22" s="148"/>
      <c r="F22" s="149"/>
      <c r="G22" s="149"/>
      <c r="H22" s="149"/>
      <c r="I22" s="149"/>
      <c r="J22" s="149"/>
      <c r="K22" s="149"/>
      <c r="L22" s="149"/>
      <c r="M22" s="149"/>
      <c r="N22" s="150"/>
    </row>
    <row r="23" spans="2:18" ht="15" customHeight="1" x14ac:dyDescent="0.25">
      <c r="E23" s="151" t="str">
        <f>IF(G15="","",IF(G15="E","Suma los penales",IF(G15="G","¡"&amp;F15&amp;"!","¡"&amp;N15&amp;"!")))</f>
        <v/>
      </c>
      <c r="F23" s="152"/>
      <c r="G23" s="152"/>
      <c r="H23" s="152"/>
      <c r="I23" s="152"/>
      <c r="J23" s="152"/>
      <c r="K23" s="152"/>
      <c r="L23" s="152"/>
      <c r="M23" s="152"/>
      <c r="N23" s="153"/>
    </row>
    <row r="24" spans="2:18" ht="15" customHeight="1" thickBot="1" x14ac:dyDescent="0.3">
      <c r="E24" s="154"/>
      <c r="F24" s="155"/>
      <c r="G24" s="155"/>
      <c r="H24" s="155"/>
      <c r="I24" s="155"/>
      <c r="J24" s="155"/>
      <c r="K24" s="155"/>
      <c r="L24" s="155"/>
      <c r="M24" s="155"/>
      <c r="N24" s="156"/>
    </row>
  </sheetData>
  <sheetProtection sheet="1" objects="1" scenarios="1" selectLockedCells="1"/>
  <mergeCells count="29">
    <mergeCell ref="B8:B9"/>
    <mergeCell ref="C8:C9"/>
    <mergeCell ref="D8:D9"/>
    <mergeCell ref="F8:F9"/>
    <mergeCell ref="G8:G9"/>
    <mergeCell ref="B15:B16"/>
    <mergeCell ref="C15:C16"/>
    <mergeCell ref="D15:D16"/>
    <mergeCell ref="F15:F16"/>
    <mergeCell ref="G15:G16"/>
    <mergeCell ref="E21:N22"/>
    <mergeCell ref="E23:N24"/>
    <mergeCell ref="E6:O6"/>
    <mergeCell ref="E13:O13"/>
    <mergeCell ref="I15:I16"/>
    <mergeCell ref="J15:J16"/>
    <mergeCell ref="K15:K16"/>
    <mergeCell ref="L15:L16"/>
    <mergeCell ref="N15:N16"/>
    <mergeCell ref="I8:I9"/>
    <mergeCell ref="J8:J9"/>
    <mergeCell ref="K8:K9"/>
    <mergeCell ref="P15:P16"/>
    <mergeCell ref="L8:L9"/>
    <mergeCell ref="N8:N9"/>
    <mergeCell ref="P8:P9"/>
    <mergeCell ref="T8:T9"/>
    <mergeCell ref="R8:R9"/>
    <mergeCell ref="R15:R16"/>
  </mergeCells>
  <conditionalFormatting sqref="K15:K16">
    <cfRule type="expression" dxfId="52" priority="24">
      <formula>L15="P"</formula>
    </cfRule>
    <cfRule type="expression" dxfId="51" priority="25">
      <formula>L15="E"</formula>
    </cfRule>
    <cfRule type="expression" dxfId="50" priority="26">
      <formula>L15="G"</formula>
    </cfRule>
  </conditionalFormatting>
  <conditionalFormatting sqref="K8:K9">
    <cfRule type="expression" dxfId="49" priority="21">
      <formula>L8="P"</formula>
    </cfRule>
    <cfRule type="expression" dxfId="48" priority="22">
      <formula>L8="E"</formula>
    </cfRule>
    <cfRule type="expression" dxfId="47" priority="23">
      <formula>L8="G"</formula>
    </cfRule>
  </conditionalFormatting>
  <conditionalFormatting sqref="I8:I9">
    <cfRule type="expression" dxfId="46" priority="9">
      <formula>G8="P"</formula>
    </cfRule>
    <cfRule type="expression" dxfId="45" priority="10">
      <formula>G8="E"</formula>
    </cfRule>
    <cfRule type="expression" dxfId="44" priority="11">
      <formula>G8="G"</formula>
    </cfRule>
  </conditionalFormatting>
  <conditionalFormatting sqref="I15:I16">
    <cfRule type="expression" dxfId="43" priority="6">
      <formula>G15="P"</formula>
    </cfRule>
    <cfRule type="expression" dxfId="42" priority="7">
      <formula>G15="E"</formula>
    </cfRule>
    <cfRule type="expression" dxfId="41" priority="8">
      <formula>G15="G"</formula>
    </cfRule>
  </conditionalFormatting>
  <conditionalFormatting sqref="I10">
    <cfRule type="expression" dxfId="40" priority="5">
      <formula>$R$8="Suma los penales"</formula>
    </cfRule>
  </conditionalFormatting>
  <conditionalFormatting sqref="R8:R9">
    <cfRule type="cellIs" dxfId="39" priority="4" operator="equal">
      <formula>"Suma los penales"</formula>
    </cfRule>
  </conditionalFormatting>
  <conditionalFormatting sqref="T8:T9">
    <cfRule type="cellIs" dxfId="38" priority="3" operator="equal">
      <formula>"Suma los penales"</formula>
    </cfRule>
  </conditionalFormatting>
  <conditionalFormatting sqref="R15:R16">
    <cfRule type="cellIs" dxfId="37" priority="2" operator="equal">
      <formula>"Suma los penales"</formula>
    </cfRule>
  </conditionalFormatting>
  <conditionalFormatting sqref="E23:N24">
    <cfRule type="cellIs" dxfId="36" priority="1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/>
  <dimension ref="B1:Q27"/>
  <sheetViews>
    <sheetView showGridLines="0" showRowColHeaders="0" workbookViewId="0">
      <selection activeCell="P6" sqref="P6"/>
    </sheetView>
  </sheetViews>
  <sheetFormatPr baseColWidth="10" defaultRowHeight="15" x14ac:dyDescent="0.25"/>
  <cols>
    <col min="1" max="1" width="5.7109375" customWidth="1"/>
    <col min="2" max="2" width="20.7109375" customWidth="1"/>
    <col min="3" max="3" width="1.7109375" customWidth="1"/>
    <col min="4" max="4" width="20.7109375" customWidth="1"/>
    <col min="5" max="5" width="1.7109375" customWidth="1"/>
    <col min="6" max="6" width="20.7109375" customWidth="1"/>
    <col min="7" max="7" width="1.7109375" customWidth="1"/>
    <col min="8" max="8" width="20.7109375" customWidth="1"/>
    <col min="9" max="9" width="1.7109375" customWidth="1"/>
    <col min="10" max="10" width="20.7109375" customWidth="1"/>
    <col min="13" max="17" width="5.7109375" customWidth="1"/>
  </cols>
  <sheetData>
    <row r="1" spans="2:12" ht="33.75" customHeight="1" x14ac:dyDescent="0.25"/>
    <row r="2" spans="2:12" ht="15.75" thickBot="1" x14ac:dyDescent="0.3"/>
    <row r="3" spans="2:12" ht="15" customHeight="1" x14ac:dyDescent="0.25">
      <c r="B3" s="174">
        <v>92</v>
      </c>
      <c r="D3" s="176">
        <v>21</v>
      </c>
      <c r="F3" s="180">
        <v>8</v>
      </c>
      <c r="H3" s="172">
        <v>32</v>
      </c>
      <c r="J3" s="178">
        <v>64</v>
      </c>
      <c r="L3" s="14"/>
    </row>
    <row r="4" spans="2:12" ht="15" customHeight="1" x14ac:dyDescent="0.25">
      <c r="B4" s="175"/>
      <c r="D4" s="177"/>
      <c r="F4" s="181"/>
      <c r="H4" s="173"/>
      <c r="J4" s="179"/>
    </row>
    <row r="5" spans="2:12" ht="15" customHeight="1" x14ac:dyDescent="0.25">
      <c r="B5" s="175"/>
      <c r="D5" s="177"/>
      <c r="F5" s="181"/>
      <c r="H5" s="173"/>
      <c r="J5" s="179"/>
      <c r="L5" s="14"/>
    </row>
    <row r="6" spans="2:12" ht="15" customHeight="1" x14ac:dyDescent="0.25">
      <c r="B6" s="175"/>
      <c r="D6" s="177"/>
      <c r="F6" s="181"/>
      <c r="H6" s="173"/>
      <c r="J6" s="179"/>
      <c r="L6" s="14"/>
    </row>
    <row r="7" spans="2:12" x14ac:dyDescent="0.25">
      <c r="B7" s="161" t="s">
        <v>42</v>
      </c>
      <c r="D7" s="162" t="s">
        <v>44</v>
      </c>
      <c r="F7" s="163" t="s">
        <v>97</v>
      </c>
      <c r="H7" s="164" t="s">
        <v>43</v>
      </c>
      <c r="J7" s="165" t="s">
        <v>1</v>
      </c>
      <c r="L7" s="14"/>
    </row>
    <row r="8" spans="2:12" x14ac:dyDescent="0.25">
      <c r="B8" s="161"/>
      <c r="D8" s="162"/>
      <c r="F8" s="163"/>
      <c r="H8" s="164"/>
      <c r="J8" s="165"/>
      <c r="L8" s="14"/>
    </row>
    <row r="9" spans="2:12" ht="5.0999999999999996" customHeight="1" x14ac:dyDescent="0.25">
      <c r="B9" s="44"/>
      <c r="D9" s="43"/>
      <c r="F9" s="45"/>
      <c r="H9" s="41"/>
      <c r="J9" s="42"/>
      <c r="L9" s="14"/>
    </row>
    <row r="10" spans="2:12" ht="15" customHeight="1" x14ac:dyDescent="0.25">
      <c r="B10" s="166" t="s">
        <v>152</v>
      </c>
      <c r="D10" s="168" t="s">
        <v>155</v>
      </c>
      <c r="F10" s="170" t="s">
        <v>98</v>
      </c>
      <c r="H10" s="168" t="s">
        <v>153</v>
      </c>
      <c r="J10" s="159" t="s">
        <v>154</v>
      </c>
    </row>
    <row r="11" spans="2:12" x14ac:dyDescent="0.25">
      <c r="B11" s="166"/>
      <c r="D11" s="168"/>
      <c r="F11" s="170"/>
      <c r="H11" s="168"/>
      <c r="J11" s="159"/>
    </row>
    <row r="12" spans="2:12" x14ac:dyDescent="0.25">
      <c r="B12" s="166"/>
      <c r="D12" s="168"/>
      <c r="F12" s="170"/>
      <c r="H12" s="168"/>
      <c r="J12" s="159"/>
    </row>
    <row r="13" spans="2:12" x14ac:dyDescent="0.25">
      <c r="B13" s="166"/>
      <c r="D13" s="168"/>
      <c r="F13" s="170"/>
      <c r="H13" s="168"/>
      <c r="J13" s="159"/>
    </row>
    <row r="14" spans="2:12" x14ac:dyDescent="0.25">
      <c r="B14" s="166"/>
      <c r="D14" s="168"/>
      <c r="F14" s="170"/>
      <c r="H14" s="168"/>
      <c r="J14" s="159"/>
    </row>
    <row r="15" spans="2:12" x14ac:dyDescent="0.25">
      <c r="B15" s="166"/>
      <c r="D15" s="168"/>
      <c r="F15" s="170"/>
      <c r="H15" s="168"/>
      <c r="J15" s="159"/>
    </row>
    <row r="16" spans="2:12" ht="5.0999999999999996" customHeight="1" thickBot="1" x14ac:dyDescent="0.3">
      <c r="B16" s="167"/>
      <c r="D16" s="169"/>
      <c r="F16" s="171"/>
      <c r="H16" s="169"/>
      <c r="J16" s="160"/>
      <c r="L16" s="14">
        <v>1974</v>
      </c>
    </row>
    <row r="18" spans="2:17" x14ac:dyDescent="0.25">
      <c r="L18" s="14"/>
    </row>
    <row r="19" spans="2:17" x14ac:dyDescent="0.25">
      <c r="K19" s="14"/>
    </row>
    <row r="20" spans="2:17" ht="15.75" x14ac:dyDescent="0.25">
      <c r="B20" s="50" t="s">
        <v>45</v>
      </c>
      <c r="C20" s="50"/>
      <c r="D20" s="50" t="s">
        <v>90</v>
      </c>
      <c r="E20" s="50"/>
      <c r="F20" s="50" t="s">
        <v>55</v>
      </c>
      <c r="G20" s="50"/>
      <c r="H20" s="50" t="s">
        <v>96</v>
      </c>
      <c r="K20" s="47" t="s">
        <v>20</v>
      </c>
      <c r="L20" s="48" t="s">
        <v>151</v>
      </c>
      <c r="M20" s="49">
        <v>1954</v>
      </c>
      <c r="N20" s="49">
        <v>1974</v>
      </c>
      <c r="O20" s="49">
        <v>1990</v>
      </c>
      <c r="P20" s="49">
        <v>2014</v>
      </c>
      <c r="Q20" s="47"/>
    </row>
    <row r="21" spans="2:17" ht="15.75" x14ac:dyDescent="0.25">
      <c r="B21" s="50" t="s">
        <v>46</v>
      </c>
      <c r="C21" s="50"/>
      <c r="D21" s="50" t="s">
        <v>91</v>
      </c>
      <c r="E21" s="50"/>
      <c r="F21" s="50" t="s">
        <v>94</v>
      </c>
      <c r="G21" s="50"/>
      <c r="H21" s="50" t="s">
        <v>61</v>
      </c>
      <c r="K21" s="9" t="s">
        <v>19</v>
      </c>
      <c r="L21" s="46" t="s">
        <v>69</v>
      </c>
      <c r="M21" s="8">
        <v>1978</v>
      </c>
      <c r="N21" s="8">
        <v>1986</v>
      </c>
      <c r="O21" s="9"/>
      <c r="P21" s="9"/>
      <c r="Q21" s="9"/>
    </row>
    <row r="22" spans="2:17" ht="15.75" x14ac:dyDescent="0.25">
      <c r="B22" s="50" t="s">
        <v>47</v>
      </c>
      <c r="C22" s="50"/>
      <c r="D22" s="50" t="s">
        <v>51</v>
      </c>
      <c r="E22" s="50"/>
      <c r="F22" s="50" t="s">
        <v>95</v>
      </c>
      <c r="G22" s="50"/>
      <c r="H22" s="50" t="s">
        <v>62</v>
      </c>
      <c r="K22" s="47" t="s">
        <v>10</v>
      </c>
      <c r="L22" s="48" t="s">
        <v>70</v>
      </c>
      <c r="M22" s="49">
        <v>1958</v>
      </c>
      <c r="N22" s="49">
        <v>1962</v>
      </c>
      <c r="O22" s="49">
        <v>1970</v>
      </c>
      <c r="P22" s="49">
        <v>1994</v>
      </c>
      <c r="Q22" s="49">
        <v>2002</v>
      </c>
    </row>
    <row r="23" spans="2:17" ht="15.75" x14ac:dyDescent="0.25">
      <c r="B23" s="50" t="s">
        <v>48</v>
      </c>
      <c r="C23" s="50"/>
      <c r="D23" s="50" t="s">
        <v>52</v>
      </c>
      <c r="E23" s="50"/>
      <c r="F23" s="50" t="s">
        <v>56</v>
      </c>
      <c r="G23" s="50"/>
      <c r="H23" s="50" t="s">
        <v>63</v>
      </c>
      <c r="K23" s="9" t="s">
        <v>13</v>
      </c>
      <c r="L23" s="46" t="s">
        <v>68</v>
      </c>
      <c r="M23" s="8">
        <v>2010</v>
      </c>
      <c r="N23" s="9"/>
      <c r="O23" s="9"/>
      <c r="P23" s="9"/>
      <c r="Q23" s="9"/>
    </row>
    <row r="24" spans="2:17" ht="15.75" x14ac:dyDescent="0.25">
      <c r="B24" s="50" t="s">
        <v>49</v>
      </c>
      <c r="C24" s="50"/>
      <c r="D24" s="50" t="s">
        <v>53</v>
      </c>
      <c r="E24" s="50"/>
      <c r="F24" s="50" t="s">
        <v>57</v>
      </c>
      <c r="G24" s="50"/>
      <c r="H24" s="50" t="s">
        <v>64</v>
      </c>
      <c r="K24" s="47" t="s">
        <v>18</v>
      </c>
      <c r="L24" s="48" t="s">
        <v>69</v>
      </c>
      <c r="M24" s="49">
        <v>1998</v>
      </c>
      <c r="N24" s="47">
        <v>2018</v>
      </c>
      <c r="O24" s="47"/>
      <c r="P24" s="47"/>
      <c r="Q24" s="47"/>
    </row>
    <row r="25" spans="2:17" ht="15.75" x14ac:dyDescent="0.25">
      <c r="B25" s="50" t="s">
        <v>50</v>
      </c>
      <c r="C25" s="50"/>
      <c r="D25" s="50" t="s">
        <v>92</v>
      </c>
      <c r="E25" s="50"/>
      <c r="F25" s="50" t="s">
        <v>58</v>
      </c>
      <c r="G25" s="50"/>
      <c r="H25" s="50" t="s">
        <v>65</v>
      </c>
      <c r="K25" s="9" t="s">
        <v>16</v>
      </c>
      <c r="L25" s="46" t="s">
        <v>68</v>
      </c>
      <c r="M25" s="8">
        <v>1966</v>
      </c>
      <c r="N25" s="9"/>
      <c r="O25" s="9"/>
      <c r="P25" s="9"/>
      <c r="Q25" s="9"/>
    </row>
    <row r="26" spans="2:17" ht="15.75" x14ac:dyDescent="0.25">
      <c r="B26" s="50" t="s">
        <v>88</v>
      </c>
      <c r="C26" s="50"/>
      <c r="D26" s="50" t="s">
        <v>54</v>
      </c>
      <c r="E26" s="50"/>
      <c r="F26" s="50" t="s">
        <v>59</v>
      </c>
      <c r="G26" s="50"/>
      <c r="H26" s="50" t="s">
        <v>66</v>
      </c>
      <c r="K26" s="47" t="s">
        <v>14</v>
      </c>
      <c r="L26" s="48" t="s">
        <v>69</v>
      </c>
      <c r="M26" s="49">
        <v>1930</v>
      </c>
      <c r="N26" s="49">
        <v>1950</v>
      </c>
      <c r="O26" s="47"/>
      <c r="P26" s="47"/>
      <c r="Q26" s="47"/>
    </row>
    <row r="27" spans="2:17" x14ac:dyDescent="0.25">
      <c r="B27" s="50" t="s">
        <v>89</v>
      </c>
      <c r="C27" s="50"/>
      <c r="D27" s="50" t="s">
        <v>93</v>
      </c>
      <c r="E27" s="50"/>
      <c r="F27" s="50" t="s">
        <v>60</v>
      </c>
      <c r="G27" s="50"/>
      <c r="H27" s="50" t="s">
        <v>67</v>
      </c>
    </row>
  </sheetData>
  <sheetProtection sheet="1" objects="1" scenarios="1"/>
  <sortState xmlns:xlrd2="http://schemas.microsoft.com/office/spreadsheetml/2017/richdata2" ref="K20:Q26">
    <sortCondition ref="K20"/>
  </sortState>
  <mergeCells count="15">
    <mergeCell ref="H3:H6"/>
    <mergeCell ref="B3:B6"/>
    <mergeCell ref="D3:D6"/>
    <mergeCell ref="J3:J6"/>
    <mergeCell ref="F3:F6"/>
    <mergeCell ref="J10:J16"/>
    <mergeCell ref="B7:B8"/>
    <mergeCell ref="D7:D8"/>
    <mergeCell ref="F7:F8"/>
    <mergeCell ref="H7:H8"/>
    <mergeCell ref="J7:J8"/>
    <mergeCell ref="B10:B16"/>
    <mergeCell ref="D10:D16"/>
    <mergeCell ref="F10:F16"/>
    <mergeCell ref="H10:H1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A8EF-CB88-455A-9FB6-232B342F09BE}">
  <sheetPr codeName="Hoja17"/>
  <dimension ref="B1:C8"/>
  <sheetViews>
    <sheetView showGridLines="0" showRowColHeaders="0" workbookViewId="0">
      <selection activeCell="C3" sqref="C3"/>
    </sheetView>
  </sheetViews>
  <sheetFormatPr baseColWidth="10" defaultRowHeight="15" x14ac:dyDescent="0.25"/>
  <cols>
    <col min="1" max="1" width="5.7109375" customWidth="1"/>
    <col min="2" max="2" width="35.28515625" customWidth="1"/>
    <col min="3" max="3" width="16.42578125" customWidth="1"/>
  </cols>
  <sheetData>
    <row r="1" spans="2:3" ht="82.5" customHeight="1" x14ac:dyDescent="0.25"/>
    <row r="3" spans="2:3" ht="30" customHeight="1" x14ac:dyDescent="0.25">
      <c r="B3" s="57" t="s">
        <v>137</v>
      </c>
      <c r="C3" s="59" t="s">
        <v>115</v>
      </c>
    </row>
    <row r="5" spans="2:3" x14ac:dyDescent="0.25">
      <c r="B5" t="s">
        <v>135</v>
      </c>
    </row>
    <row r="7" spans="2:3" ht="9.9499999999999993" customHeight="1" x14ac:dyDescent="0.25"/>
    <row r="8" spans="2:3" x14ac:dyDescent="0.25">
      <c r="B8" t="s">
        <v>136</v>
      </c>
    </row>
  </sheetData>
  <sheetProtection sheet="1" objects="1" scenarios="1"/>
  <dataValidations count="1">
    <dataValidation type="list" allowBlank="1" showInputMessage="1" showErrorMessage="1" sqref="C3" xr:uid="{04E84AFA-64EF-4EB6-BDAE-8FDC91742888}">
      <formula1>ListaUTC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"/>
  <dimension ref="A23"/>
  <sheetViews>
    <sheetView showGridLines="0" showRowColHeaders="0" workbookViewId="0"/>
  </sheetViews>
  <sheetFormatPr baseColWidth="10" defaultRowHeight="15" x14ac:dyDescent="0.25"/>
  <cols>
    <col min="8" max="8" width="7.140625" customWidth="1"/>
    <col min="16384" max="16384" width="0" hidden="1" customWidth="1"/>
  </cols>
  <sheetData>
    <row r="23" ht="11.25" customHeight="1" x14ac:dyDescent="0.25"/>
  </sheetData>
  <sheetProtection algorithmName="SHA-512" hashValue="23T1Is75Z+kjLk1ZVjwyLUE8MUZbcOuQoIltW6uJ1Kth76B+nMKKzgMXQMptqUIiZ3wOlHI4qaMpW2UAffPLgg==" saltValue="ONJHvRSFMmkpiXqsAkGqvw==" spinCount="100000" sheet="1" objects="1" scenarios="1" selectLockedCells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/>
  <dimension ref="A1:Q64"/>
  <sheetViews>
    <sheetView showGridLines="0" showRowColHeaders="0" workbookViewId="0">
      <selection activeCell="R1" sqref="R1"/>
    </sheetView>
  </sheetViews>
  <sheetFormatPr baseColWidth="10" defaultRowHeight="15" x14ac:dyDescent="0.25"/>
  <cols>
    <col min="1" max="1" width="20.140625" customWidth="1"/>
    <col min="2" max="2" width="5" customWidth="1"/>
    <col min="3" max="7" width="2.7109375" customWidth="1"/>
    <col min="8" max="8" width="10.85546875" bestFit="1" customWidth="1"/>
    <col min="9" max="9" width="8.140625" bestFit="1" customWidth="1"/>
    <col min="10" max="10" width="12.7109375" bestFit="1" customWidth="1"/>
    <col min="11" max="15" width="2.7109375" customWidth="1"/>
    <col min="16" max="16" width="3" bestFit="1" customWidth="1"/>
    <col min="17" max="17" width="15.7109375" bestFit="1" customWidth="1"/>
  </cols>
  <sheetData>
    <row r="1" spans="1:17" ht="23.25" customHeight="1" x14ac:dyDescent="0.25">
      <c r="A1" s="9" t="s">
        <v>20</v>
      </c>
      <c r="H1" s="51" t="s">
        <v>99</v>
      </c>
      <c r="I1" s="54">
        <v>0.625</v>
      </c>
      <c r="J1" s="53">
        <v>-0.625</v>
      </c>
      <c r="P1" s="51">
        <v>1</v>
      </c>
      <c r="Q1" s="58">
        <v>44885.791666666664</v>
      </c>
    </row>
    <row r="2" spans="1:17" ht="23.25" customHeight="1" x14ac:dyDescent="0.25">
      <c r="A2" s="9" t="s">
        <v>86</v>
      </c>
      <c r="H2" s="51" t="s">
        <v>100</v>
      </c>
      <c r="I2" s="54">
        <v>0.58333333333333337</v>
      </c>
      <c r="J2" s="53">
        <v>-0.58333333333333337</v>
      </c>
      <c r="P2" s="51">
        <v>2</v>
      </c>
      <c r="Q2" s="58">
        <v>44886.791666666664</v>
      </c>
    </row>
    <row r="3" spans="1:17" ht="23.25" customHeight="1" x14ac:dyDescent="0.25">
      <c r="A3" s="9" t="s">
        <v>19</v>
      </c>
      <c r="H3" s="51" t="s">
        <v>101</v>
      </c>
      <c r="I3" s="54">
        <v>0.54166666666666663</v>
      </c>
      <c r="J3" s="53">
        <v>-0.54166666666666663</v>
      </c>
      <c r="P3" s="51">
        <v>3</v>
      </c>
      <c r="Q3" s="58">
        <v>44886.666666666664</v>
      </c>
    </row>
    <row r="4" spans="1:17" ht="23.25" customHeight="1" x14ac:dyDescent="0.25">
      <c r="A4" s="9" t="s">
        <v>12</v>
      </c>
      <c r="H4" s="51" t="s">
        <v>102</v>
      </c>
      <c r="I4" s="54">
        <v>0.5</v>
      </c>
      <c r="J4" s="53">
        <v>-0.5</v>
      </c>
      <c r="P4" s="51">
        <v>4</v>
      </c>
      <c r="Q4" s="58">
        <v>44886.916666666664</v>
      </c>
    </row>
    <row r="5" spans="1:17" ht="23.25" customHeight="1" x14ac:dyDescent="0.25">
      <c r="A5" s="9" t="s">
        <v>36</v>
      </c>
      <c r="H5" s="51" t="s">
        <v>103</v>
      </c>
      <c r="I5" s="54">
        <v>0.45833333333333331</v>
      </c>
      <c r="J5" s="53">
        <v>-0.45833333333333331</v>
      </c>
      <c r="P5" s="51">
        <v>5</v>
      </c>
      <c r="Q5" s="58">
        <v>44887.916666666664</v>
      </c>
    </row>
    <row r="6" spans="1:17" ht="23.25" customHeight="1" x14ac:dyDescent="0.25">
      <c r="A6" s="9" t="s">
        <v>10</v>
      </c>
      <c r="H6" s="51" t="s">
        <v>104</v>
      </c>
      <c r="I6" s="54">
        <v>0.41666666666666669</v>
      </c>
      <c r="J6" s="53">
        <v>-0.41666666666666669</v>
      </c>
      <c r="P6" s="51">
        <v>6</v>
      </c>
      <c r="Q6" s="58">
        <v>44887.666666666664</v>
      </c>
    </row>
    <row r="7" spans="1:17" ht="23.25" customHeight="1" x14ac:dyDescent="0.25">
      <c r="A7" s="9" t="s">
        <v>83</v>
      </c>
      <c r="H7" s="51" t="s">
        <v>105</v>
      </c>
      <c r="I7" s="54">
        <v>0.375</v>
      </c>
      <c r="J7" s="53">
        <v>-0.375</v>
      </c>
      <c r="P7" s="51">
        <v>7</v>
      </c>
      <c r="Q7" s="58">
        <v>44887.791666666664</v>
      </c>
    </row>
    <row r="8" spans="1:17" ht="23.25" customHeight="1" x14ac:dyDescent="0.25">
      <c r="A8" s="9" t="s">
        <v>82</v>
      </c>
      <c r="H8" s="51" t="s">
        <v>106</v>
      </c>
      <c r="I8" s="54">
        <v>0.33333333333333331</v>
      </c>
      <c r="J8" s="53">
        <v>-0.33333333333333331</v>
      </c>
      <c r="P8" s="51">
        <v>8</v>
      </c>
      <c r="Q8" s="58">
        <v>44887.541666666664</v>
      </c>
    </row>
    <row r="9" spans="1:17" ht="23.25" customHeight="1" x14ac:dyDescent="0.25">
      <c r="A9" s="9" t="s">
        <v>78</v>
      </c>
      <c r="H9" s="51" t="s">
        <v>107</v>
      </c>
      <c r="I9" s="54">
        <v>0.29166666666666669</v>
      </c>
      <c r="J9" s="53">
        <v>-0.29166666666666669</v>
      </c>
      <c r="P9" s="51">
        <v>9</v>
      </c>
      <c r="Q9" s="58">
        <v>44888.916666666664</v>
      </c>
    </row>
    <row r="10" spans="1:17" ht="23.25" customHeight="1" x14ac:dyDescent="0.25">
      <c r="A10" s="9" t="s">
        <v>84</v>
      </c>
      <c r="H10" s="51" t="s">
        <v>108</v>
      </c>
      <c r="I10" s="54">
        <v>0.27083333333333331</v>
      </c>
      <c r="J10" s="53">
        <v>-0.27083333333333331</v>
      </c>
      <c r="P10" s="51">
        <v>10</v>
      </c>
      <c r="Q10" s="58">
        <v>44888.791666666664</v>
      </c>
    </row>
    <row r="11" spans="1:17" ht="23.25" customHeight="1" x14ac:dyDescent="0.25">
      <c r="A11" s="9" t="s">
        <v>15</v>
      </c>
      <c r="H11" s="51" t="s">
        <v>109</v>
      </c>
      <c r="I11" s="54">
        <v>0.25</v>
      </c>
      <c r="J11" s="53">
        <v>-0.25</v>
      </c>
      <c r="P11" s="51">
        <v>11</v>
      </c>
      <c r="Q11" s="58">
        <v>44888.666666666664</v>
      </c>
    </row>
    <row r="12" spans="1:17" ht="23.25" customHeight="1" x14ac:dyDescent="0.25">
      <c r="A12" s="9" t="s">
        <v>11</v>
      </c>
      <c r="H12" s="51" t="s">
        <v>110</v>
      </c>
      <c r="I12" s="54">
        <v>0.20833333333333334</v>
      </c>
      <c r="J12" s="53">
        <v>-0.20833333333333334</v>
      </c>
      <c r="P12" s="51">
        <v>12</v>
      </c>
      <c r="Q12" s="58">
        <v>44888.541666666664</v>
      </c>
    </row>
    <row r="13" spans="1:17" ht="23.25" customHeight="1" x14ac:dyDescent="0.25">
      <c r="A13" s="9" t="s">
        <v>33</v>
      </c>
      <c r="H13" s="51" t="s">
        <v>111</v>
      </c>
      <c r="I13" s="54">
        <v>0.16666666666666666</v>
      </c>
      <c r="J13" s="53">
        <v>-0.16666666666666666</v>
      </c>
      <c r="P13" s="51">
        <v>13</v>
      </c>
      <c r="Q13" s="58">
        <v>44889.541666666664</v>
      </c>
    </row>
    <row r="14" spans="1:17" ht="23.25" customHeight="1" x14ac:dyDescent="0.25">
      <c r="A14" s="9" t="s">
        <v>79</v>
      </c>
      <c r="H14" s="51" t="s">
        <v>112</v>
      </c>
      <c r="I14" s="54">
        <v>0.125</v>
      </c>
      <c r="J14" s="53">
        <v>-0.125</v>
      </c>
      <c r="P14" s="51">
        <v>14</v>
      </c>
      <c r="Q14" s="58">
        <v>44889.666666666664</v>
      </c>
    </row>
    <row r="15" spans="1:17" ht="23.25" customHeight="1" x14ac:dyDescent="0.25">
      <c r="A15" s="9" t="s">
        <v>13</v>
      </c>
      <c r="H15" s="51" t="s">
        <v>113</v>
      </c>
      <c r="I15" s="54">
        <v>8.3333333333333329E-2</v>
      </c>
      <c r="J15" s="53">
        <v>-8.3333333333333301E-2</v>
      </c>
      <c r="P15" s="51">
        <v>15</v>
      </c>
      <c r="Q15" s="58">
        <v>44889.791666666664</v>
      </c>
    </row>
    <row r="16" spans="1:17" ht="23.25" customHeight="1" x14ac:dyDescent="0.25">
      <c r="A16" s="9" t="s">
        <v>87</v>
      </c>
      <c r="H16" s="51" t="s">
        <v>114</v>
      </c>
      <c r="I16" s="54">
        <v>4.1666666666666664E-2</v>
      </c>
      <c r="J16" s="53">
        <v>-4.1666666666666699E-2</v>
      </c>
      <c r="P16" s="51">
        <v>16</v>
      </c>
      <c r="Q16" s="58">
        <v>44889.916666666664</v>
      </c>
    </row>
    <row r="17" spans="1:17" ht="23.25" customHeight="1" x14ac:dyDescent="0.25">
      <c r="A17" s="9" t="s">
        <v>18</v>
      </c>
      <c r="H17" s="51" t="s">
        <v>115</v>
      </c>
      <c r="I17">
        <v>0</v>
      </c>
      <c r="J17">
        <v>0</v>
      </c>
      <c r="K17" s="55"/>
      <c r="P17" s="51">
        <v>17</v>
      </c>
      <c r="Q17" s="58">
        <v>44890.541666666664</v>
      </c>
    </row>
    <row r="18" spans="1:17" ht="23.25" customHeight="1" x14ac:dyDescent="0.25">
      <c r="A18" s="9" t="s">
        <v>77</v>
      </c>
      <c r="H18" s="51" t="s">
        <v>116</v>
      </c>
      <c r="I18" s="52">
        <v>2.0833333333333332E-2</v>
      </c>
      <c r="J18">
        <v>2.0833333333333332E-2</v>
      </c>
      <c r="P18" s="51">
        <v>18</v>
      </c>
      <c r="Q18" s="58">
        <v>44890.666666666664</v>
      </c>
    </row>
    <row r="19" spans="1:17" ht="23.25" customHeight="1" x14ac:dyDescent="0.25">
      <c r="A19" s="9" t="s">
        <v>85</v>
      </c>
      <c r="H19" s="51" t="s">
        <v>117</v>
      </c>
      <c r="I19" s="52">
        <v>4.1666666666666664E-2</v>
      </c>
      <c r="J19">
        <v>4.1666666666666664E-2</v>
      </c>
      <c r="P19" s="51">
        <v>19</v>
      </c>
      <c r="Q19" s="58">
        <v>44890.791666666664</v>
      </c>
    </row>
    <row r="20" spans="1:17" ht="23.25" customHeight="1" x14ac:dyDescent="0.25">
      <c r="A20" s="9" t="s">
        <v>16</v>
      </c>
      <c r="H20" s="51" t="s">
        <v>118</v>
      </c>
      <c r="I20" s="52">
        <v>6.25E-2</v>
      </c>
      <c r="J20">
        <v>6.25E-2</v>
      </c>
      <c r="P20" s="51">
        <v>20</v>
      </c>
      <c r="Q20" s="58">
        <v>44890.916666666664</v>
      </c>
    </row>
    <row r="21" spans="1:17" ht="23.25" customHeight="1" x14ac:dyDescent="0.25">
      <c r="A21" s="9" t="s">
        <v>32</v>
      </c>
      <c r="H21" s="51" t="s">
        <v>119</v>
      </c>
      <c r="I21" s="52">
        <v>8.3333333333333329E-2</v>
      </c>
      <c r="J21">
        <v>8.3333333333333329E-2</v>
      </c>
      <c r="P21" s="51">
        <v>21</v>
      </c>
      <c r="Q21" s="58">
        <v>44891.541666666664</v>
      </c>
    </row>
    <row r="22" spans="1:17" ht="23.25" customHeight="1" x14ac:dyDescent="0.25">
      <c r="A22" s="9" t="s">
        <v>39</v>
      </c>
      <c r="H22" s="51" t="s">
        <v>120</v>
      </c>
      <c r="I22" s="52">
        <v>0.10416666666666667</v>
      </c>
      <c r="J22">
        <v>0.10416666666666667</v>
      </c>
      <c r="P22" s="51">
        <v>22</v>
      </c>
      <c r="Q22" s="58">
        <v>44891.666666666664</v>
      </c>
    </row>
    <row r="23" spans="1:17" ht="23.25" customHeight="1" x14ac:dyDescent="0.25">
      <c r="A23" s="9" t="s">
        <v>31</v>
      </c>
      <c r="H23" s="51" t="s">
        <v>121</v>
      </c>
      <c r="I23" s="52">
        <v>0.11458333333333333</v>
      </c>
      <c r="J23">
        <v>0.11458333333333333</v>
      </c>
      <c r="P23" s="51">
        <v>23</v>
      </c>
      <c r="Q23" s="58">
        <v>44891.791666666664</v>
      </c>
    </row>
    <row r="24" spans="1:17" ht="23.25" customHeight="1" x14ac:dyDescent="0.25">
      <c r="A24" s="9" t="s">
        <v>35</v>
      </c>
      <c r="H24" s="51" t="s">
        <v>122</v>
      </c>
      <c r="I24" s="52">
        <v>0.125</v>
      </c>
      <c r="J24">
        <v>0.125</v>
      </c>
      <c r="P24" s="51">
        <v>24</v>
      </c>
      <c r="Q24" s="58">
        <v>44891.916666666664</v>
      </c>
    </row>
    <row r="25" spans="1:17" ht="23.25" customHeight="1" x14ac:dyDescent="0.25">
      <c r="A25" s="9" t="s">
        <v>80</v>
      </c>
      <c r="H25" s="51" t="s">
        <v>123</v>
      </c>
      <c r="I25" s="52">
        <v>0.14583333333333334</v>
      </c>
      <c r="J25">
        <v>0.14583333333333334</v>
      </c>
      <c r="P25" s="51">
        <v>25</v>
      </c>
      <c r="Q25" s="58">
        <v>44892.541666666664</v>
      </c>
    </row>
    <row r="26" spans="1:17" ht="23.25" customHeight="1" x14ac:dyDescent="0.25">
      <c r="A26" s="9" t="s">
        <v>38</v>
      </c>
      <c r="H26" s="51" t="s">
        <v>124</v>
      </c>
      <c r="I26" s="52">
        <v>0.16666666666666666</v>
      </c>
      <c r="J26">
        <v>0.16666666666666666</v>
      </c>
      <c r="P26" s="51">
        <v>26</v>
      </c>
      <c r="Q26" s="58">
        <v>44892.666666666664</v>
      </c>
    </row>
    <row r="27" spans="1:17" ht="23.25" customHeight="1" x14ac:dyDescent="0.25">
      <c r="A27" s="9" t="s">
        <v>21</v>
      </c>
      <c r="H27" s="51" t="s">
        <v>125</v>
      </c>
      <c r="I27" s="52">
        <v>0.20833333333333334</v>
      </c>
      <c r="J27">
        <v>0.20833333333333334</v>
      </c>
      <c r="P27" s="51">
        <v>27</v>
      </c>
      <c r="Q27" s="58">
        <v>44892.791666666664</v>
      </c>
    </row>
    <row r="28" spans="1:17" ht="23.25" customHeight="1" x14ac:dyDescent="0.25">
      <c r="A28" s="9" t="s">
        <v>40</v>
      </c>
      <c r="H28" s="51" t="s">
        <v>126</v>
      </c>
      <c r="I28" s="52">
        <v>0.25</v>
      </c>
      <c r="J28">
        <v>0.25</v>
      </c>
      <c r="P28" s="51">
        <v>28</v>
      </c>
      <c r="Q28" s="58">
        <v>44892.916666666664</v>
      </c>
    </row>
    <row r="29" spans="1:17" ht="23.25" customHeight="1" x14ac:dyDescent="0.25">
      <c r="A29" s="9" t="s">
        <v>34</v>
      </c>
      <c r="H29" s="51" t="s">
        <v>127</v>
      </c>
      <c r="I29" s="52">
        <v>0.27083333333333331</v>
      </c>
      <c r="J29">
        <v>0.27083333333333331</v>
      </c>
      <c r="P29" s="51">
        <v>29</v>
      </c>
      <c r="Q29" s="58">
        <v>44893.541666666664</v>
      </c>
    </row>
    <row r="30" spans="1:17" ht="23.25" customHeight="1" x14ac:dyDescent="0.25">
      <c r="A30" s="9" t="s">
        <v>17</v>
      </c>
      <c r="H30" s="51" t="s">
        <v>128</v>
      </c>
      <c r="I30" s="52">
        <v>0.29166666666666669</v>
      </c>
      <c r="J30">
        <v>0.29166666666666669</v>
      </c>
      <c r="P30" s="51">
        <v>30</v>
      </c>
      <c r="Q30" s="58">
        <v>44893.666666666664</v>
      </c>
    </row>
    <row r="31" spans="1:17" ht="23.25" customHeight="1" x14ac:dyDescent="0.25">
      <c r="A31" s="9" t="s">
        <v>37</v>
      </c>
      <c r="H31" s="51" t="s">
        <v>129</v>
      </c>
      <c r="I31" s="52">
        <v>0.3125</v>
      </c>
      <c r="J31">
        <v>0.3125</v>
      </c>
      <c r="P31" s="51">
        <v>31</v>
      </c>
      <c r="Q31" s="58">
        <v>44893.791666666664</v>
      </c>
    </row>
    <row r="32" spans="1:17" ht="23.25" customHeight="1" x14ac:dyDescent="0.25">
      <c r="A32" s="9" t="s">
        <v>14</v>
      </c>
      <c r="H32" s="51" t="s">
        <v>130</v>
      </c>
      <c r="I32" s="52">
        <v>0.33333333333333331</v>
      </c>
      <c r="J32">
        <v>0.33333333333333331</v>
      </c>
      <c r="P32" s="51">
        <v>32</v>
      </c>
      <c r="Q32" s="58">
        <v>44893.916666666664</v>
      </c>
    </row>
    <row r="33" spans="1:17" ht="23.25" customHeight="1" x14ac:dyDescent="0.25">
      <c r="A33" s="9" t="s">
        <v>72</v>
      </c>
      <c r="H33" s="51" t="s">
        <v>131</v>
      </c>
      <c r="I33" s="52">
        <v>0.375</v>
      </c>
      <c r="J33">
        <v>0.375</v>
      </c>
      <c r="P33" s="51">
        <v>33</v>
      </c>
      <c r="Q33" s="58">
        <v>44894.916666666664</v>
      </c>
    </row>
    <row r="34" spans="1:17" ht="23.25" customHeight="1" x14ac:dyDescent="0.25">
      <c r="H34" s="51" t="s">
        <v>132</v>
      </c>
      <c r="I34" s="52">
        <v>0.40625</v>
      </c>
      <c r="J34">
        <v>0.40625</v>
      </c>
      <c r="P34" s="51">
        <v>34</v>
      </c>
      <c r="Q34" s="58">
        <v>44894.916666666664</v>
      </c>
    </row>
    <row r="35" spans="1:17" ht="23.25" customHeight="1" x14ac:dyDescent="0.25">
      <c r="H35" s="51" t="s">
        <v>133</v>
      </c>
      <c r="I35" s="52">
        <v>0.41666666666666669</v>
      </c>
      <c r="J35">
        <v>0.41666666666666669</v>
      </c>
      <c r="P35" s="51">
        <v>35</v>
      </c>
      <c r="Q35" s="58">
        <v>44894.75</v>
      </c>
    </row>
    <row r="36" spans="1:17" ht="23.25" customHeight="1" x14ac:dyDescent="0.25">
      <c r="H36" s="51" t="s">
        <v>134</v>
      </c>
      <c r="I36" s="52">
        <v>0.45833333333333331</v>
      </c>
      <c r="J36">
        <v>0.45833333333333331</v>
      </c>
      <c r="P36" s="51">
        <v>36</v>
      </c>
      <c r="Q36" s="58">
        <v>44894.75</v>
      </c>
    </row>
    <row r="37" spans="1:17" ht="23.25" customHeight="1" x14ac:dyDescent="0.25">
      <c r="P37" s="51">
        <v>37</v>
      </c>
      <c r="Q37" s="58">
        <v>44895.75</v>
      </c>
    </row>
    <row r="38" spans="1:17" ht="23.25" customHeight="1" x14ac:dyDescent="0.25">
      <c r="P38" s="51">
        <v>38</v>
      </c>
      <c r="Q38" s="58">
        <v>44895.75</v>
      </c>
    </row>
    <row r="39" spans="1:17" ht="23.25" customHeight="1" x14ac:dyDescent="0.25">
      <c r="P39" s="51">
        <v>39</v>
      </c>
      <c r="Q39" s="58">
        <v>44895.916666666664</v>
      </c>
    </row>
    <row r="40" spans="1:17" ht="23.25" customHeight="1" x14ac:dyDescent="0.25">
      <c r="P40" s="51">
        <v>40</v>
      </c>
      <c r="Q40" s="58">
        <v>44895.916666666664</v>
      </c>
    </row>
    <row r="41" spans="1:17" ht="23.25" customHeight="1" x14ac:dyDescent="0.25">
      <c r="P41" s="51">
        <v>41</v>
      </c>
      <c r="Q41" s="58">
        <v>44896.75</v>
      </c>
    </row>
    <row r="42" spans="1:17" ht="23.25" customHeight="1" x14ac:dyDescent="0.25">
      <c r="P42" s="51">
        <v>42</v>
      </c>
      <c r="Q42" s="58">
        <v>44896.75</v>
      </c>
    </row>
    <row r="43" spans="1:17" ht="23.25" customHeight="1" x14ac:dyDescent="0.25">
      <c r="P43" s="51">
        <v>43</v>
      </c>
      <c r="Q43" s="58">
        <v>44896.916666666664</v>
      </c>
    </row>
    <row r="44" spans="1:17" ht="23.25" customHeight="1" x14ac:dyDescent="0.25">
      <c r="P44" s="51">
        <v>44</v>
      </c>
      <c r="Q44" s="58">
        <v>44896.916666666664</v>
      </c>
    </row>
    <row r="45" spans="1:17" ht="23.25" customHeight="1" x14ac:dyDescent="0.25">
      <c r="P45" s="51">
        <v>45</v>
      </c>
      <c r="Q45" s="58">
        <v>44897.75</v>
      </c>
    </row>
    <row r="46" spans="1:17" ht="23.25" customHeight="1" x14ac:dyDescent="0.25">
      <c r="P46" s="51">
        <v>46</v>
      </c>
      <c r="Q46" s="58">
        <v>44897.75</v>
      </c>
    </row>
    <row r="47" spans="1:17" ht="23.25" customHeight="1" x14ac:dyDescent="0.25">
      <c r="P47" s="51">
        <v>47</v>
      </c>
      <c r="Q47" s="58">
        <v>44897.916666666664</v>
      </c>
    </row>
    <row r="48" spans="1:17" ht="23.25" customHeight="1" x14ac:dyDescent="0.25">
      <c r="P48" s="51">
        <v>48</v>
      </c>
      <c r="Q48" s="58">
        <v>44897.916666666664</v>
      </c>
    </row>
    <row r="49" spans="16:17" ht="23.25" customHeight="1" x14ac:dyDescent="0.25">
      <c r="P49" s="51">
        <v>49</v>
      </c>
      <c r="Q49" s="58">
        <v>44898.75</v>
      </c>
    </row>
    <row r="50" spans="16:17" ht="23.25" customHeight="1" x14ac:dyDescent="0.25">
      <c r="P50" s="51">
        <v>50</v>
      </c>
      <c r="Q50" s="58">
        <v>44898.916666666664</v>
      </c>
    </row>
    <row r="51" spans="16:17" ht="23.25" customHeight="1" x14ac:dyDescent="0.25">
      <c r="P51" s="51">
        <v>51</v>
      </c>
      <c r="Q51" s="58">
        <v>44899.916666666664</v>
      </c>
    </row>
    <row r="52" spans="16:17" ht="23.25" customHeight="1" x14ac:dyDescent="0.25">
      <c r="P52" s="51">
        <v>52</v>
      </c>
      <c r="Q52" s="58">
        <v>44899.75</v>
      </c>
    </row>
    <row r="53" spans="16:17" ht="23.25" customHeight="1" x14ac:dyDescent="0.25">
      <c r="P53" s="51">
        <v>53</v>
      </c>
      <c r="Q53" s="58">
        <v>44900.75</v>
      </c>
    </row>
    <row r="54" spans="16:17" ht="23.25" customHeight="1" x14ac:dyDescent="0.25">
      <c r="P54" s="51">
        <v>54</v>
      </c>
      <c r="Q54" s="58">
        <v>44900.916666666664</v>
      </c>
    </row>
    <row r="55" spans="16:17" ht="23.25" customHeight="1" x14ac:dyDescent="0.25">
      <c r="P55" s="51">
        <v>55</v>
      </c>
      <c r="Q55" s="58">
        <v>44901.75</v>
      </c>
    </row>
    <row r="56" spans="16:17" ht="23.25" customHeight="1" x14ac:dyDescent="0.25">
      <c r="P56" s="51">
        <v>56</v>
      </c>
      <c r="Q56" s="58">
        <v>44901.916666666664</v>
      </c>
    </row>
    <row r="57" spans="16:17" ht="23.25" customHeight="1" x14ac:dyDescent="0.25">
      <c r="P57" s="51">
        <v>57</v>
      </c>
      <c r="Q57" s="58">
        <v>44904.916666666664</v>
      </c>
    </row>
    <row r="58" spans="16:17" ht="23.25" customHeight="1" x14ac:dyDescent="0.25">
      <c r="P58" s="51">
        <v>58</v>
      </c>
      <c r="Q58" s="58">
        <v>44904.75</v>
      </c>
    </row>
    <row r="59" spans="16:17" ht="23.25" customHeight="1" x14ac:dyDescent="0.25">
      <c r="P59" s="51">
        <v>59</v>
      </c>
      <c r="Q59" s="58">
        <v>44905.916666666664</v>
      </c>
    </row>
    <row r="60" spans="16:17" ht="23.25" customHeight="1" x14ac:dyDescent="0.25">
      <c r="P60" s="51">
        <v>60</v>
      </c>
      <c r="Q60" s="58">
        <v>44905.75</v>
      </c>
    </row>
    <row r="61" spans="16:17" ht="23.25" customHeight="1" x14ac:dyDescent="0.25">
      <c r="P61" s="51">
        <v>61</v>
      </c>
      <c r="Q61" s="58">
        <v>44908.916666666664</v>
      </c>
    </row>
    <row r="62" spans="16:17" ht="23.25" customHeight="1" x14ac:dyDescent="0.25">
      <c r="P62" s="51">
        <v>62</v>
      </c>
      <c r="Q62" s="58">
        <v>44909.916666666664</v>
      </c>
    </row>
    <row r="63" spans="16:17" ht="23.25" customHeight="1" x14ac:dyDescent="0.25">
      <c r="P63" s="51">
        <v>63</v>
      </c>
      <c r="Q63" s="58">
        <v>44912.75</v>
      </c>
    </row>
    <row r="64" spans="16:17" ht="23.25" customHeight="1" x14ac:dyDescent="0.25">
      <c r="P64" s="51">
        <v>64</v>
      </c>
      <c r="Q64" s="58">
        <v>44913.75</v>
      </c>
    </row>
  </sheetData>
  <sortState xmlns:xlrd2="http://schemas.microsoft.com/office/spreadsheetml/2017/richdata2" ref="A1:A32">
    <sortCondition ref="A17"/>
  </sortState>
  <conditionalFormatting sqref="H15">
    <cfRule type="expression" dxfId="35" priority="36">
      <formula>$H$1=$C15</formula>
    </cfRule>
  </conditionalFormatting>
  <conditionalFormatting sqref="H1">
    <cfRule type="expression" dxfId="34" priority="35">
      <formula>$H$1=$C1</formula>
    </cfRule>
  </conditionalFormatting>
  <conditionalFormatting sqref="H2">
    <cfRule type="expression" dxfId="33" priority="34">
      <formula>$H$1=$C2</formula>
    </cfRule>
  </conditionalFormatting>
  <conditionalFormatting sqref="H3">
    <cfRule type="expression" dxfId="32" priority="33">
      <formula>$H$1=$C3</formula>
    </cfRule>
  </conditionalFormatting>
  <conditionalFormatting sqref="H4">
    <cfRule type="expression" dxfId="31" priority="32">
      <formula>$H$1=$C4</formula>
    </cfRule>
  </conditionalFormatting>
  <conditionalFormatting sqref="H5">
    <cfRule type="expression" dxfId="30" priority="31">
      <formula>$H$1=$C5</formula>
    </cfRule>
  </conditionalFormatting>
  <conditionalFormatting sqref="H6">
    <cfRule type="expression" dxfId="29" priority="30">
      <formula>$H$1=$C6</formula>
    </cfRule>
  </conditionalFormatting>
  <conditionalFormatting sqref="H7">
    <cfRule type="expression" dxfId="28" priority="29">
      <formula>$H$1=$C7</formula>
    </cfRule>
  </conditionalFormatting>
  <conditionalFormatting sqref="H8">
    <cfRule type="expression" dxfId="27" priority="28">
      <formula>$H$1=$C8</formula>
    </cfRule>
  </conditionalFormatting>
  <conditionalFormatting sqref="H9">
    <cfRule type="expression" dxfId="26" priority="27">
      <formula>$H$1=$C9</formula>
    </cfRule>
  </conditionalFormatting>
  <conditionalFormatting sqref="H10">
    <cfRule type="expression" dxfId="25" priority="26">
      <formula>$H$1=$C10</formula>
    </cfRule>
  </conditionalFormatting>
  <conditionalFormatting sqref="H11">
    <cfRule type="expression" dxfId="24" priority="25">
      <formula>$H$1=$C11</formula>
    </cfRule>
  </conditionalFormatting>
  <conditionalFormatting sqref="H12">
    <cfRule type="expression" dxfId="23" priority="24">
      <formula>$H$1=$C12</formula>
    </cfRule>
  </conditionalFormatting>
  <conditionalFormatting sqref="H13">
    <cfRule type="expression" dxfId="22" priority="23">
      <formula>$H$1=$C13</formula>
    </cfRule>
  </conditionalFormatting>
  <conditionalFormatting sqref="H14">
    <cfRule type="expression" dxfId="21" priority="22">
      <formula>$H$1=$C14</formula>
    </cfRule>
  </conditionalFormatting>
  <conditionalFormatting sqref="H16">
    <cfRule type="expression" dxfId="20" priority="21">
      <formula>$H$1=$C16</formula>
    </cfRule>
  </conditionalFormatting>
  <conditionalFormatting sqref="H18">
    <cfRule type="expression" dxfId="19" priority="20">
      <formula>$H$1=$C18</formula>
    </cfRule>
  </conditionalFormatting>
  <conditionalFormatting sqref="H17">
    <cfRule type="expression" dxfId="18" priority="19">
      <formula>$H$1=$C17</formula>
    </cfRule>
  </conditionalFormatting>
  <conditionalFormatting sqref="H19">
    <cfRule type="expression" dxfId="17" priority="18">
      <formula>$H$1=$C19</formula>
    </cfRule>
  </conditionalFormatting>
  <conditionalFormatting sqref="H20">
    <cfRule type="expression" dxfId="16" priority="17">
      <formula>$H$1=$C20</formula>
    </cfRule>
  </conditionalFormatting>
  <conditionalFormatting sqref="H21">
    <cfRule type="expression" dxfId="15" priority="16">
      <formula>$H$1=$C21</formula>
    </cfRule>
  </conditionalFormatting>
  <conditionalFormatting sqref="H22">
    <cfRule type="expression" dxfId="14" priority="15">
      <formula>$H$1=$C22</formula>
    </cfRule>
  </conditionalFormatting>
  <conditionalFormatting sqref="H23">
    <cfRule type="expression" dxfId="13" priority="14">
      <formula>$H$1=$C23</formula>
    </cfRule>
  </conditionalFormatting>
  <conditionalFormatting sqref="H24">
    <cfRule type="expression" dxfId="12" priority="13">
      <formula>$H$1=$C24</formula>
    </cfRule>
  </conditionalFormatting>
  <conditionalFormatting sqref="H25">
    <cfRule type="expression" dxfId="11" priority="12">
      <formula>$H$1=$C25</formula>
    </cfRule>
  </conditionalFormatting>
  <conditionalFormatting sqref="H26">
    <cfRule type="expression" dxfId="10" priority="11">
      <formula>$H$1=$C26</formula>
    </cfRule>
  </conditionalFormatting>
  <conditionalFormatting sqref="H27">
    <cfRule type="expression" dxfId="9" priority="10">
      <formula>$H$1=$C27</formula>
    </cfRule>
  </conditionalFormatting>
  <conditionalFormatting sqref="H28">
    <cfRule type="expression" dxfId="8" priority="9">
      <formula>$H$1=$C28</formula>
    </cfRule>
  </conditionalFormatting>
  <conditionalFormatting sqref="H29">
    <cfRule type="expression" dxfId="7" priority="8">
      <formula>$H$1=$C29</formula>
    </cfRule>
  </conditionalFormatting>
  <conditionalFormatting sqref="H30">
    <cfRule type="expression" dxfId="6" priority="7">
      <formula>$H$1=$C30</formula>
    </cfRule>
  </conditionalFormatting>
  <conditionalFormatting sqref="H31">
    <cfRule type="expression" dxfId="5" priority="6">
      <formula>$H$1=$C31</formula>
    </cfRule>
  </conditionalFormatting>
  <conditionalFormatting sqref="H32">
    <cfRule type="expression" dxfId="4" priority="5">
      <formula>$H$1=$C32</formula>
    </cfRule>
  </conditionalFormatting>
  <conditionalFormatting sqref="H33">
    <cfRule type="expression" dxfId="3" priority="4">
      <formula>$H$1=$C33</formula>
    </cfRule>
  </conditionalFormatting>
  <conditionalFormatting sqref="H34">
    <cfRule type="expression" dxfId="2" priority="3">
      <formula>$H$1=$C34</formula>
    </cfRule>
  </conditionalFormatting>
  <conditionalFormatting sqref="H35">
    <cfRule type="expression" dxfId="1" priority="2">
      <formula>$H$1=$C35</formula>
    </cfRule>
  </conditionalFormatting>
  <conditionalFormatting sqref="H36">
    <cfRule type="expression" dxfId="0" priority="1">
      <formula>$H$1=$C36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4"/>
  <dimension ref="B1:AR38"/>
  <sheetViews>
    <sheetView showGridLines="0" zoomScaleNormal="10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6" width="2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3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1"/>
      <c r="U1" s="111"/>
      <c r="V1" s="111"/>
      <c r="W1" s="111"/>
      <c r="X1" s="111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113" t="s">
        <v>2</v>
      </c>
      <c r="S6" s="114"/>
      <c r="T6" s="114"/>
      <c r="U6" s="114"/>
      <c r="V6" s="114"/>
      <c r="W6" s="114"/>
      <c r="X6" s="114"/>
      <c r="Y6" s="114"/>
      <c r="Z6" s="114"/>
      <c r="AA6" s="114"/>
      <c r="AB6" s="115"/>
      <c r="AL6" s="8">
        <f>COUNT(I8,K8,I12,K12,I16,K16,I20,K20,I24,K24,I28,K28)</f>
        <v>0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86">
        <v>1</v>
      </c>
      <c r="C8" s="87">
        <f>VLOOKUP(B8,FechaHora,2,0) + VLOOKUP(UTCElegido,TablaUTC,3,0)</f>
        <v>44885.791666666664</v>
      </c>
      <c r="D8" s="88">
        <f>VLOOKUP(B8,FechaHora,2,0) + VLOOKUP(UTCElegido,TablaUTC,3,0)</f>
        <v>44885.791666666664</v>
      </c>
      <c r="E8" s="26"/>
      <c r="F8" s="89" t="s">
        <v>78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">
        <v>79</v>
      </c>
      <c r="O8" s="26"/>
      <c r="P8" s="73" t="s">
        <v>74</v>
      </c>
      <c r="R8" s="109"/>
      <c r="S8" s="109"/>
      <c r="T8" s="109"/>
      <c r="U8" s="109"/>
      <c r="V8" s="110" t="s">
        <v>3</v>
      </c>
      <c r="W8" s="107" t="s">
        <v>4</v>
      </c>
      <c r="X8" s="107" t="s">
        <v>5</v>
      </c>
      <c r="Y8" s="107" t="s">
        <v>6</v>
      </c>
      <c r="Z8" s="108" t="s">
        <v>7</v>
      </c>
      <c r="AA8" s="108" t="s">
        <v>8</v>
      </c>
      <c r="AB8" s="108" t="s">
        <v>9</v>
      </c>
      <c r="AC8" s="105"/>
      <c r="AD8" s="1"/>
      <c r="AE8" s="105"/>
      <c r="AF8" s="105"/>
      <c r="AG8" s="105"/>
      <c r="AH8" s="105"/>
      <c r="AI8" s="105"/>
      <c r="AJ8" s="105"/>
      <c r="AK8" s="105"/>
      <c r="AL8" s="106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8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73"/>
      <c r="R9" s="109"/>
      <c r="S9" s="109"/>
      <c r="T9" s="109"/>
      <c r="U9" s="109"/>
      <c r="V9" s="110"/>
      <c r="W9" s="107"/>
      <c r="X9" s="107"/>
      <c r="Y9" s="107"/>
      <c r="Z9" s="108"/>
      <c r="AA9" s="108"/>
      <c r="AB9" s="108"/>
      <c r="AC9" s="105"/>
      <c r="AD9" s="1"/>
      <c r="AE9" s="105"/>
      <c r="AF9" s="105"/>
      <c r="AG9" s="105"/>
      <c r="AH9" s="105"/>
      <c r="AI9" s="105"/>
      <c r="AJ9" s="105"/>
      <c r="AK9" s="105"/>
      <c r="AL9" s="106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5" t="str">
        <f>"  1)  " &amp; VLOOKUP(1,$AC$10:$AK$29,2,0)</f>
        <v xml:space="preserve">  1)  CATAR</v>
      </c>
      <c r="S10" s="96"/>
      <c r="T10" s="96"/>
      <c r="U10" s="97"/>
      <c r="V10" s="104">
        <f>VLOOKUP(1,$AC$10:$AK$29,3,0)</f>
        <v>0</v>
      </c>
      <c r="W10" s="93">
        <f>VLOOKUP(1,$AC$10:$AK$29,4,0)</f>
        <v>0</v>
      </c>
      <c r="X10" s="93">
        <f>VLOOKUP(1,$AC$10:$AK$29,5,0)</f>
        <v>0</v>
      </c>
      <c r="Y10" s="93">
        <f>VLOOKUP(1,$AC$10:$AK$29,6,0)</f>
        <v>0</v>
      </c>
      <c r="Z10" s="94">
        <f>VLOOKUP(1,$AC$10:$AK$29,7,0)</f>
        <v>0</v>
      </c>
      <c r="AA10" s="94">
        <f>VLOOKUP(1,$AC$10:$AK$29,8,0)</f>
        <v>0</v>
      </c>
      <c r="AB10" s="94">
        <f>VLOOKUP(1,$AC$10:$AK$29,9,0)</f>
        <v>0</v>
      </c>
      <c r="AC10" s="79">
        <f>RANK(AL10,$AL$10:$AL$29,0)</f>
        <v>1</v>
      </c>
      <c r="AD10" s="79" t="str">
        <f>F8</f>
        <v>CATAR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0</v>
      </c>
      <c r="AI10" s="79">
        <f>I8+I16+K28</f>
        <v>0</v>
      </c>
      <c r="AJ10" s="79">
        <f>K8+K16+I28</f>
        <v>0</v>
      </c>
      <c r="AK10" s="79">
        <f>AI10-AJ10</f>
        <v>0</v>
      </c>
      <c r="AL10" s="79">
        <f>(AE10*1000)+(AK10*100)+(AI10*10)+4+vcp</f>
        <v>4</v>
      </c>
      <c r="AM10" s="79">
        <f>AL10-4</f>
        <v>0</v>
      </c>
      <c r="AN10" s="116"/>
      <c r="AO10" s="117" t="str">
        <f>IF(AL8=1,IF(R36="","",R36),IF(SUM(V10:V29)&gt;0,VLOOKUP(1,AC10:AD29,2,0),""))</f>
        <v/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8"/>
      <c r="S11" s="99"/>
      <c r="T11" s="99"/>
      <c r="U11" s="100"/>
      <c r="V11" s="104"/>
      <c r="W11" s="93"/>
      <c r="X11" s="93"/>
      <c r="Y11" s="93"/>
      <c r="Z11" s="94"/>
      <c r="AA11" s="94"/>
      <c r="AB11" s="94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6"/>
      <c r="AO11" s="117"/>
    </row>
    <row r="12" spans="2:44" ht="7.5" customHeight="1" x14ac:dyDescent="0.25">
      <c r="B12" s="86">
        <v>2</v>
      </c>
      <c r="C12" s="87">
        <f>VLOOKUP(B12,FechaHora,2,0) + VLOOKUP(UTCElegido,TablaUTC,3,0)</f>
        <v>44886.791666666664</v>
      </c>
      <c r="D12" s="88">
        <f>VLOOKUP(B12,FechaHora,2,0) + VLOOKUP(UTCElegido,TablaUTC,3,0)</f>
        <v>44886.791666666664</v>
      </c>
      <c r="E12" s="26"/>
      <c r="F12" s="89" t="s">
        <v>40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72" t="s">
        <v>80</v>
      </c>
      <c r="O12" s="26"/>
      <c r="P12" s="73" t="s">
        <v>75</v>
      </c>
      <c r="R12" s="98"/>
      <c r="S12" s="99"/>
      <c r="T12" s="99"/>
      <c r="U12" s="100"/>
      <c r="V12" s="104"/>
      <c r="W12" s="93"/>
      <c r="X12" s="93"/>
      <c r="Y12" s="93"/>
      <c r="Z12" s="94"/>
      <c r="AA12" s="94"/>
      <c r="AB12" s="94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6"/>
      <c r="AO12" s="117"/>
    </row>
    <row r="13" spans="2:44" ht="7.5" customHeight="1" x14ac:dyDescent="0.25">
      <c r="B13" s="8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72"/>
      <c r="O13" s="26"/>
      <c r="P13" s="73"/>
      <c r="R13" s="98"/>
      <c r="S13" s="99"/>
      <c r="T13" s="99"/>
      <c r="U13" s="100"/>
      <c r="V13" s="104"/>
      <c r="W13" s="93"/>
      <c r="X13" s="93"/>
      <c r="Y13" s="93"/>
      <c r="Z13" s="94"/>
      <c r="AA13" s="94"/>
      <c r="AB13" s="94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6"/>
      <c r="AO13" s="117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1"/>
      <c r="S14" s="102"/>
      <c r="T14" s="102"/>
      <c r="U14" s="103"/>
      <c r="V14" s="104"/>
      <c r="W14" s="93"/>
      <c r="X14" s="93"/>
      <c r="Y14" s="93"/>
      <c r="Z14" s="94"/>
      <c r="AA14" s="94"/>
      <c r="AB14" s="94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6"/>
      <c r="AO14" s="117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5" t="str">
        <f>"  2)  " &amp; VLOOKUP(2,$AC$10:$AK$29,2,0)</f>
        <v xml:space="preserve">  2)  ECUADOR</v>
      </c>
      <c r="S15" s="96"/>
      <c r="T15" s="96"/>
      <c r="U15" s="96"/>
      <c r="V15" s="104">
        <f>VLOOKUP(2,$AC$10:$AK$29,3,0)</f>
        <v>0</v>
      </c>
      <c r="W15" s="93">
        <f>VLOOKUP(2,$AC$10:$AK$29,4,0)</f>
        <v>0</v>
      </c>
      <c r="X15" s="93">
        <f>VLOOKUP(2,$AC$10:$AK$29,5,0)</f>
        <v>0</v>
      </c>
      <c r="Y15" s="93">
        <f>VLOOKUP(2,$AC$10:$AK$29,6,0)</f>
        <v>0</v>
      </c>
      <c r="Z15" s="94">
        <f>VLOOKUP(2,$AC$10:$AK$29,7,0)</f>
        <v>0</v>
      </c>
      <c r="AA15" s="94">
        <f>VLOOKUP(2,$AC$10:$AK$29,8,0)</f>
        <v>0</v>
      </c>
      <c r="AB15" s="94">
        <f>VLOOKUP(2,$AC$10:$AK$29,9,0)</f>
        <v>0</v>
      </c>
      <c r="AC15" s="79">
        <f>RANK(AL15,$AL$10:$AL$29,0)</f>
        <v>2</v>
      </c>
      <c r="AD15" s="79" t="str">
        <f>N8</f>
        <v>ECUADOR</v>
      </c>
      <c r="AE15" s="79">
        <f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0</v>
      </c>
      <c r="AI15" s="79">
        <f>K8+K20+I24</f>
        <v>0</v>
      </c>
      <c r="AJ15" s="79">
        <f>I8+I20+K24</f>
        <v>0</v>
      </c>
      <c r="AK15" s="79">
        <f>AI15-AJ15</f>
        <v>0</v>
      </c>
      <c r="AL15" s="79">
        <f>(AE15*1000)+(AK15*100)+(AI15*10)+3+vcp</f>
        <v>3</v>
      </c>
      <c r="AM15" s="79">
        <f>AL15-3</f>
        <v>0</v>
      </c>
      <c r="AN15" s="116"/>
      <c r="AO15" s="118" t="str">
        <f>IF(AL8=1,IF(R37="","",R37),IF(SUM(V10:V29)&gt;0,VLOOKUP(2,AC10:AD29,2,0),""))</f>
        <v/>
      </c>
    </row>
    <row r="16" spans="2:44" ht="7.5" customHeight="1" x14ac:dyDescent="0.25">
      <c r="B16" s="86">
        <v>18</v>
      </c>
      <c r="C16" s="87">
        <f>VLOOKUP(B16,FechaHora,2,0) + VLOOKUP(UTCElegido,TablaUTC,3,0)</f>
        <v>44890.666666666664</v>
      </c>
      <c r="D16" s="88">
        <f>VLOOKUP(B16,FechaHora,2,0) + VLOOKUP(UTCElegido,TablaUTC,3,0)</f>
        <v>44890.666666666664</v>
      </c>
      <c r="E16" s="26"/>
      <c r="F16" s="89" t="s">
        <v>78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">
        <v>40</v>
      </c>
      <c r="O16" s="26"/>
      <c r="P16" s="73" t="s">
        <v>75</v>
      </c>
      <c r="R16" s="98"/>
      <c r="S16" s="99"/>
      <c r="T16" s="99"/>
      <c r="U16" s="99"/>
      <c r="V16" s="104"/>
      <c r="W16" s="93"/>
      <c r="X16" s="93"/>
      <c r="Y16" s="93"/>
      <c r="Z16" s="94"/>
      <c r="AA16" s="94"/>
      <c r="AB16" s="94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6"/>
      <c r="AO16" s="118"/>
    </row>
    <row r="17" spans="2:41" ht="7.5" customHeight="1" x14ac:dyDescent="0.25">
      <c r="B17" s="8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73"/>
      <c r="R17" s="98"/>
      <c r="S17" s="99"/>
      <c r="T17" s="99"/>
      <c r="U17" s="99"/>
      <c r="V17" s="104"/>
      <c r="W17" s="93"/>
      <c r="X17" s="93"/>
      <c r="Y17" s="93"/>
      <c r="Z17" s="94"/>
      <c r="AA17" s="94"/>
      <c r="AB17" s="94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6"/>
      <c r="AO17" s="118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8"/>
      <c r="S18" s="99"/>
      <c r="T18" s="99"/>
      <c r="U18" s="99"/>
      <c r="V18" s="104"/>
      <c r="W18" s="93"/>
      <c r="X18" s="93"/>
      <c r="Y18" s="93"/>
      <c r="Z18" s="94"/>
      <c r="AA18" s="94"/>
      <c r="AB18" s="94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6"/>
      <c r="AO18" s="118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1"/>
      <c r="S19" s="102"/>
      <c r="T19" s="102"/>
      <c r="U19" s="102"/>
      <c r="V19" s="104"/>
      <c r="W19" s="93"/>
      <c r="X19" s="93"/>
      <c r="Y19" s="93"/>
      <c r="Z19" s="94"/>
      <c r="AA19" s="94"/>
      <c r="AB19" s="94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6"/>
      <c r="AO19" s="118"/>
    </row>
    <row r="20" spans="2:41" ht="7.5" customHeight="1" x14ac:dyDescent="0.25">
      <c r="B20" s="86">
        <v>19</v>
      </c>
      <c r="C20" s="87">
        <f>VLOOKUP(B20,FechaHora,2,0) + VLOOKUP(UTCElegido,TablaUTC,3,0)</f>
        <v>44890.791666666664</v>
      </c>
      <c r="D20" s="88">
        <f>VLOOKUP(B20,FechaHora,2,0) + VLOOKUP(UTCElegido,TablaUTC,3,0)</f>
        <v>44890.791666666664</v>
      </c>
      <c r="E20" s="26"/>
      <c r="F20" s="89" t="s">
        <v>80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">
        <v>79</v>
      </c>
      <c r="O20" s="26"/>
      <c r="P20" s="73" t="s">
        <v>142</v>
      </c>
      <c r="R20" s="80" t="str">
        <f>"  3)  " &amp; VLOOKUP(3,$AC$10:$AK$29,2,0)</f>
        <v xml:space="preserve">  3)  SENEGAL</v>
      </c>
      <c r="S20" s="81"/>
      <c r="T20" s="81"/>
      <c r="U20" s="81"/>
      <c r="V20" s="92">
        <f>VLOOKUP(3,$AC$10:$AK$29,3,0)</f>
        <v>0</v>
      </c>
      <c r="W20" s="90">
        <f>VLOOKUP(3,$AC$10:$AK$29,4,0)</f>
        <v>0</v>
      </c>
      <c r="X20" s="90">
        <f>VLOOKUP(3,$AC$10:$AK$29,5,0)</f>
        <v>0</v>
      </c>
      <c r="Y20" s="90">
        <f>VLOOKUP(3,$AC$10:$AK$29,6,0)</f>
        <v>0</v>
      </c>
      <c r="Z20" s="91">
        <f>VLOOKUP(3,$AC$10:$AK$29,7,0)</f>
        <v>0</v>
      </c>
      <c r="AA20" s="91">
        <f>VLOOKUP(3,$AC$10:$AK$29,8,0)</f>
        <v>0</v>
      </c>
      <c r="AB20" s="91">
        <f>VLOOKUP(3,$AC$10:$AK$29,9,0)</f>
        <v>0</v>
      </c>
      <c r="AC20" s="79">
        <f>RANK(AL20,$AL$10:$AL$29,0)</f>
        <v>3</v>
      </c>
      <c r="AD20" s="79" t="str">
        <f>F12</f>
        <v>SENEGAL</v>
      </c>
      <c r="AE20" s="79">
        <f>(AF20*3)+AG20</f>
        <v>0</v>
      </c>
      <c r="AF20" s="79">
        <f>COUNTIF(I34:K34,"G")</f>
        <v>0</v>
      </c>
      <c r="AG20" s="79">
        <f>COUNTIF(I34:K34,"E")</f>
        <v>0</v>
      </c>
      <c r="AH20" s="79">
        <f>COUNTIF(I34:K34,"P")</f>
        <v>0</v>
      </c>
      <c r="AI20" s="79">
        <f>I12+K16+K24</f>
        <v>0</v>
      </c>
      <c r="AJ20" s="79">
        <f>K12+I16+I24</f>
        <v>0</v>
      </c>
      <c r="AK20" s="79">
        <f>AI20-AJ20</f>
        <v>0</v>
      </c>
      <c r="AL20" s="79">
        <f>(AE20*1000)+(AK20*100)+(AI20*10)+2+vcp</f>
        <v>2</v>
      </c>
      <c r="AM20" s="79">
        <f>AL20-2</f>
        <v>0</v>
      </c>
      <c r="AN20" s="116"/>
      <c r="AO20" s="119"/>
    </row>
    <row r="21" spans="2:41" ht="7.5" customHeight="1" x14ac:dyDescent="0.25">
      <c r="B21" s="86"/>
      <c r="C21" s="76"/>
      <c r="D21" s="76"/>
      <c r="E21" s="26"/>
      <c r="F21" s="89"/>
      <c r="G21" s="69"/>
      <c r="H21" s="28"/>
      <c r="I21" s="71"/>
      <c r="J21" s="69"/>
      <c r="K21" s="71"/>
      <c r="L21" s="69"/>
      <c r="M21" s="27"/>
      <c r="N21" s="72"/>
      <c r="O21" s="26"/>
      <c r="P21" s="73"/>
      <c r="R21" s="82"/>
      <c r="S21" s="83"/>
      <c r="T21" s="83"/>
      <c r="U21" s="83"/>
      <c r="V21" s="92"/>
      <c r="W21" s="90"/>
      <c r="X21" s="90"/>
      <c r="Y21" s="90"/>
      <c r="Z21" s="91"/>
      <c r="AA21" s="91"/>
      <c r="AB21" s="91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6"/>
      <c r="AO21" s="120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2"/>
      <c r="W22" s="90"/>
      <c r="X22" s="90"/>
      <c r="Y22" s="90"/>
      <c r="Z22" s="91"/>
      <c r="AA22" s="91"/>
      <c r="AB22" s="91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6"/>
      <c r="AO22" s="120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2"/>
      <c r="W23" s="90"/>
      <c r="X23" s="90"/>
      <c r="Y23" s="90"/>
      <c r="Z23" s="91"/>
      <c r="AA23" s="91"/>
      <c r="AB23" s="91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6"/>
      <c r="AO23" s="120"/>
    </row>
    <row r="24" spans="2:41" ht="7.5" customHeight="1" x14ac:dyDescent="0.25">
      <c r="B24" s="86">
        <v>35</v>
      </c>
      <c r="C24" s="87">
        <f>VLOOKUP(B24,FechaHora,2,0) + VLOOKUP(UTCElegido,TablaUTC,3,0)</f>
        <v>44894.75</v>
      </c>
      <c r="D24" s="88">
        <f>VLOOKUP(B24,FechaHora,2,0) + VLOOKUP(UTCElegido,TablaUTC,3,0)</f>
        <v>44894.75</v>
      </c>
      <c r="E24" s="26"/>
      <c r="F24" s="89" t="s">
        <v>79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40</v>
      </c>
      <c r="O24" s="26"/>
      <c r="P24" s="73" t="s">
        <v>142</v>
      </c>
      <c r="R24" s="84"/>
      <c r="S24" s="85"/>
      <c r="T24" s="85"/>
      <c r="U24" s="85"/>
      <c r="V24" s="92"/>
      <c r="W24" s="90"/>
      <c r="X24" s="90"/>
      <c r="Y24" s="90"/>
      <c r="Z24" s="91"/>
      <c r="AA24" s="91"/>
      <c r="AB24" s="91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6"/>
      <c r="AO24" s="121"/>
    </row>
    <row r="25" spans="2:41" ht="7.5" customHeight="1" x14ac:dyDescent="0.25">
      <c r="B25" s="86"/>
      <c r="C25" s="76"/>
      <c r="D25" s="76"/>
      <c r="E25" s="26"/>
      <c r="F25" s="89"/>
      <c r="G25" s="69"/>
      <c r="H25" s="28"/>
      <c r="I25" s="71"/>
      <c r="J25" s="69"/>
      <c r="K25" s="71"/>
      <c r="L25" s="69"/>
      <c r="M25" s="27"/>
      <c r="N25" s="72"/>
      <c r="O25" s="26"/>
      <c r="P25" s="73"/>
      <c r="R25" s="80" t="str">
        <f>"  4)  " &amp; VLOOKUP(4,$AC$10:$AK$29,2,0)</f>
        <v xml:space="preserve">  4)  PAÍSES BAJOS</v>
      </c>
      <c r="S25" s="81"/>
      <c r="T25" s="81"/>
      <c r="U25" s="81"/>
      <c r="V25" s="92">
        <f>VLOOKUP(4,$AC$10:$AK$29,3,0)</f>
        <v>0</v>
      </c>
      <c r="W25" s="90">
        <f>VLOOKUP(4,$AC$10:$AK$29,4,0)</f>
        <v>0</v>
      </c>
      <c r="X25" s="90">
        <f>VLOOKUP(4,$AC$10:$AK$29,5,0)</f>
        <v>0</v>
      </c>
      <c r="Y25" s="90">
        <f>VLOOKUP(4,$AC$10:$AK$29,6,0)</f>
        <v>0</v>
      </c>
      <c r="Z25" s="91">
        <f>VLOOKUP(4,$AC$10:$AK$29,7,0)</f>
        <v>0</v>
      </c>
      <c r="AA25" s="91">
        <f>VLOOKUP(4,$AC$10:$AK$29,8,0)</f>
        <v>0</v>
      </c>
      <c r="AB25" s="91">
        <f>VLOOKUP(4,$AC$10:$AK$29,9,0)</f>
        <v>0</v>
      </c>
      <c r="AC25" s="79">
        <f>RANK(AL25,$AL$10:$AL$29,0)</f>
        <v>4</v>
      </c>
      <c r="AD25" s="79" t="str">
        <f>N12</f>
        <v>PAÍSES BAJOS</v>
      </c>
      <c r="AE25" s="79">
        <f>(AF25*3)+AG25</f>
        <v>0</v>
      </c>
      <c r="AF25" s="79">
        <f>COUNTIF(I35:K35,"G")</f>
        <v>0</v>
      </c>
      <c r="AG25" s="79">
        <f>COUNTIF(I35:K35,"E")</f>
        <v>0</v>
      </c>
      <c r="AH25" s="79">
        <f>COUNTIF(I35:K35,"P")</f>
        <v>0</v>
      </c>
      <c r="AI25" s="79">
        <f>K12+I20+I28</f>
        <v>0</v>
      </c>
      <c r="AJ25" s="79">
        <f>I12+K20+K28</f>
        <v>0</v>
      </c>
      <c r="AK25" s="79">
        <f>AI25-AJ25</f>
        <v>0</v>
      </c>
      <c r="AL25" s="79">
        <f>(AE25*1000)+(AK25*100)+(AI25*10)+1+vcp</f>
        <v>1</v>
      </c>
      <c r="AM25" s="79">
        <f>AL25-1</f>
        <v>0</v>
      </c>
      <c r="AN25" s="116"/>
      <c r="AO25" s="119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2"/>
      <c r="W26" s="90"/>
      <c r="X26" s="90"/>
      <c r="Y26" s="90"/>
      <c r="Z26" s="91"/>
      <c r="AA26" s="91"/>
      <c r="AB26" s="91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6"/>
      <c r="AO26" s="120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2"/>
      <c r="W27" s="90"/>
      <c r="X27" s="90"/>
      <c r="Y27" s="90"/>
      <c r="Z27" s="91"/>
      <c r="AA27" s="91"/>
      <c r="AB27" s="91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6"/>
      <c r="AO27" s="120"/>
    </row>
    <row r="28" spans="2:41" ht="7.5" customHeight="1" x14ac:dyDescent="0.25">
      <c r="B28" s="86">
        <v>36</v>
      </c>
      <c r="C28" s="87">
        <f>VLOOKUP(B28,FechaHora,2,0) + VLOOKUP(UTCElegido,TablaUTC,3,0)</f>
        <v>44894.75</v>
      </c>
      <c r="D28" s="88">
        <f>VLOOKUP(B28,FechaHora,2,0) + VLOOKUP(UTCElegido,TablaUTC,3,0)</f>
        <v>44894.75</v>
      </c>
      <c r="E28" s="26"/>
      <c r="F28" s="89" t="s">
        <v>80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78</v>
      </c>
      <c r="O28" s="26"/>
      <c r="P28" s="73" t="s">
        <v>74</v>
      </c>
      <c r="R28" s="82"/>
      <c r="S28" s="83"/>
      <c r="T28" s="83"/>
      <c r="U28" s="83"/>
      <c r="V28" s="92"/>
      <c r="W28" s="90"/>
      <c r="X28" s="90"/>
      <c r="Y28" s="90"/>
      <c r="Z28" s="91"/>
      <c r="AA28" s="91"/>
      <c r="AB28" s="91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6"/>
      <c r="AO28" s="120"/>
    </row>
    <row r="29" spans="2:41" ht="7.5" customHeight="1" x14ac:dyDescent="0.25">
      <c r="B29" s="86"/>
      <c r="C29" s="76"/>
      <c r="D29" s="76"/>
      <c r="E29" s="26"/>
      <c r="F29" s="89"/>
      <c r="G29" s="69"/>
      <c r="H29" s="28"/>
      <c r="I29" s="71"/>
      <c r="J29" s="69"/>
      <c r="K29" s="71"/>
      <c r="L29" s="69"/>
      <c r="M29" s="27"/>
      <c r="N29" s="72"/>
      <c r="O29" s="26"/>
      <c r="P29" s="73"/>
      <c r="R29" s="84"/>
      <c r="S29" s="85"/>
      <c r="T29" s="85"/>
      <c r="U29" s="85"/>
      <c r="V29" s="92"/>
      <c r="W29" s="90"/>
      <c r="X29" s="90"/>
      <c r="Y29" s="90"/>
      <c r="Z29" s="91"/>
      <c r="AA29" s="91"/>
      <c r="AB29" s="91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6"/>
      <c r="AO29" s="121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2" spans="2:41" hidden="1" x14ac:dyDescent="0.25">
      <c r="F32" t="str">
        <f>F8</f>
        <v>CATAR</v>
      </c>
      <c r="I32" t="str">
        <f>G8</f>
        <v/>
      </c>
      <c r="J32" t="str">
        <f>G16</f>
        <v/>
      </c>
      <c r="K32" t="str">
        <f>L28</f>
        <v/>
      </c>
    </row>
    <row r="33" spans="6:21" hidden="1" x14ac:dyDescent="0.25">
      <c r="F33" t="str">
        <f>N8</f>
        <v>ECUADOR</v>
      </c>
      <c r="I33" t="str">
        <f>L8</f>
        <v/>
      </c>
      <c r="J33" t="str">
        <f>L20</f>
        <v/>
      </c>
      <c r="K33" t="str">
        <f>G24</f>
        <v/>
      </c>
    </row>
    <row r="34" spans="6:21" hidden="1" x14ac:dyDescent="0.25">
      <c r="F34" t="str">
        <f>F12</f>
        <v>SENEGAL</v>
      </c>
      <c r="I34" t="str">
        <f>G12</f>
        <v/>
      </c>
      <c r="J34" t="str">
        <f>L16</f>
        <v/>
      </c>
      <c r="K34" t="str">
        <f>L24</f>
        <v/>
      </c>
    </row>
    <row r="35" spans="6:21" hidden="1" x14ac:dyDescent="0.25">
      <c r="F35" t="str">
        <f>N12</f>
        <v>PAÍSES BAJOS</v>
      </c>
      <c r="I35" t="str">
        <f>L12</f>
        <v/>
      </c>
      <c r="J35" t="str">
        <f>G20</f>
        <v/>
      </c>
      <c r="K35" t="str">
        <f>G28</f>
        <v/>
      </c>
    </row>
    <row r="36" spans="6:21" x14ac:dyDescent="0.25">
      <c r="N36" s="61" t="str">
        <f>IF(AL8=1,"Indica manuamente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K25:AK29"/>
    <mergeCell ref="V25:V29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N16:N17"/>
    <mergeCell ref="P16:P17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B14:B15"/>
    <mergeCell ref="C14:C15"/>
    <mergeCell ref="D14:D15"/>
    <mergeCell ref="F14:F15"/>
    <mergeCell ref="I14:I15"/>
    <mergeCell ref="C20:C21"/>
    <mergeCell ref="D20:D21"/>
    <mergeCell ref="F20:F21"/>
    <mergeCell ref="G20:G21"/>
    <mergeCell ref="I20:I21"/>
    <mergeCell ref="J20:J21"/>
    <mergeCell ref="K20:K21"/>
    <mergeCell ref="L20:L21"/>
    <mergeCell ref="J16:J17"/>
    <mergeCell ref="K16:K17"/>
    <mergeCell ref="L16:L17"/>
    <mergeCell ref="AI25:AI29"/>
    <mergeCell ref="AJ25:AJ29"/>
    <mergeCell ref="D18:D19"/>
    <mergeCell ref="F18:F19"/>
    <mergeCell ref="I18:I19"/>
    <mergeCell ref="J18:J19"/>
    <mergeCell ref="K18:K19"/>
    <mergeCell ref="N18:N19"/>
    <mergeCell ref="P18:P19"/>
    <mergeCell ref="N20:N21"/>
    <mergeCell ref="P20:P21"/>
    <mergeCell ref="I24:I25"/>
    <mergeCell ref="AL20:AL24"/>
    <mergeCell ref="AM20:AM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AI20:AI24"/>
    <mergeCell ref="AJ20:AJ24"/>
    <mergeCell ref="AK20:AK24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B24:B25"/>
    <mergeCell ref="C24:C25"/>
    <mergeCell ref="D24:D25"/>
    <mergeCell ref="F24:F25"/>
    <mergeCell ref="G24:G25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R20:U24"/>
    <mergeCell ref="K22:K23"/>
    <mergeCell ref="N22:N23"/>
    <mergeCell ref="P22:P23"/>
    <mergeCell ref="C28:C29"/>
    <mergeCell ref="D28:D29"/>
    <mergeCell ref="F28:F29"/>
    <mergeCell ref="G28:G29"/>
    <mergeCell ref="I28:I29"/>
    <mergeCell ref="J24:J25"/>
    <mergeCell ref="B20:B21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440" priority="35">
      <formula>G8="P"</formula>
    </cfRule>
    <cfRule type="expression" dxfId="439" priority="36">
      <formula>G8="E"</formula>
    </cfRule>
    <cfRule type="expression" dxfId="438" priority="37">
      <formula>G8="G"</formula>
    </cfRule>
  </conditionalFormatting>
  <conditionalFormatting sqref="K24:K25">
    <cfRule type="expression" dxfId="437" priority="32">
      <formula>L24="P"</formula>
    </cfRule>
    <cfRule type="expression" dxfId="436" priority="33">
      <formula>L24="E"</formula>
    </cfRule>
    <cfRule type="expression" dxfId="435" priority="34">
      <formula>L24="G"</formula>
    </cfRule>
  </conditionalFormatting>
  <conditionalFormatting sqref="K20:K21">
    <cfRule type="expression" dxfId="434" priority="29">
      <formula>L20="P"</formula>
    </cfRule>
    <cfRule type="expression" dxfId="433" priority="30">
      <formula>L20="E"</formula>
    </cfRule>
    <cfRule type="expression" dxfId="432" priority="31">
      <formula>L20="G"</formula>
    </cfRule>
  </conditionalFormatting>
  <conditionalFormatting sqref="K16:K17">
    <cfRule type="expression" dxfId="431" priority="26">
      <formula>L16="P"</formula>
    </cfRule>
    <cfRule type="expression" dxfId="430" priority="27">
      <formula>L16="E"</formula>
    </cfRule>
    <cfRule type="expression" dxfId="429" priority="28">
      <formula>L16="G"</formula>
    </cfRule>
  </conditionalFormatting>
  <conditionalFormatting sqref="K12:K13">
    <cfRule type="expression" dxfId="428" priority="23">
      <formula>L12="P"</formula>
    </cfRule>
    <cfRule type="expression" dxfId="427" priority="24">
      <formula>L12="E"</formula>
    </cfRule>
    <cfRule type="expression" dxfId="426" priority="25">
      <formula>L12="G"</formula>
    </cfRule>
  </conditionalFormatting>
  <conditionalFormatting sqref="K8:K9">
    <cfRule type="expression" dxfId="425" priority="20">
      <formula>L8="P"</formula>
    </cfRule>
    <cfRule type="expression" dxfId="424" priority="21">
      <formula>L8="E"</formula>
    </cfRule>
    <cfRule type="expression" dxfId="423" priority="22">
      <formula>L8="G"</formula>
    </cfRule>
  </conditionalFormatting>
  <conditionalFormatting sqref="K28:K29">
    <cfRule type="expression" dxfId="422" priority="17">
      <formula>L28="P"</formula>
    </cfRule>
    <cfRule type="expression" dxfId="421" priority="18">
      <formula>L28="E"</formula>
    </cfRule>
    <cfRule type="expression" dxfId="420" priority="19">
      <formula>L28="G"</formula>
    </cfRule>
  </conditionalFormatting>
  <conditionalFormatting sqref="I12:I13">
    <cfRule type="expression" dxfId="419" priority="14">
      <formula>G12="P"</formula>
    </cfRule>
    <cfRule type="expression" dxfId="418" priority="15">
      <formula>G12="E"</formula>
    </cfRule>
    <cfRule type="expression" dxfId="417" priority="16">
      <formula>G12="G"</formula>
    </cfRule>
  </conditionalFormatting>
  <conditionalFormatting sqref="I16:I17">
    <cfRule type="expression" dxfId="416" priority="11">
      <formula>G16="P"</formula>
    </cfRule>
    <cfRule type="expression" dxfId="415" priority="12">
      <formula>G16="E"</formula>
    </cfRule>
    <cfRule type="expression" dxfId="414" priority="13">
      <formula>G16="G"</formula>
    </cfRule>
  </conditionalFormatting>
  <conditionalFormatting sqref="I20:I21">
    <cfRule type="expression" dxfId="413" priority="8">
      <formula>G20="P"</formula>
    </cfRule>
    <cfRule type="expression" dxfId="412" priority="9">
      <formula>G20="E"</formula>
    </cfRule>
    <cfRule type="expression" dxfId="411" priority="10">
      <formula>G20="G"</formula>
    </cfRule>
  </conditionalFormatting>
  <conditionalFormatting sqref="I24:I25">
    <cfRule type="expression" dxfId="410" priority="5">
      <formula>G24="P"</formula>
    </cfRule>
    <cfRule type="expression" dxfId="409" priority="6">
      <formula>G24="E"</formula>
    </cfRule>
    <cfRule type="expression" dxfId="408" priority="7">
      <formula>G24="G"</formula>
    </cfRule>
  </conditionalFormatting>
  <conditionalFormatting sqref="I28:I29">
    <cfRule type="expression" dxfId="407" priority="2">
      <formula>G28="P"</formula>
    </cfRule>
    <cfRule type="expression" dxfId="406" priority="3">
      <formula>G28="E"</formula>
    </cfRule>
    <cfRule type="expression" dxfId="405" priority="4">
      <formula>G28="G"</formula>
    </cfRule>
  </conditionalFormatting>
  <conditionalFormatting sqref="R36:U38">
    <cfRule type="expression" dxfId="404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100-000000000000}">
      <formula1>$F$32:$F$35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B1:AR38"/>
  <sheetViews>
    <sheetView showGridLine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6.57031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1"/>
      <c r="U1" s="111"/>
      <c r="V1" s="111"/>
      <c r="W1" s="111"/>
      <c r="X1" s="111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113" t="s">
        <v>2</v>
      </c>
      <c r="S6" s="114"/>
      <c r="T6" s="114"/>
      <c r="U6" s="114"/>
      <c r="V6" s="114"/>
      <c r="W6" s="114"/>
      <c r="X6" s="114"/>
      <c r="Y6" s="114"/>
      <c r="Z6" s="114"/>
      <c r="AA6" s="114"/>
      <c r="AB6" s="115"/>
      <c r="AL6" s="8">
        <f>COUNT(I8,K8,I12,K12,I16,K16,I20,K20,I24,K24,I28,K28)</f>
        <v>0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86">
        <v>3</v>
      </c>
      <c r="C8" s="87">
        <f>VLOOKUP(B8,FechaHora,2,0) + VLOOKUP(UTCElegido,TablaUTC,3,0)</f>
        <v>44886.666666666664</v>
      </c>
      <c r="D8" s="88">
        <f>VLOOKUP(B8,FechaHora,2,0) + VLOOKUP(UTCElegido,TablaUTC,3,0)</f>
        <v>44886.666666666664</v>
      </c>
      <c r="E8" s="26"/>
      <c r="F8" s="89" t="s">
        <v>16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">
        <v>32</v>
      </c>
      <c r="O8" s="26"/>
      <c r="P8" s="122" t="s">
        <v>142</v>
      </c>
      <c r="R8" s="109"/>
      <c r="S8" s="109"/>
      <c r="T8" s="109"/>
      <c r="U8" s="109"/>
      <c r="V8" s="110" t="s">
        <v>3</v>
      </c>
      <c r="W8" s="107" t="s">
        <v>4</v>
      </c>
      <c r="X8" s="107" t="s">
        <v>5</v>
      </c>
      <c r="Y8" s="107" t="s">
        <v>6</v>
      </c>
      <c r="Z8" s="108" t="s">
        <v>7</v>
      </c>
      <c r="AA8" s="108" t="s">
        <v>8</v>
      </c>
      <c r="AB8" s="108" t="s">
        <v>9</v>
      </c>
      <c r="AC8" s="105"/>
      <c r="AD8" s="1"/>
      <c r="AE8" s="105"/>
      <c r="AF8" s="105"/>
      <c r="AG8" s="105"/>
      <c r="AH8" s="105"/>
      <c r="AI8" s="105"/>
      <c r="AJ8" s="105"/>
      <c r="AK8" s="105"/>
      <c r="AL8" s="106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8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122"/>
      <c r="R9" s="109"/>
      <c r="S9" s="109"/>
      <c r="T9" s="109"/>
      <c r="U9" s="109"/>
      <c r="V9" s="110"/>
      <c r="W9" s="107"/>
      <c r="X9" s="107"/>
      <c r="Y9" s="107"/>
      <c r="Z9" s="108"/>
      <c r="AA9" s="108"/>
      <c r="AB9" s="108"/>
      <c r="AC9" s="105"/>
      <c r="AD9" s="1"/>
      <c r="AE9" s="105"/>
      <c r="AF9" s="105"/>
      <c r="AG9" s="105"/>
      <c r="AH9" s="105"/>
      <c r="AI9" s="105"/>
      <c r="AJ9" s="105"/>
      <c r="AK9" s="105"/>
      <c r="AL9" s="106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5" t="str">
        <f>"  1)  " &amp; VLOOKUP(1,$AC$10:$AK$29,2,0)</f>
        <v xml:space="preserve">  1)  INGLATERRA</v>
      </c>
      <c r="S10" s="96"/>
      <c r="T10" s="96"/>
      <c r="U10" s="97"/>
      <c r="V10" s="104">
        <f>VLOOKUP(1,$AC$10:$AK$29,3,0)</f>
        <v>0</v>
      </c>
      <c r="W10" s="93">
        <f>VLOOKUP(1,$AC$10:$AK$29,4,0)</f>
        <v>0</v>
      </c>
      <c r="X10" s="93">
        <f>VLOOKUP(1,$AC$10:$AK$29,5,0)</f>
        <v>0</v>
      </c>
      <c r="Y10" s="93">
        <f>VLOOKUP(1,$AC$10:$AK$29,6,0)</f>
        <v>0</v>
      </c>
      <c r="Z10" s="94">
        <f>VLOOKUP(1,$AC$10:$AK$29,7,0)</f>
        <v>0</v>
      </c>
      <c r="AA10" s="94">
        <f>VLOOKUP(1,$AC$10:$AK$29,8,0)</f>
        <v>0</v>
      </c>
      <c r="AB10" s="94">
        <f>VLOOKUP(1,$AC$10:$AK$29,9,0)</f>
        <v>0</v>
      </c>
      <c r="AC10" s="79">
        <f>RANK(AL10,$AL$10:$AL$29,0)</f>
        <v>1</v>
      </c>
      <c r="AD10" s="79" t="str">
        <f>F8</f>
        <v>INGLATERRA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0</v>
      </c>
      <c r="AI10" s="79">
        <f>I8+I20+K24</f>
        <v>0</v>
      </c>
      <c r="AJ10" s="79">
        <f>K8+K20+I24</f>
        <v>0</v>
      </c>
      <c r="AK10" s="79">
        <f>AI10-AJ10</f>
        <v>0</v>
      </c>
      <c r="AL10" s="79">
        <f>(AE10*1000)+(AK10*100)+(AI10*10)+4+vcp</f>
        <v>4</v>
      </c>
      <c r="AM10" s="79">
        <f>AL10-4</f>
        <v>0</v>
      </c>
      <c r="AN10" s="116"/>
      <c r="AO10" s="117" t="str">
        <f>IF(AL8=1,IF(R36="","",R36),IF(SUM(V10:V29)&gt;0,VLOOKUP(1,AC10:AD29,2,0),""))</f>
        <v/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8"/>
      <c r="S11" s="99"/>
      <c r="T11" s="99"/>
      <c r="U11" s="100"/>
      <c r="V11" s="104"/>
      <c r="W11" s="93"/>
      <c r="X11" s="93"/>
      <c r="Y11" s="93"/>
      <c r="Z11" s="94"/>
      <c r="AA11" s="94"/>
      <c r="AB11" s="94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6"/>
      <c r="AO11" s="117"/>
    </row>
    <row r="12" spans="2:44" ht="7.5" customHeight="1" x14ac:dyDescent="0.25">
      <c r="B12" s="86">
        <v>4</v>
      </c>
      <c r="C12" s="87">
        <f>VLOOKUP(B12,FechaHora,2,0) + VLOOKUP(UTCElegido,TablaUTC,3,0)</f>
        <v>44886.916666666664</v>
      </c>
      <c r="D12" s="88">
        <f>VLOOKUP(B12,FechaHora,2,0) + VLOOKUP(UTCElegido,TablaUTC,3,0)</f>
        <v>44886.916666666664</v>
      </c>
      <c r="E12" s="26"/>
      <c r="F12" s="89" t="s">
        <v>87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72" t="s">
        <v>77</v>
      </c>
      <c r="O12" s="26"/>
      <c r="P12" s="122" t="s">
        <v>143</v>
      </c>
      <c r="R12" s="98"/>
      <c r="S12" s="99"/>
      <c r="T12" s="99"/>
      <c r="U12" s="100"/>
      <c r="V12" s="104"/>
      <c r="W12" s="93"/>
      <c r="X12" s="93"/>
      <c r="Y12" s="93"/>
      <c r="Z12" s="94"/>
      <c r="AA12" s="94"/>
      <c r="AB12" s="94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6"/>
      <c r="AO12" s="117"/>
    </row>
    <row r="13" spans="2:44" ht="7.5" customHeight="1" x14ac:dyDescent="0.25">
      <c r="B13" s="8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72"/>
      <c r="O13" s="26"/>
      <c r="P13" s="122"/>
      <c r="R13" s="98"/>
      <c r="S13" s="99"/>
      <c r="T13" s="99"/>
      <c r="U13" s="100"/>
      <c r="V13" s="104"/>
      <c r="W13" s="93"/>
      <c r="X13" s="93"/>
      <c r="Y13" s="93"/>
      <c r="Z13" s="94"/>
      <c r="AA13" s="94"/>
      <c r="AB13" s="94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6"/>
      <c r="AO13" s="117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1"/>
      <c r="S14" s="102"/>
      <c r="T14" s="102"/>
      <c r="U14" s="103"/>
      <c r="V14" s="104"/>
      <c r="W14" s="93"/>
      <c r="X14" s="93"/>
      <c r="Y14" s="93"/>
      <c r="Z14" s="94"/>
      <c r="AA14" s="94"/>
      <c r="AB14" s="94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6"/>
      <c r="AO14" s="117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5" t="str">
        <f>"  2)  " &amp; VLOOKUP(2,$AC$10:$AK$29,2,0)</f>
        <v xml:space="preserve">  2)  IRÁN</v>
      </c>
      <c r="S15" s="96"/>
      <c r="T15" s="96"/>
      <c r="U15" s="96"/>
      <c r="V15" s="104">
        <f>VLOOKUP(2,$AC$10:$AK$29,3,0)</f>
        <v>0</v>
      </c>
      <c r="W15" s="93">
        <f>VLOOKUP(2,$AC$10:$AK$29,4,0)</f>
        <v>0</v>
      </c>
      <c r="X15" s="93">
        <f>VLOOKUP(2,$AC$10:$AK$29,5,0)</f>
        <v>0</v>
      </c>
      <c r="Y15" s="93">
        <f>VLOOKUP(2,$AC$10:$AK$29,6,0)</f>
        <v>0</v>
      </c>
      <c r="Z15" s="94">
        <f>VLOOKUP(2,$AC$10:$AK$29,7,0)</f>
        <v>0</v>
      </c>
      <c r="AA15" s="94">
        <f>VLOOKUP(2,$AC$10:$AK$29,8,0)</f>
        <v>0</v>
      </c>
      <c r="AB15" s="94">
        <f>VLOOKUP(2,$AC$10:$AK$29,9,0)</f>
        <v>0</v>
      </c>
      <c r="AC15" s="79">
        <f>RANK(AL15,$AL$10:$AL$29,0)</f>
        <v>2</v>
      </c>
      <c r="AD15" s="79" t="str">
        <f>N8</f>
        <v>IRÁN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0</v>
      </c>
      <c r="AI15" s="79">
        <f>K8+K16+I28</f>
        <v>0</v>
      </c>
      <c r="AJ15" s="79">
        <f>I8+I16+K28</f>
        <v>0</v>
      </c>
      <c r="AK15" s="79">
        <f>AI15-AJ15</f>
        <v>0</v>
      </c>
      <c r="AL15" s="79">
        <f>(AE15*1000)+(AK15*100)+(AI15*10)+3+vcp</f>
        <v>3</v>
      </c>
      <c r="AM15" s="79">
        <f>AL15-3</f>
        <v>0</v>
      </c>
      <c r="AN15" s="116"/>
      <c r="AO15" s="118" t="str">
        <f>IF(AL8=1,IF(R37="","",R37),IF(SUM(V10:V29)&gt;0,VLOOKUP(2,AC10:AD29,2,0),""))</f>
        <v/>
      </c>
    </row>
    <row r="16" spans="2:44" ht="7.5" customHeight="1" x14ac:dyDescent="0.25">
      <c r="B16" s="86">
        <v>17</v>
      </c>
      <c r="C16" s="87">
        <f>VLOOKUP(B16,FechaHora,2,0) + VLOOKUP(UTCElegido,TablaUTC,3,0)</f>
        <v>44890.541666666664</v>
      </c>
      <c r="D16" s="88">
        <f>VLOOKUP(B16,FechaHora,2,0) + VLOOKUP(UTCElegido,TablaUTC,3,0)</f>
        <v>44890.541666666664</v>
      </c>
      <c r="E16" s="26"/>
      <c r="F16" s="89" t="s">
        <v>77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">
        <v>32</v>
      </c>
      <c r="O16" s="26"/>
      <c r="P16" s="122" t="s">
        <v>143</v>
      </c>
      <c r="R16" s="98"/>
      <c r="S16" s="99"/>
      <c r="T16" s="99"/>
      <c r="U16" s="99"/>
      <c r="V16" s="104"/>
      <c r="W16" s="93"/>
      <c r="X16" s="93"/>
      <c r="Y16" s="93"/>
      <c r="Z16" s="94"/>
      <c r="AA16" s="94"/>
      <c r="AB16" s="94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6"/>
      <c r="AO16" s="118"/>
    </row>
    <row r="17" spans="2:41" ht="7.5" customHeight="1" x14ac:dyDescent="0.25">
      <c r="B17" s="8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122"/>
      <c r="R17" s="98"/>
      <c r="S17" s="99"/>
      <c r="T17" s="99"/>
      <c r="U17" s="99"/>
      <c r="V17" s="104"/>
      <c r="W17" s="93"/>
      <c r="X17" s="93"/>
      <c r="Y17" s="93"/>
      <c r="Z17" s="94"/>
      <c r="AA17" s="94"/>
      <c r="AB17" s="94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6"/>
      <c r="AO17" s="118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8"/>
      <c r="S18" s="99"/>
      <c r="T18" s="99"/>
      <c r="U18" s="99"/>
      <c r="V18" s="104"/>
      <c r="W18" s="93"/>
      <c r="X18" s="93"/>
      <c r="Y18" s="93"/>
      <c r="Z18" s="94"/>
      <c r="AA18" s="94"/>
      <c r="AB18" s="94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6"/>
      <c r="AO18" s="118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1"/>
      <c r="S19" s="102"/>
      <c r="T19" s="102"/>
      <c r="U19" s="102"/>
      <c r="V19" s="104"/>
      <c r="W19" s="93"/>
      <c r="X19" s="93"/>
      <c r="Y19" s="93"/>
      <c r="Z19" s="94"/>
      <c r="AA19" s="94"/>
      <c r="AB19" s="94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6"/>
      <c r="AO19" s="118"/>
    </row>
    <row r="20" spans="2:41" ht="7.5" customHeight="1" x14ac:dyDescent="0.25">
      <c r="B20" s="86">
        <v>20</v>
      </c>
      <c r="C20" s="87">
        <f>VLOOKUP(B20,FechaHora,2,0) + VLOOKUP(UTCElegido,TablaUTC,3,0)</f>
        <v>44890.916666666664</v>
      </c>
      <c r="D20" s="88">
        <f>VLOOKUP(B20,FechaHora,2,0) + VLOOKUP(UTCElegido,TablaUTC,3,0)</f>
        <v>44890.916666666664</v>
      </c>
      <c r="E20" s="26"/>
      <c r="F20" s="89" t="s">
        <v>16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">
        <v>87</v>
      </c>
      <c r="O20" s="26"/>
      <c r="P20" s="122" t="s">
        <v>74</v>
      </c>
      <c r="R20" s="80" t="str">
        <f>"  3)  " &amp; VLOOKUP(3,$AC$10:$AK$29,2,0)</f>
        <v xml:space="preserve">  3)  ESTADOS UNIDOS</v>
      </c>
      <c r="S20" s="81"/>
      <c r="T20" s="81"/>
      <c r="U20" s="81"/>
      <c r="V20" s="92">
        <f>VLOOKUP(3,$AC$10:$AK$29,3,0)</f>
        <v>0</v>
      </c>
      <c r="W20" s="90">
        <f>VLOOKUP(3,$AC$10:$AK$29,4,0)</f>
        <v>0</v>
      </c>
      <c r="X20" s="90">
        <f>VLOOKUP(3,$AC$10:$AK$29,5,0)</f>
        <v>0</v>
      </c>
      <c r="Y20" s="90">
        <f>VLOOKUP(3,$AC$10:$AK$29,6,0)</f>
        <v>0</v>
      </c>
      <c r="Z20" s="91">
        <f>VLOOKUP(3,$AC$10:$AK$29,7,0)</f>
        <v>0</v>
      </c>
      <c r="AA20" s="91">
        <f>VLOOKUP(3,$AC$10:$AK$29,8,0)</f>
        <v>0</v>
      </c>
      <c r="AB20" s="91">
        <f>VLOOKUP(3,$AC$10:$AK$29,9,0)</f>
        <v>0</v>
      </c>
      <c r="AC20" s="79">
        <f>RANK(AL20,$AL$10:$AL$29,0)</f>
        <v>3</v>
      </c>
      <c r="AD20" s="79" t="str">
        <f>F12</f>
        <v>ESTADOS UNIDOS</v>
      </c>
      <c r="AE20" s="79">
        <f t="shared" ref="AE20" si="1">(AF20*3)+AG20</f>
        <v>0</v>
      </c>
      <c r="AF20" s="79">
        <f>COUNTIF(I34:K34,"G")</f>
        <v>0</v>
      </c>
      <c r="AG20" s="79">
        <f>COUNTIF(I34:K34,"E")</f>
        <v>0</v>
      </c>
      <c r="AH20" s="79">
        <f>COUNTIF(I34:K34,"P")</f>
        <v>0</v>
      </c>
      <c r="AI20" s="79">
        <f>I12+K20+K28</f>
        <v>0</v>
      </c>
      <c r="AJ20" s="79">
        <f>K12+I20+I28</f>
        <v>0</v>
      </c>
      <c r="AK20" s="79">
        <f t="shared" ref="AK20" si="2">AI20-AJ20</f>
        <v>0</v>
      </c>
      <c r="AL20" s="79">
        <f>(AE20*1000)+(AK20*100)+(AI20*10)+2+vcp</f>
        <v>2</v>
      </c>
      <c r="AM20" s="79">
        <f>AL20-2</f>
        <v>0</v>
      </c>
      <c r="AN20" s="116"/>
      <c r="AO20" s="119"/>
    </row>
    <row r="21" spans="2:41" ht="7.5" customHeight="1" x14ac:dyDescent="0.25">
      <c r="B21" s="86"/>
      <c r="C21" s="76"/>
      <c r="D21" s="76"/>
      <c r="E21" s="26"/>
      <c r="F21" s="89"/>
      <c r="G21" s="69"/>
      <c r="H21" s="28"/>
      <c r="I21" s="71"/>
      <c r="J21" s="69"/>
      <c r="K21" s="71"/>
      <c r="L21" s="69"/>
      <c r="M21" s="27"/>
      <c r="N21" s="72"/>
      <c r="O21" s="26"/>
      <c r="P21" s="122"/>
      <c r="R21" s="82"/>
      <c r="S21" s="83"/>
      <c r="T21" s="83"/>
      <c r="U21" s="83"/>
      <c r="V21" s="92"/>
      <c r="W21" s="90"/>
      <c r="X21" s="90"/>
      <c r="Y21" s="90"/>
      <c r="Z21" s="91"/>
      <c r="AA21" s="91"/>
      <c r="AB21" s="91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6"/>
      <c r="AO21" s="120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2"/>
      <c r="W22" s="90"/>
      <c r="X22" s="90"/>
      <c r="Y22" s="90"/>
      <c r="Z22" s="91"/>
      <c r="AA22" s="91"/>
      <c r="AB22" s="91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6"/>
      <c r="AO22" s="120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2"/>
      <c r="W23" s="90"/>
      <c r="X23" s="90"/>
      <c r="Y23" s="90"/>
      <c r="Z23" s="91"/>
      <c r="AA23" s="91"/>
      <c r="AB23" s="91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6"/>
      <c r="AO23" s="120"/>
    </row>
    <row r="24" spans="2:41" ht="7.5" customHeight="1" x14ac:dyDescent="0.25">
      <c r="B24" s="86">
        <v>33</v>
      </c>
      <c r="C24" s="87">
        <f>VLOOKUP(B24,FechaHora,2,0) + VLOOKUP(UTCElegido,TablaUTC,3,0)</f>
        <v>44894.916666666664</v>
      </c>
      <c r="D24" s="88">
        <f>VLOOKUP(B24,FechaHora,2,0) + VLOOKUP(UTCElegido,TablaUTC,3,0)</f>
        <v>44894.916666666664</v>
      </c>
      <c r="E24" s="26"/>
      <c r="F24" s="89" t="s">
        <v>77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16</v>
      </c>
      <c r="O24" s="26"/>
      <c r="P24" s="122" t="s">
        <v>76</v>
      </c>
      <c r="R24" s="84"/>
      <c r="S24" s="85"/>
      <c r="T24" s="85"/>
      <c r="U24" s="85"/>
      <c r="V24" s="92"/>
      <c r="W24" s="90"/>
      <c r="X24" s="90"/>
      <c r="Y24" s="90"/>
      <c r="Z24" s="91"/>
      <c r="AA24" s="91"/>
      <c r="AB24" s="91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6"/>
      <c r="AO24" s="121"/>
    </row>
    <row r="25" spans="2:41" ht="7.5" customHeight="1" x14ac:dyDescent="0.25">
      <c r="B25" s="86"/>
      <c r="C25" s="76"/>
      <c r="D25" s="76"/>
      <c r="E25" s="26"/>
      <c r="F25" s="89"/>
      <c r="G25" s="69"/>
      <c r="H25" s="28"/>
      <c r="I25" s="71"/>
      <c r="J25" s="69"/>
      <c r="K25" s="71"/>
      <c r="L25" s="69"/>
      <c r="M25" s="27"/>
      <c r="N25" s="72"/>
      <c r="O25" s="26"/>
      <c r="P25" s="122"/>
      <c r="R25" s="80" t="str">
        <f>"  4)  " &amp; VLOOKUP(4,$AC$10:$AK$29,2,0)</f>
        <v xml:space="preserve">  4)  GALES</v>
      </c>
      <c r="S25" s="81"/>
      <c r="T25" s="81"/>
      <c r="U25" s="81"/>
      <c r="V25" s="92">
        <f>VLOOKUP(4,$AC$10:$AK$29,3,0)</f>
        <v>0</v>
      </c>
      <c r="W25" s="90">
        <f>VLOOKUP(4,$AC$10:$AK$29,4,0)</f>
        <v>0</v>
      </c>
      <c r="X25" s="90">
        <f>VLOOKUP(4,$AC$10:$AK$29,5,0)</f>
        <v>0</v>
      </c>
      <c r="Y25" s="90">
        <f>VLOOKUP(4,$AC$10:$AK$29,6,0)</f>
        <v>0</v>
      </c>
      <c r="Z25" s="91">
        <f>VLOOKUP(4,$AC$10:$AK$29,7,0)</f>
        <v>0</v>
      </c>
      <c r="AA25" s="91">
        <f>VLOOKUP(4,$AC$10:$AK$29,8,0)</f>
        <v>0</v>
      </c>
      <c r="AB25" s="91">
        <f>VLOOKUP(4,$AC$10:$AK$29,9,0)</f>
        <v>0</v>
      </c>
      <c r="AC25" s="79">
        <f>RANK(AL25,$AL$10:$AL$29,0)</f>
        <v>4</v>
      </c>
      <c r="AD25" s="79" t="str">
        <f>N12</f>
        <v>GALES</v>
      </c>
      <c r="AE25" s="79">
        <f t="shared" ref="AE25" si="3">(AF25*3)+AG25</f>
        <v>0</v>
      </c>
      <c r="AF25" s="79">
        <f>COUNTIF(I35:K35,"G")</f>
        <v>0</v>
      </c>
      <c r="AG25" s="79">
        <f>COUNTIF(I35:K35,"E")</f>
        <v>0</v>
      </c>
      <c r="AH25" s="79">
        <f>COUNTIF(I35:K35,"P")</f>
        <v>0</v>
      </c>
      <c r="AI25" s="79">
        <f>K12+I16+I24</f>
        <v>0</v>
      </c>
      <c r="AJ25" s="79">
        <f>I12+K16+K24</f>
        <v>0</v>
      </c>
      <c r="AK25" s="79">
        <f t="shared" ref="AK25" si="4">AI25-AJ25</f>
        <v>0</v>
      </c>
      <c r="AL25" s="79">
        <f>(AE25*1000)+(AK25*100)+(AI25*10)+1+vcp</f>
        <v>1</v>
      </c>
      <c r="AM25" s="79">
        <f>AL25-1</f>
        <v>0</v>
      </c>
      <c r="AN25" s="116"/>
      <c r="AO25" s="119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2"/>
      <c r="W26" s="90"/>
      <c r="X26" s="90"/>
      <c r="Y26" s="90"/>
      <c r="Z26" s="91"/>
      <c r="AA26" s="91"/>
      <c r="AB26" s="91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6"/>
      <c r="AO26" s="120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2"/>
      <c r="W27" s="90"/>
      <c r="X27" s="90"/>
      <c r="Y27" s="90"/>
      <c r="Z27" s="91"/>
      <c r="AA27" s="91"/>
      <c r="AB27" s="91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6"/>
      <c r="AO27" s="120"/>
    </row>
    <row r="28" spans="2:41" ht="7.5" customHeight="1" x14ac:dyDescent="0.25">
      <c r="B28" s="86">
        <v>34</v>
      </c>
      <c r="C28" s="87">
        <f>VLOOKUP(B28,FechaHora,2,0) + VLOOKUP(UTCElegido,TablaUTC,3,0)</f>
        <v>44894.916666666664</v>
      </c>
      <c r="D28" s="88">
        <f>VLOOKUP(B28,FechaHora,2,0) + VLOOKUP(UTCElegido,TablaUTC,3,0)</f>
        <v>44894.916666666664</v>
      </c>
      <c r="E28" s="26"/>
      <c r="F28" s="89" t="s">
        <v>32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87</v>
      </c>
      <c r="O28" s="26"/>
      <c r="P28" s="122" t="s">
        <v>75</v>
      </c>
      <c r="R28" s="82"/>
      <c r="S28" s="83"/>
      <c r="T28" s="83"/>
      <c r="U28" s="83"/>
      <c r="V28" s="92"/>
      <c r="W28" s="90"/>
      <c r="X28" s="90"/>
      <c r="Y28" s="90"/>
      <c r="Z28" s="91"/>
      <c r="AA28" s="91"/>
      <c r="AB28" s="91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6"/>
      <c r="AO28" s="120"/>
    </row>
    <row r="29" spans="2:41" ht="7.5" customHeight="1" x14ac:dyDescent="0.25">
      <c r="B29" s="86"/>
      <c r="C29" s="76"/>
      <c r="D29" s="76"/>
      <c r="E29" s="26"/>
      <c r="F29" s="89"/>
      <c r="G29" s="69"/>
      <c r="H29" s="28"/>
      <c r="I29" s="71"/>
      <c r="J29" s="69"/>
      <c r="K29" s="71"/>
      <c r="L29" s="69"/>
      <c r="M29" s="27"/>
      <c r="N29" s="72"/>
      <c r="O29" s="26"/>
      <c r="P29" s="122"/>
      <c r="R29" s="84"/>
      <c r="S29" s="85"/>
      <c r="T29" s="85"/>
      <c r="U29" s="85"/>
      <c r="V29" s="92"/>
      <c r="W29" s="90"/>
      <c r="X29" s="90"/>
      <c r="Y29" s="90"/>
      <c r="Z29" s="91"/>
      <c r="AA29" s="91"/>
      <c r="AB29" s="91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6"/>
      <c r="AO29" s="121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INGLATERRA</v>
      </c>
      <c r="I32" t="str">
        <f>G8</f>
        <v/>
      </c>
      <c r="J32" t="str">
        <f>G20</f>
        <v/>
      </c>
      <c r="K32" t="str">
        <f>L24</f>
        <v/>
      </c>
    </row>
    <row r="33" spans="6:21" hidden="1" x14ac:dyDescent="0.25">
      <c r="F33" t="str">
        <f>N8</f>
        <v>IRÁN</v>
      </c>
      <c r="I33" t="str">
        <f>L8</f>
        <v/>
      </c>
      <c r="J33" t="str">
        <f>L16</f>
        <v/>
      </c>
      <c r="K33" t="str">
        <f>G28</f>
        <v/>
      </c>
    </row>
    <row r="34" spans="6:21" hidden="1" x14ac:dyDescent="0.25">
      <c r="F34" t="str">
        <f>F12</f>
        <v>ESTADOS UNIDOS</v>
      </c>
      <c r="I34" t="str">
        <f>G12</f>
        <v/>
      </c>
      <c r="J34" t="str">
        <f>L20</f>
        <v/>
      </c>
      <c r="K34" t="str">
        <f>L28</f>
        <v/>
      </c>
    </row>
    <row r="35" spans="6:21" hidden="1" x14ac:dyDescent="0.25">
      <c r="F35" t="str">
        <f>N12</f>
        <v>GALES</v>
      </c>
      <c r="I35" t="str">
        <f>L12</f>
        <v/>
      </c>
      <c r="J35" t="str">
        <f>G16</f>
        <v/>
      </c>
      <c r="K35" t="str">
        <f>G24</f>
        <v/>
      </c>
    </row>
    <row r="36" spans="6:21" x14ac:dyDescent="0.25">
      <c r="N36" s="61" t="str">
        <f>IF(AL8=1,"Indica manuamente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403" priority="35">
      <formula>G8="P"</formula>
    </cfRule>
    <cfRule type="expression" dxfId="402" priority="36">
      <formula>G8="E"</formula>
    </cfRule>
    <cfRule type="expression" dxfId="401" priority="37">
      <formula>G8="G"</formula>
    </cfRule>
  </conditionalFormatting>
  <conditionalFormatting sqref="K24:K25">
    <cfRule type="expression" dxfId="400" priority="32">
      <formula>L24="P"</formula>
    </cfRule>
    <cfRule type="expression" dxfId="399" priority="33">
      <formula>L24="E"</formula>
    </cfRule>
    <cfRule type="expression" dxfId="398" priority="34">
      <formula>L24="G"</formula>
    </cfRule>
  </conditionalFormatting>
  <conditionalFormatting sqref="K20:K21">
    <cfRule type="expression" dxfId="397" priority="29">
      <formula>L20="P"</formula>
    </cfRule>
    <cfRule type="expression" dxfId="396" priority="30">
      <formula>L20="E"</formula>
    </cfRule>
    <cfRule type="expression" dxfId="395" priority="31">
      <formula>L20="G"</formula>
    </cfRule>
  </conditionalFormatting>
  <conditionalFormatting sqref="K16:K17">
    <cfRule type="expression" dxfId="394" priority="26">
      <formula>L16="P"</formula>
    </cfRule>
    <cfRule type="expression" dxfId="393" priority="27">
      <formula>L16="E"</formula>
    </cfRule>
    <cfRule type="expression" dxfId="392" priority="28">
      <formula>L16="G"</formula>
    </cfRule>
  </conditionalFormatting>
  <conditionalFormatting sqref="K12:K13">
    <cfRule type="expression" dxfId="391" priority="23">
      <formula>L12="P"</formula>
    </cfRule>
    <cfRule type="expression" dxfId="390" priority="24">
      <formula>L12="E"</formula>
    </cfRule>
    <cfRule type="expression" dxfId="389" priority="25">
      <formula>L12="G"</formula>
    </cfRule>
  </conditionalFormatting>
  <conditionalFormatting sqref="K8:K9">
    <cfRule type="expression" dxfId="388" priority="20">
      <formula>L8="P"</formula>
    </cfRule>
    <cfRule type="expression" dxfId="387" priority="21">
      <formula>L8="E"</formula>
    </cfRule>
    <cfRule type="expression" dxfId="386" priority="22">
      <formula>L8="G"</formula>
    </cfRule>
  </conditionalFormatting>
  <conditionalFormatting sqref="K28:K29">
    <cfRule type="expression" dxfId="385" priority="17">
      <formula>L28="P"</formula>
    </cfRule>
    <cfRule type="expression" dxfId="384" priority="18">
      <formula>L28="E"</formula>
    </cfRule>
    <cfRule type="expression" dxfId="383" priority="19">
      <formula>L28="G"</formula>
    </cfRule>
  </conditionalFormatting>
  <conditionalFormatting sqref="I12:I13">
    <cfRule type="expression" dxfId="382" priority="14">
      <formula>G12="P"</formula>
    </cfRule>
    <cfRule type="expression" dxfId="381" priority="15">
      <formula>G12="E"</formula>
    </cfRule>
    <cfRule type="expression" dxfId="380" priority="16">
      <formula>G12="G"</formula>
    </cfRule>
  </conditionalFormatting>
  <conditionalFormatting sqref="I16:I17">
    <cfRule type="expression" dxfId="379" priority="11">
      <formula>G16="P"</formula>
    </cfRule>
    <cfRule type="expression" dxfId="378" priority="12">
      <formula>G16="E"</formula>
    </cfRule>
    <cfRule type="expression" dxfId="377" priority="13">
      <formula>G16="G"</formula>
    </cfRule>
  </conditionalFormatting>
  <conditionalFormatting sqref="I20:I21">
    <cfRule type="expression" dxfId="376" priority="8">
      <formula>G20="P"</formula>
    </cfRule>
    <cfRule type="expression" dxfId="375" priority="9">
      <formula>G20="E"</formula>
    </cfRule>
    <cfRule type="expression" dxfId="374" priority="10">
      <formula>G20="G"</formula>
    </cfRule>
  </conditionalFormatting>
  <conditionalFormatting sqref="I24:I25">
    <cfRule type="expression" dxfId="373" priority="5">
      <formula>G24="P"</formula>
    </cfRule>
    <cfRule type="expression" dxfId="372" priority="6">
      <formula>G24="E"</formula>
    </cfRule>
    <cfRule type="expression" dxfId="371" priority="7">
      <formula>G24="G"</formula>
    </cfRule>
  </conditionalFormatting>
  <conditionalFormatting sqref="I28:I29">
    <cfRule type="expression" dxfId="370" priority="2">
      <formula>G28="P"</formula>
    </cfRule>
    <cfRule type="expression" dxfId="369" priority="3">
      <formula>G28="E"</formula>
    </cfRule>
    <cfRule type="expression" dxfId="368" priority="4">
      <formula>G28="G"</formula>
    </cfRule>
  </conditionalFormatting>
  <conditionalFormatting sqref="R36:U38">
    <cfRule type="expression" dxfId="367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200-000000000000}">
      <formula1>$F$32:$F$35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B1:AR38"/>
  <sheetViews>
    <sheetView showGridLine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2.85546875" hidden="1" customWidth="1"/>
    <col min="41" max="41" width="9.1406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1"/>
      <c r="U1" s="111"/>
      <c r="V1" s="111"/>
      <c r="W1" s="111"/>
      <c r="X1" s="111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113" t="s">
        <v>2</v>
      </c>
      <c r="S6" s="114"/>
      <c r="T6" s="114"/>
      <c r="U6" s="114"/>
      <c r="V6" s="114"/>
      <c r="W6" s="114"/>
      <c r="X6" s="114"/>
      <c r="Y6" s="114"/>
      <c r="Z6" s="114"/>
      <c r="AA6" s="114"/>
      <c r="AB6" s="115"/>
      <c r="AL6" s="8">
        <f>COUNT(I8,K8,I12,K12,I16,K16,I20,K20,I24,K24,I28,K28)</f>
        <v>0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86">
        <v>7</v>
      </c>
      <c r="C8" s="87">
        <f>VLOOKUP(B8,FechaHora,2,0) + VLOOKUP(UTCElegido,TablaUTC,3,0)</f>
        <v>44887.791666666664</v>
      </c>
      <c r="D8" s="88">
        <f>VLOOKUP(B8,FechaHora,2,0) + VLOOKUP(UTCElegido,TablaUTC,3,0)</f>
        <v>44887.791666666664</v>
      </c>
      <c r="E8" s="26"/>
      <c r="F8" s="89" t="s">
        <v>35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">
        <v>38</v>
      </c>
      <c r="O8" s="26"/>
      <c r="P8" s="122" t="s">
        <v>144</v>
      </c>
      <c r="R8" s="109"/>
      <c r="S8" s="109"/>
      <c r="T8" s="109"/>
      <c r="U8" s="109"/>
      <c r="V8" s="110" t="s">
        <v>3</v>
      </c>
      <c r="W8" s="107" t="s">
        <v>4</v>
      </c>
      <c r="X8" s="107" t="s">
        <v>5</v>
      </c>
      <c r="Y8" s="107" t="s">
        <v>6</v>
      </c>
      <c r="Z8" s="108" t="s">
        <v>7</v>
      </c>
      <c r="AA8" s="108" t="s">
        <v>8</v>
      </c>
      <c r="AB8" s="108" t="s">
        <v>9</v>
      </c>
      <c r="AC8" s="105"/>
      <c r="AD8" s="1"/>
      <c r="AE8" s="105"/>
      <c r="AF8" s="105"/>
      <c r="AG8" s="105"/>
      <c r="AH8" s="105"/>
      <c r="AI8" s="105"/>
      <c r="AJ8" s="105"/>
      <c r="AK8" s="105"/>
      <c r="AL8" s="106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8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122"/>
      <c r="R9" s="109"/>
      <c r="S9" s="109"/>
      <c r="T9" s="109"/>
      <c r="U9" s="109"/>
      <c r="V9" s="110"/>
      <c r="W9" s="107"/>
      <c r="X9" s="107"/>
      <c r="Y9" s="107"/>
      <c r="Z9" s="108"/>
      <c r="AA9" s="108"/>
      <c r="AB9" s="108"/>
      <c r="AC9" s="105"/>
      <c r="AD9" s="1"/>
      <c r="AE9" s="105"/>
      <c r="AF9" s="105"/>
      <c r="AG9" s="105"/>
      <c r="AH9" s="105"/>
      <c r="AI9" s="105"/>
      <c r="AJ9" s="105"/>
      <c r="AK9" s="105"/>
      <c r="AL9" s="106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5" t="str">
        <f>"  1)  " &amp; VLOOKUP(1,$AC$10:$AK$29,2,0)</f>
        <v xml:space="preserve">  1)  MÉXICO</v>
      </c>
      <c r="S10" s="96"/>
      <c r="T10" s="96"/>
      <c r="U10" s="97"/>
      <c r="V10" s="104">
        <f>VLOOKUP(1,$AC$10:$AK$29,3,0)</f>
        <v>0</v>
      </c>
      <c r="W10" s="93">
        <f>VLOOKUP(1,$AC$10:$AK$29,4,0)</f>
        <v>0</v>
      </c>
      <c r="X10" s="93">
        <f>VLOOKUP(1,$AC$10:$AK$29,5,0)</f>
        <v>0</v>
      </c>
      <c r="Y10" s="93">
        <f>VLOOKUP(1,$AC$10:$AK$29,6,0)</f>
        <v>0</v>
      </c>
      <c r="Z10" s="94">
        <f>VLOOKUP(1,$AC$10:$AK$29,7,0)</f>
        <v>0</v>
      </c>
      <c r="AA10" s="94">
        <f>VLOOKUP(1,$AC$10:$AK$29,8,0)</f>
        <v>0</v>
      </c>
      <c r="AB10" s="94">
        <f>VLOOKUP(1,$AC$10:$AK$29,9,0)</f>
        <v>0</v>
      </c>
      <c r="AC10" s="79">
        <f>RANK(AL10,$AL$10:$AL$29,0)</f>
        <v>1</v>
      </c>
      <c r="AD10" s="79" t="str">
        <f>F8</f>
        <v>MÉXICO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0</v>
      </c>
      <c r="AI10" s="79">
        <f>I8+K20+K28</f>
        <v>0</v>
      </c>
      <c r="AJ10" s="79">
        <f>K8+I20+I28</f>
        <v>0</v>
      </c>
      <c r="AK10" s="79">
        <f>AI10-AJ10</f>
        <v>0</v>
      </c>
      <c r="AL10" s="79">
        <f>(AE10*1000)+(AK10*100)+(AI10*10)+4+vcp</f>
        <v>4</v>
      </c>
      <c r="AM10" s="79">
        <f>AL10-4</f>
        <v>0</v>
      </c>
      <c r="AN10" s="116"/>
      <c r="AO10" s="117" t="str">
        <f>IF(AL8=1,IF(R36="","",R36),IF(SUM(V10:V29)&gt;0,VLOOKUP(1,AC10:AD29,2,0),""))</f>
        <v/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8"/>
      <c r="S11" s="99"/>
      <c r="T11" s="99"/>
      <c r="U11" s="100"/>
      <c r="V11" s="104"/>
      <c r="W11" s="93"/>
      <c r="X11" s="93"/>
      <c r="Y11" s="93"/>
      <c r="Z11" s="94"/>
      <c r="AA11" s="94"/>
      <c r="AB11" s="94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6"/>
      <c r="AO11" s="117"/>
    </row>
    <row r="12" spans="2:44" ht="7.5" customHeight="1" x14ac:dyDescent="0.25">
      <c r="B12" s="86">
        <v>8</v>
      </c>
      <c r="C12" s="87">
        <f>VLOOKUP(B12,FechaHora,2,0) + VLOOKUP(UTCElegido,TablaUTC,3,0)</f>
        <v>44887.541666666664</v>
      </c>
      <c r="D12" s="88">
        <f>VLOOKUP(B12,FechaHora,2,0) + VLOOKUP(UTCElegido,TablaUTC,3,0)</f>
        <v>44887.541666666664</v>
      </c>
      <c r="E12" s="26"/>
      <c r="F12" s="89" t="s">
        <v>19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72" t="s">
        <v>86</v>
      </c>
      <c r="O12" s="26"/>
      <c r="P12" s="122" t="s">
        <v>145</v>
      </c>
      <c r="R12" s="98"/>
      <c r="S12" s="99"/>
      <c r="T12" s="99"/>
      <c r="U12" s="100"/>
      <c r="V12" s="104"/>
      <c r="W12" s="93"/>
      <c r="X12" s="93"/>
      <c r="Y12" s="93"/>
      <c r="Z12" s="94"/>
      <c r="AA12" s="94"/>
      <c r="AB12" s="94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6"/>
      <c r="AO12" s="117"/>
    </row>
    <row r="13" spans="2:44" ht="7.5" customHeight="1" x14ac:dyDescent="0.25">
      <c r="B13" s="8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72"/>
      <c r="O13" s="26"/>
      <c r="P13" s="122"/>
      <c r="R13" s="98"/>
      <c r="S13" s="99"/>
      <c r="T13" s="99"/>
      <c r="U13" s="100"/>
      <c r="V13" s="104"/>
      <c r="W13" s="93"/>
      <c r="X13" s="93"/>
      <c r="Y13" s="93"/>
      <c r="Z13" s="94"/>
      <c r="AA13" s="94"/>
      <c r="AB13" s="94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6"/>
      <c r="AO13" s="117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3"/>
      <c r="R14" s="101"/>
      <c r="S14" s="102"/>
      <c r="T14" s="102"/>
      <c r="U14" s="103"/>
      <c r="V14" s="104"/>
      <c r="W14" s="93"/>
      <c r="X14" s="93"/>
      <c r="Y14" s="93"/>
      <c r="Z14" s="94"/>
      <c r="AA14" s="94"/>
      <c r="AB14" s="94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6"/>
      <c r="AO14" s="117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3"/>
      <c r="R15" s="95" t="str">
        <f>"  2)  " &amp; VLOOKUP(2,$AC$10:$AK$29,2,0)</f>
        <v xml:space="preserve">  2)  POLONIA</v>
      </c>
      <c r="S15" s="96"/>
      <c r="T15" s="96"/>
      <c r="U15" s="96"/>
      <c r="V15" s="104">
        <f>VLOOKUP(2,$AC$10:$AK$29,3,0)</f>
        <v>0</v>
      </c>
      <c r="W15" s="93">
        <f>VLOOKUP(2,$AC$10:$AK$29,4,0)</f>
        <v>0</v>
      </c>
      <c r="X15" s="93">
        <f>VLOOKUP(2,$AC$10:$AK$29,5,0)</f>
        <v>0</v>
      </c>
      <c r="Y15" s="93">
        <f>VLOOKUP(2,$AC$10:$AK$29,6,0)</f>
        <v>0</v>
      </c>
      <c r="Z15" s="94">
        <f>VLOOKUP(2,$AC$10:$AK$29,7,0)</f>
        <v>0</v>
      </c>
      <c r="AA15" s="94">
        <f>VLOOKUP(2,$AC$10:$AK$29,8,0)</f>
        <v>0</v>
      </c>
      <c r="AB15" s="94">
        <f>VLOOKUP(2,$AC$10:$AK$29,9,0)</f>
        <v>0</v>
      </c>
      <c r="AC15" s="79">
        <f>RANK(AL15,$AL$10:$AL$29,0)</f>
        <v>2</v>
      </c>
      <c r="AD15" s="79" t="str">
        <f>N8</f>
        <v>POLONIA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0</v>
      </c>
      <c r="AI15" s="79">
        <f>K8+I16+I24</f>
        <v>0</v>
      </c>
      <c r="AJ15" s="79">
        <f>I8+K16+K24</f>
        <v>0</v>
      </c>
      <c r="AK15" s="79">
        <f t="shared" ref="AK15" si="1">AI15-AJ15</f>
        <v>0</v>
      </c>
      <c r="AL15" s="79">
        <f>(AE15*1000)+(AK15*100)+(AI15*10)+3+vcp</f>
        <v>3</v>
      </c>
      <c r="AM15" s="79">
        <f>AL15-3</f>
        <v>0</v>
      </c>
      <c r="AN15" s="116"/>
      <c r="AO15" s="118" t="str">
        <f>IF(AL8=1,IF(R37="","",R37),IF(SUM(V10:V29)&gt;0,VLOOKUP(2,AC10:AD29,2,0),""))</f>
        <v/>
      </c>
    </row>
    <row r="16" spans="2:44" ht="7.5" customHeight="1" x14ac:dyDescent="0.25">
      <c r="B16" s="86">
        <v>22</v>
      </c>
      <c r="C16" s="87">
        <f>VLOOKUP(B16,FechaHora,2,0) + VLOOKUP(UTCElegido,TablaUTC,3,0)</f>
        <v>44891.666666666664</v>
      </c>
      <c r="D16" s="88">
        <f>VLOOKUP(B16,FechaHora,2,0) + VLOOKUP(UTCElegido,TablaUTC,3,0)</f>
        <v>44891.666666666664</v>
      </c>
      <c r="E16" s="26"/>
      <c r="F16" s="89" t="s">
        <v>38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">
        <v>86</v>
      </c>
      <c r="O16" s="26"/>
      <c r="P16" s="123" t="s">
        <v>146</v>
      </c>
      <c r="R16" s="98"/>
      <c r="S16" s="99"/>
      <c r="T16" s="99"/>
      <c r="U16" s="99"/>
      <c r="V16" s="104"/>
      <c r="W16" s="93"/>
      <c r="X16" s="93"/>
      <c r="Y16" s="93"/>
      <c r="Z16" s="94"/>
      <c r="AA16" s="94"/>
      <c r="AB16" s="94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6"/>
      <c r="AO16" s="118"/>
    </row>
    <row r="17" spans="2:41" ht="7.5" customHeight="1" x14ac:dyDescent="0.25">
      <c r="B17" s="8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123"/>
      <c r="R17" s="98"/>
      <c r="S17" s="99"/>
      <c r="T17" s="99"/>
      <c r="U17" s="99"/>
      <c r="V17" s="104"/>
      <c r="W17" s="93"/>
      <c r="X17" s="93"/>
      <c r="Y17" s="93"/>
      <c r="Z17" s="94"/>
      <c r="AA17" s="94"/>
      <c r="AB17" s="94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6"/>
      <c r="AO17" s="118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23"/>
      <c r="R18" s="98"/>
      <c r="S18" s="99"/>
      <c r="T18" s="99"/>
      <c r="U18" s="99"/>
      <c r="V18" s="104"/>
      <c r="W18" s="93"/>
      <c r="X18" s="93"/>
      <c r="Y18" s="93"/>
      <c r="Z18" s="94"/>
      <c r="AA18" s="94"/>
      <c r="AB18" s="94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6"/>
      <c r="AO18" s="118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23"/>
      <c r="R19" s="101"/>
      <c r="S19" s="102"/>
      <c r="T19" s="102"/>
      <c r="U19" s="102"/>
      <c r="V19" s="104"/>
      <c r="W19" s="93"/>
      <c r="X19" s="93"/>
      <c r="Y19" s="93"/>
      <c r="Z19" s="94"/>
      <c r="AA19" s="94"/>
      <c r="AB19" s="94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6"/>
      <c r="AO19" s="118"/>
    </row>
    <row r="20" spans="2:41" ht="7.5" customHeight="1" x14ac:dyDescent="0.25">
      <c r="B20" s="86">
        <v>24</v>
      </c>
      <c r="C20" s="87">
        <f>VLOOKUP(B20,FechaHora,2,0) + VLOOKUP(UTCElegido,TablaUTC,3,0)</f>
        <v>44891.916666666664</v>
      </c>
      <c r="D20" s="88">
        <f>VLOOKUP(B20,FechaHora,2,0) + VLOOKUP(UTCElegido,TablaUTC,3,0)</f>
        <v>44891.916666666664</v>
      </c>
      <c r="E20" s="26"/>
      <c r="F20" s="89" t="s">
        <v>19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">
        <v>35</v>
      </c>
      <c r="O20" s="26"/>
      <c r="P20" s="122" t="s">
        <v>145</v>
      </c>
      <c r="R20" s="80" t="str">
        <f>"  3)  " &amp; VLOOKUP(3,$AC$10:$AK$29,2,0)</f>
        <v xml:space="preserve">  3)  ARGENTINA</v>
      </c>
      <c r="S20" s="81"/>
      <c r="T20" s="81"/>
      <c r="U20" s="81"/>
      <c r="V20" s="92">
        <f>VLOOKUP(3,$AC$10:$AK$29,3,0)</f>
        <v>0</v>
      </c>
      <c r="W20" s="90">
        <f>VLOOKUP(3,$AC$10:$AK$29,4,0)</f>
        <v>0</v>
      </c>
      <c r="X20" s="90">
        <f>VLOOKUP(3,$AC$10:$AK$29,5,0)</f>
        <v>0</v>
      </c>
      <c r="Y20" s="90">
        <f>VLOOKUP(3,$AC$10:$AK$29,6,0)</f>
        <v>0</v>
      </c>
      <c r="Z20" s="91">
        <f>VLOOKUP(3,$AC$10:$AK$29,7,0)</f>
        <v>0</v>
      </c>
      <c r="AA20" s="91">
        <f>VLOOKUP(3,$AC$10:$AK$29,8,0)</f>
        <v>0</v>
      </c>
      <c r="AB20" s="91">
        <f>VLOOKUP(3,$AC$10:$AK$29,9,0)</f>
        <v>0</v>
      </c>
      <c r="AC20" s="79">
        <f>RANK(AL20,$AL$10:$AL$29,0)</f>
        <v>3</v>
      </c>
      <c r="AD20" s="79" t="str">
        <f>F12</f>
        <v>ARGENTINA</v>
      </c>
      <c r="AE20" s="79">
        <f t="shared" ref="AE20" si="2">(AF20*3)+AG20</f>
        <v>0</v>
      </c>
      <c r="AF20" s="79">
        <f>COUNTIF(I34:K34,"G")</f>
        <v>0</v>
      </c>
      <c r="AG20" s="79">
        <f>COUNTIF(I34:K34,"E")</f>
        <v>0</v>
      </c>
      <c r="AH20" s="79">
        <f>COUNTIF(I34:K34,"P")</f>
        <v>0</v>
      </c>
      <c r="AI20" s="79">
        <f>I12+I20+K24</f>
        <v>0</v>
      </c>
      <c r="AJ20" s="79">
        <f>K12+K20+I24</f>
        <v>0</v>
      </c>
      <c r="AK20" s="79">
        <f t="shared" ref="AK20" si="3">AI20-AJ20</f>
        <v>0</v>
      </c>
      <c r="AL20" s="79">
        <f>(AE20*1000)+(AK20*100)+(AI20*10)+2+vcp</f>
        <v>2</v>
      </c>
      <c r="AM20" s="79">
        <f>AL20-2</f>
        <v>0</v>
      </c>
      <c r="AN20" s="116"/>
      <c r="AO20" s="119"/>
    </row>
    <row r="21" spans="2:41" ht="7.5" customHeight="1" x14ac:dyDescent="0.25">
      <c r="B21" s="86"/>
      <c r="C21" s="76"/>
      <c r="D21" s="76"/>
      <c r="E21" s="26"/>
      <c r="F21" s="89"/>
      <c r="G21" s="69"/>
      <c r="H21" s="28"/>
      <c r="I21" s="71"/>
      <c r="J21" s="69"/>
      <c r="K21" s="71"/>
      <c r="L21" s="69"/>
      <c r="M21" s="27"/>
      <c r="N21" s="72"/>
      <c r="O21" s="26"/>
      <c r="P21" s="122"/>
      <c r="R21" s="82"/>
      <c r="S21" s="83"/>
      <c r="T21" s="83"/>
      <c r="U21" s="83"/>
      <c r="V21" s="92"/>
      <c r="W21" s="90"/>
      <c r="X21" s="90"/>
      <c r="Y21" s="90"/>
      <c r="Z21" s="91"/>
      <c r="AA21" s="91"/>
      <c r="AB21" s="91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6"/>
      <c r="AO21" s="120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2"/>
      <c r="W22" s="90"/>
      <c r="X22" s="90"/>
      <c r="Y22" s="90"/>
      <c r="Z22" s="91"/>
      <c r="AA22" s="91"/>
      <c r="AB22" s="91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6"/>
      <c r="AO22" s="120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2"/>
      <c r="W23" s="90"/>
      <c r="X23" s="90"/>
      <c r="Y23" s="90"/>
      <c r="Z23" s="91"/>
      <c r="AA23" s="91"/>
      <c r="AB23" s="91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6"/>
      <c r="AO23" s="120"/>
    </row>
    <row r="24" spans="2:41" ht="7.5" customHeight="1" x14ac:dyDescent="0.25">
      <c r="B24" s="86">
        <v>39</v>
      </c>
      <c r="C24" s="87">
        <f>VLOOKUP(B24,FechaHora,2,0) + VLOOKUP(UTCElegido,TablaUTC,3,0)</f>
        <v>44895.916666666664</v>
      </c>
      <c r="D24" s="88">
        <f>VLOOKUP(B24,FechaHora,2,0) + VLOOKUP(UTCElegido,TablaUTC,3,0)</f>
        <v>44895.916666666664</v>
      </c>
      <c r="E24" s="26"/>
      <c r="F24" s="89" t="s">
        <v>38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19</v>
      </c>
      <c r="O24" s="26"/>
      <c r="P24" s="122" t="s">
        <v>147</v>
      </c>
      <c r="R24" s="84"/>
      <c r="S24" s="85"/>
      <c r="T24" s="85"/>
      <c r="U24" s="85"/>
      <c r="V24" s="92"/>
      <c r="W24" s="90"/>
      <c r="X24" s="90"/>
      <c r="Y24" s="90"/>
      <c r="Z24" s="91"/>
      <c r="AA24" s="91"/>
      <c r="AB24" s="91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6"/>
      <c r="AO24" s="121"/>
    </row>
    <row r="25" spans="2:41" ht="7.5" customHeight="1" x14ac:dyDescent="0.25">
      <c r="B25" s="86"/>
      <c r="C25" s="76"/>
      <c r="D25" s="76"/>
      <c r="E25" s="26"/>
      <c r="F25" s="89"/>
      <c r="G25" s="69"/>
      <c r="H25" s="28"/>
      <c r="I25" s="71"/>
      <c r="J25" s="69"/>
      <c r="K25" s="71"/>
      <c r="L25" s="69"/>
      <c r="M25" s="27"/>
      <c r="N25" s="72"/>
      <c r="O25" s="26"/>
      <c r="P25" s="122"/>
      <c r="R25" s="80" t="str">
        <f>"  4)  " &amp; VLOOKUP(4,$AC$10:$AK$29,2,0)</f>
        <v xml:space="preserve">  4)  ARABIA SAUDITA</v>
      </c>
      <c r="S25" s="81"/>
      <c r="T25" s="81"/>
      <c r="U25" s="81"/>
      <c r="V25" s="92">
        <f>VLOOKUP(4,$AC$10:$AK$29,3,0)</f>
        <v>0</v>
      </c>
      <c r="W25" s="90">
        <f>VLOOKUP(4,$AC$10:$AK$29,4,0)</f>
        <v>0</v>
      </c>
      <c r="X25" s="90">
        <f>VLOOKUP(4,$AC$10:$AK$29,5,0)</f>
        <v>0</v>
      </c>
      <c r="Y25" s="90">
        <f>VLOOKUP(4,$AC$10:$AK$29,6,0)</f>
        <v>0</v>
      </c>
      <c r="Z25" s="91">
        <f>VLOOKUP(4,$AC$10:$AK$29,7,0)</f>
        <v>0</v>
      </c>
      <c r="AA25" s="91">
        <f>VLOOKUP(4,$AC$10:$AK$29,8,0)</f>
        <v>0</v>
      </c>
      <c r="AB25" s="91">
        <f>VLOOKUP(4,$AC$10:$AK$29,9,0)</f>
        <v>0</v>
      </c>
      <c r="AC25" s="79">
        <f>RANK(AL25,$AL$10:$AL$29,0)</f>
        <v>4</v>
      </c>
      <c r="AD25" s="79" t="str">
        <f>N12</f>
        <v>ARABIA SAUDITA</v>
      </c>
      <c r="AE25" s="79">
        <f t="shared" ref="AE25" si="4">(AF25*3)+AG25</f>
        <v>0</v>
      </c>
      <c r="AF25" s="79">
        <f>COUNTIF(I35:K35,"G")</f>
        <v>0</v>
      </c>
      <c r="AG25" s="79">
        <f>COUNTIF(I35:K35,"E")</f>
        <v>0</v>
      </c>
      <c r="AH25" s="79">
        <f>COUNTIF(I35:K35,"P")</f>
        <v>0</v>
      </c>
      <c r="AI25" s="79">
        <f>K12+K16+I28</f>
        <v>0</v>
      </c>
      <c r="AJ25" s="79">
        <f>I12+I16+K28</f>
        <v>0</v>
      </c>
      <c r="AK25" s="79">
        <f t="shared" ref="AK25" si="5">AI25-AJ25</f>
        <v>0</v>
      </c>
      <c r="AL25" s="79">
        <f>(AE25*1000)+(AK25*100)+(AI25*10)+1+vcp</f>
        <v>1</v>
      </c>
      <c r="AM25" s="79">
        <f>AL25-1</f>
        <v>0</v>
      </c>
      <c r="AN25" s="116"/>
      <c r="AO25" s="119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2"/>
      <c r="W26" s="90"/>
      <c r="X26" s="90"/>
      <c r="Y26" s="90"/>
      <c r="Z26" s="91"/>
      <c r="AA26" s="91"/>
      <c r="AB26" s="91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6"/>
      <c r="AO26" s="120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2"/>
      <c r="W27" s="90"/>
      <c r="X27" s="90"/>
      <c r="Y27" s="90"/>
      <c r="Z27" s="91"/>
      <c r="AA27" s="91"/>
      <c r="AB27" s="91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6"/>
      <c r="AO27" s="120"/>
    </row>
    <row r="28" spans="2:41" ht="7.5" customHeight="1" x14ac:dyDescent="0.25">
      <c r="B28" s="86">
        <v>40</v>
      </c>
      <c r="C28" s="87">
        <f>VLOOKUP(B28,FechaHora,2,0) + VLOOKUP(UTCElegido,TablaUTC,3,0)</f>
        <v>44895.916666666664</v>
      </c>
      <c r="D28" s="88">
        <f>VLOOKUP(B28,FechaHora,2,0) + VLOOKUP(UTCElegido,TablaUTC,3,0)</f>
        <v>44895.916666666664</v>
      </c>
      <c r="E28" s="26"/>
      <c r="F28" s="89" t="s">
        <v>86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35</v>
      </c>
      <c r="O28" s="26"/>
      <c r="P28" s="122" t="s">
        <v>145</v>
      </c>
      <c r="R28" s="82"/>
      <c r="S28" s="83"/>
      <c r="T28" s="83"/>
      <c r="U28" s="83"/>
      <c r="V28" s="92"/>
      <c r="W28" s="90"/>
      <c r="X28" s="90"/>
      <c r="Y28" s="90"/>
      <c r="Z28" s="91"/>
      <c r="AA28" s="91"/>
      <c r="AB28" s="91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6"/>
      <c r="AO28" s="120"/>
    </row>
    <row r="29" spans="2:41" ht="7.5" customHeight="1" x14ac:dyDescent="0.25">
      <c r="B29" s="86"/>
      <c r="C29" s="76"/>
      <c r="D29" s="76"/>
      <c r="E29" s="26"/>
      <c r="F29" s="89"/>
      <c r="G29" s="69"/>
      <c r="H29" s="28"/>
      <c r="I29" s="71"/>
      <c r="J29" s="69"/>
      <c r="K29" s="71"/>
      <c r="L29" s="69"/>
      <c r="M29" s="27"/>
      <c r="N29" s="72"/>
      <c r="O29" s="26"/>
      <c r="P29" s="122"/>
      <c r="R29" s="84"/>
      <c r="S29" s="85"/>
      <c r="T29" s="85"/>
      <c r="U29" s="85"/>
      <c r="V29" s="92"/>
      <c r="W29" s="90"/>
      <c r="X29" s="90"/>
      <c r="Y29" s="90"/>
      <c r="Z29" s="91"/>
      <c r="AA29" s="91"/>
      <c r="AB29" s="91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6"/>
      <c r="AO29" s="121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MÉXICO</v>
      </c>
      <c r="I32" t="str">
        <f>G8</f>
        <v/>
      </c>
      <c r="J32" t="str">
        <f>L20</f>
        <v/>
      </c>
      <c r="K32" t="str">
        <f>L28</f>
        <v/>
      </c>
    </row>
    <row r="33" spans="6:21" hidden="1" x14ac:dyDescent="0.25">
      <c r="F33" t="str">
        <f>N8</f>
        <v>POLONIA</v>
      </c>
      <c r="I33" t="str">
        <f>L8</f>
        <v/>
      </c>
      <c r="J33" t="str">
        <f>G16</f>
        <v/>
      </c>
      <c r="K33" t="str">
        <f>G24</f>
        <v/>
      </c>
    </row>
    <row r="34" spans="6:21" hidden="1" x14ac:dyDescent="0.25">
      <c r="F34" t="str">
        <f>F12</f>
        <v>ARGENTINA</v>
      </c>
      <c r="I34" t="str">
        <f>G12</f>
        <v/>
      </c>
      <c r="J34" t="str">
        <f>G20</f>
        <v/>
      </c>
      <c r="K34" t="str">
        <f>L24</f>
        <v/>
      </c>
    </row>
    <row r="35" spans="6:21" hidden="1" x14ac:dyDescent="0.25">
      <c r="F35" t="str">
        <f>N12</f>
        <v>ARABIA SAUDITA</v>
      </c>
      <c r="I35" t="str">
        <f>L12</f>
        <v/>
      </c>
      <c r="J35" t="str">
        <f>L16</f>
        <v/>
      </c>
      <c r="K35" t="str">
        <f>G28</f>
        <v/>
      </c>
    </row>
    <row r="36" spans="6:21" x14ac:dyDescent="0.25">
      <c r="N36" s="61" t="str">
        <f>IF(AL8=1,"Indica manuamente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M15:AM19"/>
    <mergeCell ref="AA15:AA19"/>
    <mergeCell ref="AB15:AB19"/>
    <mergeCell ref="AC15:AC19"/>
    <mergeCell ref="AL20:AL24"/>
    <mergeCell ref="AM20:AM24"/>
    <mergeCell ref="Z10:Z14"/>
    <mergeCell ref="AA10:AA14"/>
    <mergeCell ref="AB10:AB14"/>
    <mergeCell ref="B8:B9"/>
    <mergeCell ref="C8:C9"/>
    <mergeCell ref="D8:D9"/>
    <mergeCell ref="F8:F9"/>
    <mergeCell ref="G8:G9"/>
    <mergeCell ref="I8:I9"/>
    <mergeCell ref="J8:J9"/>
    <mergeCell ref="R38:U38"/>
    <mergeCell ref="AN10:AN14"/>
    <mergeCell ref="W10:W14"/>
    <mergeCell ref="AB8:AB9"/>
    <mergeCell ref="K8:K9"/>
    <mergeCell ref="AK10:AK14"/>
    <mergeCell ref="L8:L9"/>
    <mergeCell ref="N8:N9"/>
    <mergeCell ref="P8:P9"/>
    <mergeCell ref="R8:U9"/>
    <mergeCell ref="V8:V9"/>
    <mergeCell ref="B10:B11"/>
    <mergeCell ref="C10:C11"/>
    <mergeCell ref="D10:D11"/>
    <mergeCell ref="AE10:AE14"/>
    <mergeCell ref="AF10:AF14"/>
    <mergeCell ref="Y10:Y14"/>
    <mergeCell ref="AJ8:AJ9"/>
    <mergeCell ref="AK8:AK9"/>
    <mergeCell ref="AL8:AL9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L12:L13"/>
    <mergeCell ref="R15:U19"/>
    <mergeCell ref="T1:X1"/>
    <mergeCell ref="E6:O6"/>
    <mergeCell ref="R6:AB6"/>
    <mergeCell ref="W15:W19"/>
    <mergeCell ref="N12:N13"/>
    <mergeCell ref="P12:P13"/>
    <mergeCell ref="J16:J17"/>
    <mergeCell ref="K16:K17"/>
    <mergeCell ref="L16:L17"/>
    <mergeCell ref="N16:N17"/>
    <mergeCell ref="P14:P15"/>
    <mergeCell ref="P18:P19"/>
    <mergeCell ref="P16:P17"/>
    <mergeCell ref="C18:C19"/>
    <mergeCell ref="AJ15:AJ19"/>
    <mergeCell ref="AC10:AC14"/>
    <mergeCell ref="AD10:AD14"/>
    <mergeCell ref="N10:N11"/>
    <mergeCell ref="P10:P11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V15:V19"/>
    <mergeCell ref="B18:B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AI25:AI29"/>
    <mergeCell ref="V25:V29"/>
    <mergeCell ref="F24:F25"/>
    <mergeCell ref="N20:N21"/>
    <mergeCell ref="G24:G25"/>
    <mergeCell ref="I24:I25"/>
    <mergeCell ref="AL25:AL29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AK20:AK24"/>
    <mergeCell ref="AJ25:AJ29"/>
    <mergeCell ref="AI20:AI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4:B25"/>
    <mergeCell ref="P22:P23"/>
    <mergeCell ref="J24:J25"/>
    <mergeCell ref="P20:P21"/>
    <mergeCell ref="C24:C25"/>
    <mergeCell ref="D24:D25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366" priority="35">
      <formula>G8="P"</formula>
    </cfRule>
    <cfRule type="expression" dxfId="365" priority="36">
      <formula>G8="E"</formula>
    </cfRule>
    <cfRule type="expression" dxfId="364" priority="37">
      <formula>G8="G"</formula>
    </cfRule>
  </conditionalFormatting>
  <conditionalFormatting sqref="K24:K25">
    <cfRule type="expression" dxfId="363" priority="32">
      <formula>L24="P"</formula>
    </cfRule>
    <cfRule type="expression" dxfId="362" priority="33">
      <formula>L24="E"</formula>
    </cfRule>
    <cfRule type="expression" dxfId="361" priority="34">
      <formula>L24="G"</formula>
    </cfRule>
  </conditionalFormatting>
  <conditionalFormatting sqref="K20:K21">
    <cfRule type="expression" dxfId="360" priority="29">
      <formula>L20="P"</formula>
    </cfRule>
    <cfRule type="expression" dxfId="359" priority="30">
      <formula>L20="E"</formula>
    </cfRule>
    <cfRule type="expression" dxfId="358" priority="31">
      <formula>L20="G"</formula>
    </cfRule>
  </conditionalFormatting>
  <conditionalFormatting sqref="K16:K17">
    <cfRule type="expression" dxfId="357" priority="26">
      <formula>L16="P"</formula>
    </cfRule>
    <cfRule type="expression" dxfId="356" priority="27">
      <formula>L16="E"</formula>
    </cfRule>
    <cfRule type="expression" dxfId="355" priority="28">
      <formula>L16="G"</formula>
    </cfRule>
  </conditionalFormatting>
  <conditionalFormatting sqref="K12:K13">
    <cfRule type="expression" dxfId="354" priority="23">
      <formula>L12="P"</formula>
    </cfRule>
    <cfRule type="expression" dxfId="353" priority="24">
      <formula>L12="E"</formula>
    </cfRule>
    <cfRule type="expression" dxfId="352" priority="25">
      <formula>L12="G"</formula>
    </cfRule>
  </conditionalFormatting>
  <conditionalFormatting sqref="K8:K9">
    <cfRule type="expression" dxfId="351" priority="20">
      <formula>L8="P"</formula>
    </cfRule>
    <cfRule type="expression" dxfId="350" priority="21">
      <formula>L8="E"</formula>
    </cfRule>
    <cfRule type="expression" dxfId="349" priority="22">
      <formula>L8="G"</formula>
    </cfRule>
  </conditionalFormatting>
  <conditionalFormatting sqref="K28:K29">
    <cfRule type="expression" dxfId="348" priority="17">
      <formula>L28="P"</formula>
    </cfRule>
    <cfRule type="expression" dxfId="347" priority="18">
      <formula>L28="E"</formula>
    </cfRule>
    <cfRule type="expression" dxfId="346" priority="19">
      <formula>L28="G"</formula>
    </cfRule>
  </conditionalFormatting>
  <conditionalFormatting sqref="I12:I13">
    <cfRule type="expression" dxfId="345" priority="14">
      <formula>G12="P"</formula>
    </cfRule>
    <cfRule type="expression" dxfId="344" priority="15">
      <formula>G12="E"</formula>
    </cfRule>
    <cfRule type="expression" dxfId="343" priority="16">
      <formula>G12="G"</formula>
    </cfRule>
  </conditionalFormatting>
  <conditionalFormatting sqref="I16:I17">
    <cfRule type="expression" dxfId="342" priority="11">
      <formula>G16="P"</formula>
    </cfRule>
    <cfRule type="expression" dxfId="341" priority="12">
      <formula>G16="E"</formula>
    </cfRule>
    <cfRule type="expression" dxfId="340" priority="13">
      <formula>G16="G"</formula>
    </cfRule>
  </conditionalFormatting>
  <conditionalFormatting sqref="I20:I21">
    <cfRule type="expression" dxfId="339" priority="8">
      <formula>G20="P"</formula>
    </cfRule>
    <cfRule type="expression" dxfId="338" priority="9">
      <formula>G20="E"</formula>
    </cfRule>
    <cfRule type="expression" dxfId="337" priority="10">
      <formula>G20="G"</formula>
    </cfRule>
  </conditionalFormatting>
  <conditionalFormatting sqref="I24:I25">
    <cfRule type="expression" dxfId="336" priority="5">
      <formula>G24="P"</formula>
    </cfRule>
    <cfRule type="expression" dxfId="335" priority="6">
      <formula>G24="E"</formula>
    </cfRule>
    <cfRule type="expression" dxfId="334" priority="7">
      <formula>G24="G"</formula>
    </cfRule>
  </conditionalFormatting>
  <conditionalFormatting sqref="I28:I29">
    <cfRule type="expression" dxfId="333" priority="2">
      <formula>G28="P"</formula>
    </cfRule>
    <cfRule type="expression" dxfId="332" priority="3">
      <formula>G28="E"</formula>
    </cfRule>
    <cfRule type="expression" dxfId="331" priority="4">
      <formula>G28="G"</formula>
    </cfRule>
  </conditionalFormatting>
  <conditionalFormatting sqref="R36:U38">
    <cfRule type="expression" dxfId="330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3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B1:AR38"/>
  <sheetViews>
    <sheetView showGridLine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2.1406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1"/>
      <c r="U1" s="111"/>
      <c r="V1" s="111"/>
      <c r="W1" s="111"/>
      <c r="X1" s="111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15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113" t="s">
        <v>2</v>
      </c>
      <c r="S6" s="114"/>
      <c r="T6" s="114"/>
      <c r="U6" s="114"/>
      <c r="V6" s="114"/>
      <c r="W6" s="114"/>
      <c r="X6" s="114"/>
      <c r="Y6" s="114"/>
      <c r="Z6" s="114"/>
      <c r="AA6" s="114"/>
      <c r="AB6" s="115"/>
      <c r="AL6" s="8">
        <f>COUNT(I8,K8,I12,K12,I16,K16,I20,K20,I24,K24,I28,K28)</f>
        <v>0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40"/>
      <c r="AL7" s="9"/>
    </row>
    <row r="8" spans="2:44" ht="7.5" customHeight="1" x14ac:dyDescent="0.25">
      <c r="B8" s="86">
        <v>5</v>
      </c>
      <c r="C8" s="87">
        <f>VLOOKUP(B8,FechaHora,2,0) + VLOOKUP(UTCElegido,TablaUTC,3,0)</f>
        <v>44887.916666666664</v>
      </c>
      <c r="D8" s="88">
        <f>VLOOKUP(B8,FechaHora,2,0) + VLOOKUP(UTCElegido,TablaUTC,3,0)</f>
        <v>44887.916666666664</v>
      </c>
      <c r="E8" s="26"/>
      <c r="F8" s="89" t="s">
        <v>18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">
        <v>12</v>
      </c>
      <c r="O8" s="26"/>
      <c r="P8" s="127" t="s">
        <v>81</v>
      </c>
      <c r="R8" s="109"/>
      <c r="S8" s="109"/>
      <c r="T8" s="109"/>
      <c r="U8" s="109"/>
      <c r="V8" s="128" t="s">
        <v>3</v>
      </c>
      <c r="W8" s="107" t="s">
        <v>4</v>
      </c>
      <c r="X8" s="107" t="s">
        <v>5</v>
      </c>
      <c r="Y8" s="107" t="s">
        <v>6</v>
      </c>
      <c r="Z8" s="108" t="s">
        <v>7</v>
      </c>
      <c r="AA8" s="108" t="s">
        <v>8</v>
      </c>
      <c r="AB8" s="108" t="s">
        <v>9</v>
      </c>
      <c r="AC8" s="105"/>
      <c r="AD8" s="1"/>
      <c r="AE8" s="105"/>
      <c r="AF8" s="105"/>
      <c r="AG8" s="105"/>
      <c r="AH8" s="105"/>
      <c r="AI8" s="105"/>
      <c r="AJ8" s="105"/>
      <c r="AK8" s="105"/>
      <c r="AL8" s="106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8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127"/>
      <c r="R9" s="109"/>
      <c r="S9" s="109"/>
      <c r="T9" s="109"/>
      <c r="U9" s="109"/>
      <c r="V9" s="128"/>
      <c r="W9" s="107"/>
      <c r="X9" s="107"/>
      <c r="Y9" s="107"/>
      <c r="Z9" s="108"/>
      <c r="AA9" s="108"/>
      <c r="AB9" s="108"/>
      <c r="AC9" s="105"/>
      <c r="AD9" s="1"/>
      <c r="AE9" s="105"/>
      <c r="AF9" s="105"/>
      <c r="AG9" s="105"/>
      <c r="AH9" s="105"/>
      <c r="AI9" s="105"/>
      <c r="AJ9" s="105"/>
      <c r="AK9" s="105"/>
      <c r="AL9" s="106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23"/>
      <c r="R10" s="95" t="str">
        <f>"  1)  " &amp; VLOOKUP(1,$AC$10:$AK$29,2,0)</f>
        <v xml:space="preserve">  1)  FRANCIA</v>
      </c>
      <c r="S10" s="96"/>
      <c r="T10" s="96"/>
      <c r="U10" s="97"/>
      <c r="V10" s="126">
        <f>VLOOKUP(1,$AC$10:$AK$29,3,0)</f>
        <v>0</v>
      </c>
      <c r="W10" s="93">
        <f>VLOOKUP(1,$AC$10:$AK$29,4,0)</f>
        <v>0</v>
      </c>
      <c r="X10" s="93">
        <f>VLOOKUP(1,$AC$10:$AK$29,5,0)</f>
        <v>0</v>
      </c>
      <c r="Y10" s="93">
        <f>VLOOKUP(1,$AC$10:$AK$29,6,0)</f>
        <v>0</v>
      </c>
      <c r="Z10" s="94">
        <f>VLOOKUP(1,$AC$10:$AK$29,7,0)</f>
        <v>0</v>
      </c>
      <c r="AA10" s="94">
        <f>VLOOKUP(1,$AC$10:$AK$29,8,0)</f>
        <v>0</v>
      </c>
      <c r="AB10" s="94">
        <f>VLOOKUP(1,$AC$10:$AK$29,9,0)</f>
        <v>0</v>
      </c>
      <c r="AC10" s="79">
        <f>RANK(AL10,$AL$10:$AL$29,0)</f>
        <v>1</v>
      </c>
      <c r="AD10" s="79" t="str">
        <f>F8</f>
        <v>FRANCIA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0</v>
      </c>
      <c r="AI10" s="79">
        <f>I8+I20+K28</f>
        <v>0</v>
      </c>
      <c r="AJ10" s="79">
        <f>K8+K20+I28</f>
        <v>0</v>
      </c>
      <c r="AK10" s="79">
        <f>AI10-AJ10</f>
        <v>0</v>
      </c>
      <c r="AL10" s="79">
        <f>(AE10*1000)+(AK10*100)+(AI10*10)+4+vcp</f>
        <v>4</v>
      </c>
      <c r="AM10" s="79">
        <f>AL10-4</f>
        <v>0</v>
      </c>
      <c r="AN10" s="116"/>
      <c r="AO10" s="117" t="str">
        <f>IF(AL8=1,IF(R36="","",R36),IF(SUM(V10:V29)&gt;0,VLOOKUP(1,AC10:AD29,2,0),""))</f>
        <v/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23"/>
      <c r="R11" s="98"/>
      <c r="S11" s="99"/>
      <c r="T11" s="99"/>
      <c r="U11" s="100"/>
      <c r="V11" s="126"/>
      <c r="W11" s="93"/>
      <c r="X11" s="93"/>
      <c r="Y11" s="93"/>
      <c r="Z11" s="94"/>
      <c r="AA11" s="94"/>
      <c r="AB11" s="94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6"/>
      <c r="AO11" s="117"/>
    </row>
    <row r="12" spans="2:44" ht="7.5" customHeight="1" x14ac:dyDescent="0.25">
      <c r="B12" s="86">
        <v>6</v>
      </c>
      <c r="C12" s="87">
        <f>VLOOKUP(B12,FechaHora,2,0) + VLOOKUP(UTCElegido,TablaUTC,3,0)</f>
        <v>44887.666666666664</v>
      </c>
      <c r="D12" s="88">
        <f>VLOOKUP(B12,FechaHora,2,0) + VLOOKUP(UTCElegido,TablaUTC,3,0)</f>
        <v>44887.666666666664</v>
      </c>
      <c r="E12" s="26"/>
      <c r="F12" s="89" t="s">
        <v>33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72" t="s">
        <v>37</v>
      </c>
      <c r="O12" s="26"/>
      <c r="P12" s="123" t="s">
        <v>146</v>
      </c>
      <c r="R12" s="98"/>
      <c r="S12" s="99"/>
      <c r="T12" s="99"/>
      <c r="U12" s="100"/>
      <c r="V12" s="126"/>
      <c r="W12" s="93"/>
      <c r="X12" s="93"/>
      <c r="Y12" s="93"/>
      <c r="Z12" s="94"/>
      <c r="AA12" s="94"/>
      <c r="AB12" s="94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6"/>
      <c r="AO12" s="117"/>
    </row>
    <row r="13" spans="2:44" ht="7.5" customHeight="1" x14ac:dyDescent="0.25">
      <c r="B13" s="8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72"/>
      <c r="O13" s="26"/>
      <c r="P13" s="123"/>
      <c r="R13" s="98"/>
      <c r="S13" s="99"/>
      <c r="T13" s="99"/>
      <c r="U13" s="100"/>
      <c r="V13" s="126"/>
      <c r="W13" s="93"/>
      <c r="X13" s="93"/>
      <c r="Y13" s="93"/>
      <c r="Z13" s="94"/>
      <c r="AA13" s="94"/>
      <c r="AB13" s="94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6"/>
      <c r="AO13" s="117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3"/>
      <c r="R14" s="101"/>
      <c r="S14" s="102"/>
      <c r="T14" s="102"/>
      <c r="U14" s="103"/>
      <c r="V14" s="126"/>
      <c r="W14" s="93"/>
      <c r="X14" s="93"/>
      <c r="Y14" s="93"/>
      <c r="Z14" s="94"/>
      <c r="AA14" s="94"/>
      <c r="AB14" s="94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6"/>
      <c r="AO14" s="117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3"/>
      <c r="R15" s="95" t="str">
        <f>"  2)  " &amp; VLOOKUP(2,$AC$10:$AK$29,2,0)</f>
        <v xml:space="preserve">  2)  AUSTRALIA</v>
      </c>
      <c r="S15" s="96"/>
      <c r="T15" s="96"/>
      <c r="U15" s="96"/>
      <c r="V15" s="126">
        <f>VLOOKUP(2,$AC$10:$AK$29,3,0)</f>
        <v>0</v>
      </c>
      <c r="W15" s="93">
        <f>VLOOKUP(2,$AC$10:$AK$29,4,0)</f>
        <v>0</v>
      </c>
      <c r="X15" s="93">
        <f>VLOOKUP(2,$AC$10:$AK$29,5,0)</f>
        <v>0</v>
      </c>
      <c r="Y15" s="93">
        <f>VLOOKUP(2,$AC$10:$AK$29,6,0)</f>
        <v>0</v>
      </c>
      <c r="Z15" s="94">
        <f>VLOOKUP(2,$AC$10:$AK$29,7,0)</f>
        <v>0</v>
      </c>
      <c r="AA15" s="94">
        <f>VLOOKUP(2,$AC$10:$AK$29,8,0)</f>
        <v>0</v>
      </c>
      <c r="AB15" s="94">
        <f>VLOOKUP(2,$AC$10:$AK$29,9,0)</f>
        <v>0</v>
      </c>
      <c r="AC15" s="79">
        <f>RANK(AL15,$AL$10:$AL$29,0)</f>
        <v>2</v>
      </c>
      <c r="AD15" s="79" t="str">
        <f>N8</f>
        <v>AUSTRALIA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0</v>
      </c>
      <c r="AI15" s="79">
        <f>K8+K16+I24</f>
        <v>0</v>
      </c>
      <c r="AJ15" s="79">
        <f>I8+I16+K24</f>
        <v>0</v>
      </c>
      <c r="AK15" s="79">
        <f t="shared" ref="AK15" si="1">AI15-AJ15</f>
        <v>0</v>
      </c>
      <c r="AL15" s="79">
        <f>(AE15*1000)+(AK15*100)+(AI15*10)+3+vcp</f>
        <v>3</v>
      </c>
      <c r="AM15" s="79">
        <f>AL15-3</f>
        <v>0</v>
      </c>
      <c r="AN15" s="116"/>
      <c r="AO15" s="118" t="str">
        <f>IF(AL8=1,IF(R37="","",R37),IF(SUM(V10:V29)&gt;0,VLOOKUP(2,AC10:AD29,2,0),""))</f>
        <v/>
      </c>
    </row>
    <row r="16" spans="2:44" ht="7.5" customHeight="1" x14ac:dyDescent="0.25">
      <c r="B16" s="86">
        <v>21</v>
      </c>
      <c r="C16" s="87">
        <f>VLOOKUP(B16,FechaHora,2,0) + VLOOKUP(UTCElegido,TablaUTC,3,0)</f>
        <v>44891.541666666664</v>
      </c>
      <c r="D16" s="88">
        <f>VLOOKUP(B16,FechaHora,2,0) + VLOOKUP(UTCElegido,TablaUTC,3,0)</f>
        <v>44891.541666666664</v>
      </c>
      <c r="E16" s="26"/>
      <c r="F16" s="89" t="s">
        <v>37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">
        <v>12</v>
      </c>
      <c r="O16" s="26"/>
      <c r="P16" s="122" t="s">
        <v>81</v>
      </c>
      <c r="R16" s="98"/>
      <c r="S16" s="99"/>
      <c r="T16" s="99"/>
      <c r="U16" s="99"/>
      <c r="V16" s="126"/>
      <c r="W16" s="93"/>
      <c r="X16" s="93"/>
      <c r="Y16" s="93"/>
      <c r="Z16" s="94"/>
      <c r="AA16" s="94"/>
      <c r="AB16" s="94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6"/>
      <c r="AO16" s="118"/>
    </row>
    <row r="17" spans="2:41" ht="7.5" customHeight="1" x14ac:dyDescent="0.25">
      <c r="B17" s="8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122"/>
      <c r="R17" s="98"/>
      <c r="S17" s="99"/>
      <c r="T17" s="99"/>
      <c r="U17" s="99"/>
      <c r="V17" s="126"/>
      <c r="W17" s="93"/>
      <c r="X17" s="93"/>
      <c r="Y17" s="93"/>
      <c r="Z17" s="94"/>
      <c r="AA17" s="94"/>
      <c r="AB17" s="94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6"/>
      <c r="AO17" s="118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8"/>
      <c r="S18" s="99"/>
      <c r="T18" s="99"/>
      <c r="U18" s="99"/>
      <c r="V18" s="126"/>
      <c r="W18" s="93"/>
      <c r="X18" s="93"/>
      <c r="Y18" s="93"/>
      <c r="Z18" s="94"/>
      <c r="AA18" s="94"/>
      <c r="AB18" s="94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6"/>
      <c r="AO18" s="118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1"/>
      <c r="S19" s="102"/>
      <c r="T19" s="102"/>
      <c r="U19" s="102"/>
      <c r="V19" s="126"/>
      <c r="W19" s="93"/>
      <c r="X19" s="93"/>
      <c r="Y19" s="93"/>
      <c r="Z19" s="94"/>
      <c r="AA19" s="94"/>
      <c r="AB19" s="94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6"/>
      <c r="AO19" s="118"/>
    </row>
    <row r="20" spans="2:41" ht="7.5" customHeight="1" x14ac:dyDescent="0.25">
      <c r="B20" s="86">
        <v>23</v>
      </c>
      <c r="C20" s="87">
        <f>VLOOKUP(B20,FechaHora,2,0) + VLOOKUP(UTCElegido,TablaUTC,3,0)</f>
        <v>44891.791666666664</v>
      </c>
      <c r="D20" s="88">
        <f>VLOOKUP(B20,FechaHora,2,0) + VLOOKUP(UTCElegido,TablaUTC,3,0)</f>
        <v>44891.791666666664</v>
      </c>
      <c r="E20" s="26"/>
      <c r="F20" s="89" t="s">
        <v>18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">
        <v>33</v>
      </c>
      <c r="O20" s="26"/>
      <c r="P20" s="122" t="s">
        <v>147</v>
      </c>
      <c r="R20" s="80" t="str">
        <f>"  3)  " &amp; VLOOKUP(3,$AC$10:$AK$29,2,0)</f>
        <v xml:space="preserve">  3)  DINAMARCA</v>
      </c>
      <c r="S20" s="81"/>
      <c r="T20" s="81"/>
      <c r="U20" s="81"/>
      <c r="V20" s="125">
        <f>VLOOKUP(3,$AC$10:$AK$29,3,0)</f>
        <v>0</v>
      </c>
      <c r="W20" s="90">
        <f>VLOOKUP(3,$AC$10:$AK$29,4,0)</f>
        <v>0</v>
      </c>
      <c r="X20" s="90">
        <f>VLOOKUP(3,$AC$10:$AK$29,5,0)</f>
        <v>0</v>
      </c>
      <c r="Y20" s="90">
        <f>VLOOKUP(3,$AC$10:$AK$29,6,0)</f>
        <v>0</v>
      </c>
      <c r="Z20" s="91">
        <f>VLOOKUP(3,$AC$10:$AK$29,7,0)</f>
        <v>0</v>
      </c>
      <c r="AA20" s="91">
        <f>VLOOKUP(3,$AC$10:$AK$29,8,0)</f>
        <v>0</v>
      </c>
      <c r="AB20" s="91">
        <f>VLOOKUP(3,$AC$10:$AK$29,9,0)</f>
        <v>0</v>
      </c>
      <c r="AC20" s="79">
        <f>RANK(AL20,$AL$10:$AL$29,0)</f>
        <v>3</v>
      </c>
      <c r="AD20" s="79" t="str">
        <f>F12</f>
        <v>DINAMARCA</v>
      </c>
      <c r="AE20" s="79">
        <f t="shared" ref="AE20" si="2">(AF20*3)+AG20</f>
        <v>0</v>
      </c>
      <c r="AF20" s="79">
        <f>COUNTIF(I34:K34,"G")</f>
        <v>0</v>
      </c>
      <c r="AG20" s="79">
        <f>COUNTIF(I34:K34,"E")</f>
        <v>0</v>
      </c>
      <c r="AH20" s="79">
        <f>COUNTIF(I34:K34,"P")</f>
        <v>0</v>
      </c>
      <c r="AI20" s="79">
        <f>I12+K20+K24</f>
        <v>0</v>
      </c>
      <c r="AJ20" s="79">
        <f>K12+I20+I24</f>
        <v>0</v>
      </c>
      <c r="AK20" s="79">
        <f t="shared" ref="AK20" si="3">AI20-AJ20</f>
        <v>0</v>
      </c>
      <c r="AL20" s="79">
        <f>(AE20*1000)+(AK20*100)+(AI20*10)+2+vcp</f>
        <v>2</v>
      </c>
      <c r="AM20" s="79">
        <f>AL20-2</f>
        <v>0</v>
      </c>
      <c r="AN20" s="116"/>
      <c r="AO20" s="119"/>
    </row>
    <row r="21" spans="2:41" ht="7.5" customHeight="1" x14ac:dyDescent="0.25">
      <c r="B21" s="86"/>
      <c r="C21" s="76"/>
      <c r="D21" s="76"/>
      <c r="E21" s="26"/>
      <c r="F21" s="89"/>
      <c r="G21" s="69"/>
      <c r="H21" s="28"/>
      <c r="I21" s="71"/>
      <c r="J21" s="69"/>
      <c r="K21" s="71"/>
      <c r="L21" s="69"/>
      <c r="M21" s="27"/>
      <c r="N21" s="72"/>
      <c r="O21" s="26"/>
      <c r="P21" s="122"/>
      <c r="R21" s="82"/>
      <c r="S21" s="83"/>
      <c r="T21" s="83"/>
      <c r="U21" s="83"/>
      <c r="V21" s="125"/>
      <c r="W21" s="90"/>
      <c r="X21" s="90"/>
      <c r="Y21" s="90"/>
      <c r="Z21" s="91"/>
      <c r="AA21" s="91"/>
      <c r="AB21" s="91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6"/>
      <c r="AO21" s="120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125"/>
      <c r="W22" s="90"/>
      <c r="X22" s="90"/>
      <c r="Y22" s="90"/>
      <c r="Z22" s="91"/>
      <c r="AA22" s="91"/>
      <c r="AB22" s="91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6"/>
      <c r="AO22" s="120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125"/>
      <c r="W23" s="90"/>
      <c r="X23" s="90"/>
      <c r="Y23" s="90"/>
      <c r="Z23" s="91"/>
      <c r="AA23" s="91"/>
      <c r="AB23" s="91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6"/>
      <c r="AO23" s="120"/>
    </row>
    <row r="24" spans="2:41" ht="7.5" customHeight="1" x14ac:dyDescent="0.25">
      <c r="B24" s="86">
        <v>37</v>
      </c>
      <c r="C24" s="87">
        <f>VLOOKUP(B24,FechaHora,2,0) + VLOOKUP(UTCElegido,TablaUTC,3,0)</f>
        <v>44895.75</v>
      </c>
      <c r="D24" s="88">
        <f>VLOOKUP(B24,FechaHora,2,0) + VLOOKUP(UTCElegido,TablaUTC,3,0)</f>
        <v>44895.75</v>
      </c>
      <c r="E24" s="26"/>
      <c r="F24" s="89" t="s">
        <v>12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33</v>
      </c>
      <c r="O24" s="26"/>
      <c r="P24" s="122" t="s">
        <v>81</v>
      </c>
      <c r="R24" s="84"/>
      <c r="S24" s="85"/>
      <c r="T24" s="85"/>
      <c r="U24" s="85"/>
      <c r="V24" s="125"/>
      <c r="W24" s="90"/>
      <c r="X24" s="90"/>
      <c r="Y24" s="90"/>
      <c r="Z24" s="91"/>
      <c r="AA24" s="91"/>
      <c r="AB24" s="91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6"/>
      <c r="AO24" s="121"/>
    </row>
    <row r="25" spans="2:41" ht="7.5" customHeight="1" x14ac:dyDescent="0.25">
      <c r="B25" s="86"/>
      <c r="C25" s="76"/>
      <c r="D25" s="76"/>
      <c r="E25" s="26"/>
      <c r="F25" s="89"/>
      <c r="G25" s="69"/>
      <c r="H25" s="28"/>
      <c r="I25" s="71"/>
      <c r="J25" s="69"/>
      <c r="K25" s="71"/>
      <c r="L25" s="69"/>
      <c r="M25" s="27"/>
      <c r="N25" s="72"/>
      <c r="O25" s="26"/>
      <c r="P25" s="122"/>
      <c r="R25" s="80" t="str">
        <f>"  4)  " &amp; VLOOKUP(4,$AC$10:$AK$29,2,0)</f>
        <v xml:space="preserve">  4)  TÚNEZ</v>
      </c>
      <c r="S25" s="81"/>
      <c r="T25" s="81"/>
      <c r="U25" s="81"/>
      <c r="V25" s="125">
        <f>VLOOKUP(4,$AC$10:$AK$29,3,0)</f>
        <v>0</v>
      </c>
      <c r="W25" s="90">
        <f>VLOOKUP(4,$AC$10:$AK$29,4,0)</f>
        <v>0</v>
      </c>
      <c r="X25" s="90">
        <f>VLOOKUP(4,$AC$10:$AK$29,5,0)</f>
        <v>0</v>
      </c>
      <c r="Y25" s="90">
        <f>VLOOKUP(4,$AC$10:$AK$29,6,0)</f>
        <v>0</v>
      </c>
      <c r="Z25" s="91">
        <f>VLOOKUP(4,$AC$10:$AK$29,7,0)</f>
        <v>0</v>
      </c>
      <c r="AA25" s="91">
        <f>VLOOKUP(4,$AC$10:$AK$29,8,0)</f>
        <v>0</v>
      </c>
      <c r="AB25" s="91">
        <f>VLOOKUP(4,$AC$10:$AK$29,9,0)</f>
        <v>0</v>
      </c>
      <c r="AC25" s="79">
        <f>RANK(AL25,$AL$10:$AL$29,0)</f>
        <v>4</v>
      </c>
      <c r="AD25" s="79" t="str">
        <f>N12</f>
        <v>TÚNEZ</v>
      </c>
      <c r="AE25" s="79">
        <f t="shared" ref="AE25" si="4">(AF25*3)+AG25</f>
        <v>0</v>
      </c>
      <c r="AF25" s="79">
        <f>COUNTIF(I35:K35,"G")</f>
        <v>0</v>
      </c>
      <c r="AG25" s="79">
        <f>COUNTIF(I35:K35,"E")</f>
        <v>0</v>
      </c>
      <c r="AH25" s="79">
        <f>COUNTIF(I35:K35,"P")</f>
        <v>0</v>
      </c>
      <c r="AI25" s="79">
        <f>K12+I16+I28</f>
        <v>0</v>
      </c>
      <c r="AJ25" s="79">
        <f>I12+K16+K28</f>
        <v>0</v>
      </c>
      <c r="AK25" s="79">
        <f t="shared" ref="AK25" si="5">AI25-AJ25</f>
        <v>0</v>
      </c>
      <c r="AL25" s="79">
        <f>(AE25*1000)+(AK25*100)+(AI25*10)+1+vcp</f>
        <v>1</v>
      </c>
      <c r="AM25" s="79">
        <f>AL25-1</f>
        <v>0</v>
      </c>
      <c r="AN25" s="116"/>
      <c r="AO25" s="119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124"/>
      <c r="R26" s="82"/>
      <c r="S26" s="83"/>
      <c r="T26" s="83"/>
      <c r="U26" s="83"/>
      <c r="V26" s="125"/>
      <c r="W26" s="90"/>
      <c r="X26" s="90"/>
      <c r="Y26" s="90"/>
      <c r="Z26" s="91"/>
      <c r="AA26" s="91"/>
      <c r="AB26" s="91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6"/>
      <c r="AO26" s="120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124"/>
      <c r="R27" s="82"/>
      <c r="S27" s="83"/>
      <c r="T27" s="83"/>
      <c r="U27" s="83"/>
      <c r="V27" s="125"/>
      <c r="W27" s="90"/>
      <c r="X27" s="90"/>
      <c r="Y27" s="90"/>
      <c r="Z27" s="91"/>
      <c r="AA27" s="91"/>
      <c r="AB27" s="91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6"/>
      <c r="AO27" s="120"/>
    </row>
    <row r="28" spans="2:41" ht="7.5" customHeight="1" x14ac:dyDescent="0.25">
      <c r="B28" s="86">
        <v>38</v>
      </c>
      <c r="C28" s="87">
        <f>VLOOKUP(B28,FechaHora,2,0) + VLOOKUP(UTCElegido,TablaUTC,3,0)</f>
        <v>44895.75</v>
      </c>
      <c r="D28" s="88">
        <f>VLOOKUP(B28,FechaHora,2,0) + VLOOKUP(UTCElegido,TablaUTC,3,0)</f>
        <v>44895.75</v>
      </c>
      <c r="E28" s="26"/>
      <c r="F28" s="89" t="s">
        <v>37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18</v>
      </c>
      <c r="O28" s="26"/>
      <c r="P28" s="123" t="s">
        <v>146</v>
      </c>
      <c r="R28" s="82"/>
      <c r="S28" s="83"/>
      <c r="T28" s="83"/>
      <c r="U28" s="83"/>
      <c r="V28" s="125"/>
      <c r="W28" s="90"/>
      <c r="X28" s="90"/>
      <c r="Y28" s="90"/>
      <c r="Z28" s="91"/>
      <c r="AA28" s="91"/>
      <c r="AB28" s="91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6"/>
      <c r="AO28" s="120"/>
    </row>
    <row r="29" spans="2:41" ht="7.5" customHeight="1" x14ac:dyDescent="0.25">
      <c r="B29" s="86"/>
      <c r="C29" s="76"/>
      <c r="D29" s="76"/>
      <c r="E29" s="26"/>
      <c r="F29" s="89"/>
      <c r="G29" s="69"/>
      <c r="H29" s="28"/>
      <c r="I29" s="71"/>
      <c r="J29" s="69"/>
      <c r="K29" s="71"/>
      <c r="L29" s="69"/>
      <c r="M29" s="27"/>
      <c r="N29" s="72"/>
      <c r="O29" s="26"/>
      <c r="P29" s="123"/>
      <c r="R29" s="84"/>
      <c r="S29" s="85"/>
      <c r="T29" s="85"/>
      <c r="U29" s="85"/>
      <c r="V29" s="125"/>
      <c r="W29" s="90"/>
      <c r="X29" s="90"/>
      <c r="Y29" s="90"/>
      <c r="Z29" s="91"/>
      <c r="AA29" s="91"/>
      <c r="AB29" s="91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6"/>
      <c r="AO29" s="121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6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FRANCIA</v>
      </c>
      <c r="I32" t="str">
        <f>G8</f>
        <v/>
      </c>
      <c r="J32" t="str">
        <f>G20</f>
        <v/>
      </c>
      <c r="K32" t="str">
        <f>L28</f>
        <v/>
      </c>
    </row>
    <row r="33" spans="6:21" hidden="1" x14ac:dyDescent="0.25">
      <c r="F33" t="str">
        <f>N8</f>
        <v>AUSTRALIA</v>
      </c>
      <c r="I33" t="str">
        <f>L8</f>
        <v/>
      </c>
      <c r="J33" t="str">
        <f>L16</f>
        <v/>
      </c>
      <c r="K33" t="str">
        <f>G24</f>
        <v/>
      </c>
    </row>
    <row r="34" spans="6:21" hidden="1" x14ac:dyDescent="0.25">
      <c r="F34" t="str">
        <f>F12</f>
        <v>DINAMARCA</v>
      </c>
      <c r="I34" t="str">
        <f>G12</f>
        <v/>
      </c>
      <c r="J34" t="str">
        <f>L20</f>
        <v/>
      </c>
      <c r="K34" t="str">
        <f>L24</f>
        <v/>
      </c>
    </row>
    <row r="35" spans="6:21" hidden="1" x14ac:dyDescent="0.25">
      <c r="F35" t="str">
        <f>N12</f>
        <v>TÚNEZ</v>
      </c>
      <c r="I35" t="str">
        <f>L12</f>
        <v/>
      </c>
      <c r="J35" t="str">
        <f>G16</f>
        <v/>
      </c>
      <c r="K35" t="str">
        <f>G28</f>
        <v/>
      </c>
    </row>
    <row r="36" spans="6:21" x14ac:dyDescent="0.25">
      <c r="N36" s="61" t="str">
        <f>IF(AL8=1,"Indica manuamente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M15:AM19"/>
    <mergeCell ref="AA15:AA19"/>
    <mergeCell ref="AB15:AB19"/>
    <mergeCell ref="AC15:AC19"/>
    <mergeCell ref="AL20:AL24"/>
    <mergeCell ref="AM20:AM24"/>
    <mergeCell ref="AL25:AL29"/>
    <mergeCell ref="AM25:AM29"/>
    <mergeCell ref="AG25:AG29"/>
    <mergeCell ref="AH25:AH29"/>
    <mergeCell ref="AK25:AK29"/>
    <mergeCell ref="AO10:AO14"/>
    <mergeCell ref="AN15:AN19"/>
    <mergeCell ref="AO15:AO19"/>
    <mergeCell ref="AN20:AN24"/>
    <mergeCell ref="AO20:AO24"/>
    <mergeCell ref="AK15:AK19"/>
    <mergeCell ref="AG15:AG19"/>
    <mergeCell ref="AH15:AH19"/>
    <mergeCell ref="AI15:AI19"/>
    <mergeCell ref="AK20:AK24"/>
    <mergeCell ref="R38:U38"/>
    <mergeCell ref="AN10:AN14"/>
    <mergeCell ref="W10:W14"/>
    <mergeCell ref="X20:X24"/>
    <mergeCell ref="Y20:Y24"/>
    <mergeCell ref="Z20:Z24"/>
    <mergeCell ref="AA20:AA24"/>
    <mergeCell ref="V25:V29"/>
    <mergeCell ref="X25:X29"/>
    <mergeCell ref="Y25:Y29"/>
    <mergeCell ref="Z25:Z29"/>
    <mergeCell ref="AA25:AA29"/>
    <mergeCell ref="AI25:AI29"/>
    <mergeCell ref="AJ25:AJ29"/>
    <mergeCell ref="AI20:AI24"/>
    <mergeCell ref="AJ20:AJ24"/>
    <mergeCell ref="AB20:AB24"/>
    <mergeCell ref="B8:B9"/>
    <mergeCell ref="C8:C9"/>
    <mergeCell ref="D8:D9"/>
    <mergeCell ref="F8:F9"/>
    <mergeCell ref="K8:K9"/>
    <mergeCell ref="AK10:AK14"/>
    <mergeCell ref="L8:L9"/>
    <mergeCell ref="N8:N9"/>
    <mergeCell ref="P8:P9"/>
    <mergeCell ref="R8:U9"/>
    <mergeCell ref="V8:V9"/>
    <mergeCell ref="Z8:Z9"/>
    <mergeCell ref="AA8:AA9"/>
    <mergeCell ref="AB8:AB9"/>
    <mergeCell ref="AE10:AE14"/>
    <mergeCell ref="AF10:AF14"/>
    <mergeCell ref="Y10:Y14"/>
    <mergeCell ref="Z10:Z14"/>
    <mergeCell ref="AD10:AD14"/>
    <mergeCell ref="N10:N11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T1:X1"/>
    <mergeCell ref="E6:O6"/>
    <mergeCell ref="R6:AB6"/>
    <mergeCell ref="W15:W19"/>
    <mergeCell ref="N12:N13"/>
    <mergeCell ref="AJ8:AJ9"/>
    <mergeCell ref="AK8:AK9"/>
    <mergeCell ref="G8:G9"/>
    <mergeCell ref="I8:I9"/>
    <mergeCell ref="J8:J9"/>
    <mergeCell ref="L12:L13"/>
    <mergeCell ref="P10:P11"/>
    <mergeCell ref="P12:P13"/>
    <mergeCell ref="P14:P15"/>
    <mergeCell ref="AJ15:AJ19"/>
    <mergeCell ref="V15:V19"/>
    <mergeCell ref="J16:J17"/>
    <mergeCell ref="K16:K17"/>
    <mergeCell ref="L16:L17"/>
    <mergeCell ref="N16:N17"/>
    <mergeCell ref="P16:P17"/>
    <mergeCell ref="F14:F15"/>
    <mergeCell ref="I14:I15"/>
    <mergeCell ref="J14:J15"/>
    <mergeCell ref="AC20:AC24"/>
    <mergeCell ref="AD20:AD24"/>
    <mergeCell ref="AE20:AE24"/>
    <mergeCell ref="AF15:AF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R15:U19"/>
    <mergeCell ref="D14:D15"/>
    <mergeCell ref="AA10:AA14"/>
    <mergeCell ref="AB10:AB14"/>
    <mergeCell ref="AC10:AC14"/>
    <mergeCell ref="K12:K13"/>
    <mergeCell ref="B16:B17"/>
    <mergeCell ref="C16:C17"/>
    <mergeCell ref="D16:D17"/>
    <mergeCell ref="F16:F17"/>
    <mergeCell ref="G16:G17"/>
    <mergeCell ref="I16:I17"/>
    <mergeCell ref="AD15:AD19"/>
    <mergeCell ref="AE15:AE19"/>
    <mergeCell ref="B18:B19"/>
    <mergeCell ref="C18:C19"/>
    <mergeCell ref="B14:B15"/>
    <mergeCell ref="C14:C15"/>
    <mergeCell ref="W25:W29"/>
    <mergeCell ref="C28:C29"/>
    <mergeCell ref="D28:D29"/>
    <mergeCell ref="F28:F29"/>
    <mergeCell ref="D24:D25"/>
    <mergeCell ref="F24:F25"/>
    <mergeCell ref="G24:G25"/>
    <mergeCell ref="W20:W24"/>
    <mergeCell ref="P20:P21"/>
    <mergeCell ref="N20:N21"/>
    <mergeCell ref="I24:I25"/>
    <mergeCell ref="C20:C21"/>
    <mergeCell ref="D20:D21"/>
    <mergeCell ref="F20:F21"/>
    <mergeCell ref="G20:G21"/>
    <mergeCell ref="I20:I21"/>
    <mergeCell ref="J20:J21"/>
    <mergeCell ref="K20:K21"/>
    <mergeCell ref="L20:L21"/>
    <mergeCell ref="B22:B23"/>
    <mergeCell ref="C22:C23"/>
    <mergeCell ref="D22:D23"/>
    <mergeCell ref="F22:F23"/>
    <mergeCell ref="I22:I23"/>
    <mergeCell ref="J22:J23"/>
    <mergeCell ref="C24:C25"/>
    <mergeCell ref="B26:B27"/>
    <mergeCell ref="C26:C27"/>
    <mergeCell ref="D26:D27"/>
    <mergeCell ref="F26:F27"/>
    <mergeCell ref="I26:I27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0:B21"/>
    <mergeCell ref="B24:B25"/>
    <mergeCell ref="P22:P23"/>
    <mergeCell ref="J24:J25"/>
    <mergeCell ref="V20:V24"/>
    <mergeCell ref="AF20:AF24"/>
    <mergeCell ref="AG20:AG24"/>
    <mergeCell ref="AC25:AC29"/>
    <mergeCell ref="AD25:AD29"/>
    <mergeCell ref="AE25:AE29"/>
    <mergeCell ref="AF25:AF29"/>
    <mergeCell ref="AB25:AB29"/>
    <mergeCell ref="R37:U37"/>
    <mergeCell ref="J28:J29"/>
    <mergeCell ref="K28:K29"/>
    <mergeCell ref="L28:L29"/>
    <mergeCell ref="N28:N29"/>
    <mergeCell ref="R36:U36"/>
    <mergeCell ref="J26:J27"/>
    <mergeCell ref="K26:K27"/>
    <mergeCell ref="N26:N27"/>
    <mergeCell ref="P28:P29"/>
    <mergeCell ref="P26:P27"/>
  </mergeCells>
  <conditionalFormatting sqref="I8:I9">
    <cfRule type="expression" dxfId="329" priority="35">
      <formula>G8="P"</formula>
    </cfRule>
    <cfRule type="expression" dxfId="328" priority="36">
      <formula>G8="E"</formula>
    </cfRule>
    <cfRule type="expression" dxfId="327" priority="37">
      <formula>G8="G"</formula>
    </cfRule>
  </conditionalFormatting>
  <conditionalFormatting sqref="K24:K25">
    <cfRule type="expression" dxfId="326" priority="32">
      <formula>L24="P"</formula>
    </cfRule>
    <cfRule type="expression" dxfId="325" priority="33">
      <formula>L24="E"</formula>
    </cfRule>
    <cfRule type="expression" dxfId="324" priority="34">
      <formula>L24="G"</formula>
    </cfRule>
  </conditionalFormatting>
  <conditionalFormatting sqref="K20:K21">
    <cfRule type="expression" dxfId="323" priority="29">
      <formula>L20="P"</formula>
    </cfRule>
    <cfRule type="expression" dxfId="322" priority="30">
      <formula>L20="E"</formula>
    </cfRule>
    <cfRule type="expression" dxfId="321" priority="31">
      <formula>L20="G"</formula>
    </cfRule>
  </conditionalFormatting>
  <conditionalFormatting sqref="K16:K17">
    <cfRule type="expression" dxfId="320" priority="26">
      <formula>L16="P"</formula>
    </cfRule>
    <cfRule type="expression" dxfId="319" priority="27">
      <formula>L16="E"</formula>
    </cfRule>
    <cfRule type="expression" dxfId="318" priority="28">
      <formula>L16="G"</formula>
    </cfRule>
  </conditionalFormatting>
  <conditionalFormatting sqref="K12:K13">
    <cfRule type="expression" dxfId="317" priority="23">
      <formula>L12="P"</formula>
    </cfRule>
    <cfRule type="expression" dxfId="316" priority="24">
      <formula>L12="E"</formula>
    </cfRule>
    <cfRule type="expression" dxfId="315" priority="25">
      <formula>L12="G"</formula>
    </cfRule>
  </conditionalFormatting>
  <conditionalFormatting sqref="K8:K9">
    <cfRule type="expression" dxfId="314" priority="20">
      <formula>L8="P"</formula>
    </cfRule>
    <cfRule type="expression" dxfId="313" priority="21">
      <formula>L8="E"</formula>
    </cfRule>
    <cfRule type="expression" dxfId="312" priority="22">
      <formula>L8="G"</formula>
    </cfRule>
  </conditionalFormatting>
  <conditionalFormatting sqref="K28:K29">
    <cfRule type="expression" dxfId="311" priority="17">
      <formula>L28="P"</formula>
    </cfRule>
    <cfRule type="expression" dxfId="310" priority="18">
      <formula>L28="E"</formula>
    </cfRule>
    <cfRule type="expression" dxfId="309" priority="19">
      <formula>L28="G"</formula>
    </cfRule>
  </conditionalFormatting>
  <conditionalFormatting sqref="I12:I13">
    <cfRule type="expression" dxfId="308" priority="14">
      <formula>G12="P"</formula>
    </cfRule>
    <cfRule type="expression" dxfId="307" priority="15">
      <formula>G12="E"</formula>
    </cfRule>
    <cfRule type="expression" dxfId="306" priority="16">
      <formula>G12="G"</formula>
    </cfRule>
  </conditionalFormatting>
  <conditionalFormatting sqref="I16:I17">
    <cfRule type="expression" dxfId="305" priority="11">
      <formula>G16="P"</formula>
    </cfRule>
    <cfRule type="expression" dxfId="304" priority="12">
      <formula>G16="E"</formula>
    </cfRule>
    <cfRule type="expression" dxfId="303" priority="13">
      <formula>G16="G"</formula>
    </cfRule>
  </conditionalFormatting>
  <conditionalFormatting sqref="I20:I21">
    <cfRule type="expression" dxfId="302" priority="8">
      <formula>G20="P"</formula>
    </cfRule>
    <cfRule type="expression" dxfId="301" priority="9">
      <formula>G20="E"</formula>
    </cfRule>
    <cfRule type="expression" dxfId="300" priority="10">
      <formula>G20="G"</formula>
    </cfRule>
  </conditionalFormatting>
  <conditionalFormatting sqref="I24:I25">
    <cfRule type="expression" dxfId="299" priority="5">
      <formula>G24="P"</formula>
    </cfRule>
    <cfRule type="expression" dxfId="298" priority="6">
      <formula>G24="E"</formula>
    </cfRule>
    <cfRule type="expression" dxfId="297" priority="7">
      <formula>G24="G"</formula>
    </cfRule>
  </conditionalFormatting>
  <conditionalFormatting sqref="I28:I29">
    <cfRule type="expression" dxfId="296" priority="2">
      <formula>G28="P"</formula>
    </cfRule>
    <cfRule type="expression" dxfId="295" priority="3">
      <formula>G28="E"</formula>
    </cfRule>
    <cfRule type="expression" dxfId="294" priority="4">
      <formula>G28="G"</formula>
    </cfRule>
  </conditionalFormatting>
  <conditionalFormatting sqref="R36:U38">
    <cfRule type="expression" dxfId="293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4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B1:AR38"/>
  <sheetViews>
    <sheetView showGridLine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1.425781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1"/>
      <c r="U1" s="111"/>
      <c r="V1" s="111"/>
      <c r="W1" s="111"/>
      <c r="X1" s="111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113" t="s">
        <v>2</v>
      </c>
      <c r="S6" s="114"/>
      <c r="T6" s="114"/>
      <c r="U6" s="114"/>
      <c r="V6" s="114"/>
      <c r="W6" s="114"/>
      <c r="X6" s="114"/>
      <c r="Y6" s="114"/>
      <c r="Z6" s="114"/>
      <c r="AA6" s="114"/>
      <c r="AB6" s="115"/>
      <c r="AL6" s="8">
        <f>COUNT(I8,K8,I12,K12,I16,K16,I20,K20,I24,K24,I28,K28)</f>
        <v>0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86">
        <v>10</v>
      </c>
      <c r="C8" s="87">
        <f>VLOOKUP(B8,FechaHora,2,0) + VLOOKUP(UTCElegido,TablaUTC,3,0)</f>
        <v>44888.791666666664</v>
      </c>
      <c r="D8" s="88">
        <f>VLOOKUP(B8,FechaHora,2,0) + VLOOKUP(UTCElegido,TablaUTC,3,0)</f>
        <v>44888.791666666664</v>
      </c>
      <c r="E8" s="26"/>
      <c r="F8" s="89" t="s">
        <v>13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">
        <v>15</v>
      </c>
      <c r="O8" s="26"/>
      <c r="P8" s="122" t="s">
        <v>142</v>
      </c>
      <c r="R8" s="109"/>
      <c r="S8" s="109"/>
      <c r="T8" s="109"/>
      <c r="U8" s="109"/>
      <c r="V8" s="110" t="s">
        <v>3</v>
      </c>
      <c r="W8" s="107" t="s">
        <v>4</v>
      </c>
      <c r="X8" s="107" t="s">
        <v>5</v>
      </c>
      <c r="Y8" s="107" t="s">
        <v>6</v>
      </c>
      <c r="Z8" s="108" t="s">
        <v>7</v>
      </c>
      <c r="AA8" s="108" t="s">
        <v>8</v>
      </c>
      <c r="AB8" s="108" t="s">
        <v>9</v>
      </c>
      <c r="AC8" s="105"/>
      <c r="AD8" s="1"/>
      <c r="AE8" s="105"/>
      <c r="AF8" s="105"/>
      <c r="AG8" s="105"/>
      <c r="AH8" s="105"/>
      <c r="AI8" s="105"/>
      <c r="AJ8" s="105"/>
      <c r="AK8" s="105"/>
      <c r="AL8" s="106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8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122"/>
      <c r="R9" s="109"/>
      <c r="S9" s="109"/>
      <c r="T9" s="109"/>
      <c r="U9" s="109"/>
      <c r="V9" s="110"/>
      <c r="W9" s="107"/>
      <c r="X9" s="107"/>
      <c r="Y9" s="107"/>
      <c r="Z9" s="108"/>
      <c r="AA9" s="108"/>
      <c r="AB9" s="108"/>
      <c r="AC9" s="105"/>
      <c r="AD9" s="1"/>
      <c r="AE9" s="105"/>
      <c r="AF9" s="105"/>
      <c r="AG9" s="105"/>
      <c r="AH9" s="105"/>
      <c r="AI9" s="105"/>
      <c r="AJ9" s="105"/>
      <c r="AK9" s="105"/>
      <c r="AL9" s="106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5" t="str">
        <f>"  1)  " &amp; VLOOKUP(1,$AC$10:$AK$29,2,0)</f>
        <v xml:space="preserve">  1)  ESPAÑA</v>
      </c>
      <c r="S10" s="96"/>
      <c r="T10" s="96"/>
      <c r="U10" s="97"/>
      <c r="V10" s="104">
        <f>VLOOKUP(1,$AC$10:$AK$29,3,0)</f>
        <v>0</v>
      </c>
      <c r="W10" s="93">
        <f>VLOOKUP(1,$AC$10:$AK$29,4,0)</f>
        <v>0</v>
      </c>
      <c r="X10" s="93">
        <f>VLOOKUP(1,$AC$10:$AK$29,5,0)</f>
        <v>0</v>
      </c>
      <c r="Y10" s="93">
        <f>VLOOKUP(1,$AC$10:$AK$29,6,0)</f>
        <v>0</v>
      </c>
      <c r="Z10" s="94">
        <f>VLOOKUP(1,$AC$10:$AK$29,7,0)</f>
        <v>0</v>
      </c>
      <c r="AA10" s="94">
        <f>VLOOKUP(1,$AC$10:$AK$29,8,0)</f>
        <v>0</v>
      </c>
      <c r="AB10" s="94">
        <f>VLOOKUP(1,$AC$10:$AK$29,9,0)</f>
        <v>0</v>
      </c>
      <c r="AC10" s="79">
        <f>RANK(AL10,$AL$10:$AL$29,0)</f>
        <v>1</v>
      </c>
      <c r="AD10" s="79" t="str">
        <f>F8</f>
        <v>ESPAÑA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0</v>
      </c>
      <c r="AI10" s="79">
        <f>I8+I20+K24</f>
        <v>0</v>
      </c>
      <c r="AJ10" s="79">
        <f>K8+K20+I24</f>
        <v>0</v>
      </c>
      <c r="AK10" s="79">
        <f>AI10-AJ10</f>
        <v>0</v>
      </c>
      <c r="AL10" s="79">
        <f>(AE10*1000)+(AK10*100)+(AI10*10)+4+vcp</f>
        <v>4</v>
      </c>
      <c r="AM10" s="79">
        <f>AL10-4</f>
        <v>0</v>
      </c>
      <c r="AN10" s="116"/>
      <c r="AO10" s="117" t="str">
        <f>IF(AL8=1,IF(R36="","",R36),IF(SUM(V10:V29)&gt;0,VLOOKUP(1,AC10:AD29,2,0),""))</f>
        <v/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8"/>
      <c r="S11" s="99"/>
      <c r="T11" s="99"/>
      <c r="U11" s="100"/>
      <c r="V11" s="104"/>
      <c r="W11" s="93"/>
      <c r="X11" s="93"/>
      <c r="Y11" s="93"/>
      <c r="Z11" s="94"/>
      <c r="AA11" s="94"/>
      <c r="AB11" s="94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6"/>
      <c r="AO11" s="117"/>
    </row>
    <row r="12" spans="2:44" ht="7.5" customHeight="1" x14ac:dyDescent="0.25">
      <c r="B12" s="86">
        <v>11</v>
      </c>
      <c r="C12" s="87">
        <f>VLOOKUP(B12,FechaHora,2,0) + VLOOKUP(UTCElegido,TablaUTC,3,0)</f>
        <v>44888.666666666664</v>
      </c>
      <c r="D12" s="88">
        <f>VLOOKUP(B12,FechaHora,2,0) + VLOOKUP(UTCElegido,TablaUTC,3,0)</f>
        <v>44888.666666666664</v>
      </c>
      <c r="E12" s="26"/>
      <c r="F12" s="89" t="s">
        <v>20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72" t="s">
        <v>39</v>
      </c>
      <c r="O12" s="26"/>
      <c r="P12" s="122" t="s">
        <v>75</v>
      </c>
      <c r="R12" s="98"/>
      <c r="S12" s="99"/>
      <c r="T12" s="99"/>
      <c r="U12" s="100"/>
      <c r="V12" s="104"/>
      <c r="W12" s="93"/>
      <c r="X12" s="93"/>
      <c r="Y12" s="93"/>
      <c r="Z12" s="94"/>
      <c r="AA12" s="94"/>
      <c r="AB12" s="94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6"/>
      <c r="AO12" s="117"/>
    </row>
    <row r="13" spans="2:44" ht="7.5" customHeight="1" x14ac:dyDescent="0.25">
      <c r="B13" s="8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72"/>
      <c r="O13" s="26"/>
      <c r="P13" s="122"/>
      <c r="R13" s="98"/>
      <c r="S13" s="99"/>
      <c r="T13" s="99"/>
      <c r="U13" s="100"/>
      <c r="V13" s="104"/>
      <c r="W13" s="93"/>
      <c r="X13" s="93"/>
      <c r="Y13" s="93"/>
      <c r="Z13" s="94"/>
      <c r="AA13" s="94"/>
      <c r="AB13" s="94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6"/>
      <c r="AO13" s="117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1"/>
      <c r="S14" s="102"/>
      <c r="T14" s="102"/>
      <c r="U14" s="103"/>
      <c r="V14" s="104"/>
      <c r="W14" s="93"/>
      <c r="X14" s="93"/>
      <c r="Y14" s="93"/>
      <c r="Z14" s="94"/>
      <c r="AA14" s="94"/>
      <c r="AB14" s="94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6"/>
      <c r="AO14" s="117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5" t="str">
        <f>"  2)  " &amp; VLOOKUP(2,$AC$10:$AK$29,2,0)</f>
        <v xml:space="preserve">  2)  COSTA RICA</v>
      </c>
      <c r="S15" s="96"/>
      <c r="T15" s="96"/>
      <c r="U15" s="96"/>
      <c r="V15" s="104">
        <f>VLOOKUP(2,$AC$10:$AK$29,3,0)</f>
        <v>0</v>
      </c>
      <c r="W15" s="93">
        <f>VLOOKUP(2,$AC$10:$AK$29,4,0)</f>
        <v>0</v>
      </c>
      <c r="X15" s="93">
        <f>VLOOKUP(2,$AC$10:$AK$29,5,0)</f>
        <v>0</v>
      </c>
      <c r="Y15" s="93">
        <f>VLOOKUP(2,$AC$10:$AK$29,6,0)</f>
        <v>0</v>
      </c>
      <c r="Z15" s="94">
        <f>VLOOKUP(2,$AC$10:$AK$29,7,0)</f>
        <v>0</v>
      </c>
      <c r="AA15" s="94">
        <f>VLOOKUP(2,$AC$10:$AK$29,8,0)</f>
        <v>0</v>
      </c>
      <c r="AB15" s="94">
        <f>VLOOKUP(2,$AC$10:$AK$29,9,0)</f>
        <v>0</v>
      </c>
      <c r="AC15" s="79">
        <f>RANK(AL15,$AL$10:$AL$29,0)</f>
        <v>2</v>
      </c>
      <c r="AD15" s="79" t="str">
        <f>N8</f>
        <v>COSTA RICA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0</v>
      </c>
      <c r="AI15" s="79">
        <f>K8+K16+I28</f>
        <v>0</v>
      </c>
      <c r="AJ15" s="79">
        <f>I8+I16+K28</f>
        <v>0</v>
      </c>
      <c r="AK15" s="79">
        <f t="shared" ref="AK15" si="1">AI15-AJ15</f>
        <v>0</v>
      </c>
      <c r="AL15" s="79">
        <f>(AE15*1000)+(AK15*100)+(AI15*10)+3+vcp</f>
        <v>3</v>
      </c>
      <c r="AM15" s="79">
        <f>AL15-3</f>
        <v>0</v>
      </c>
      <c r="AN15" s="116"/>
      <c r="AO15" s="118" t="str">
        <f>IF(AL8=1,IF(R37="","",R37),IF(SUM(V10:V29)&gt;0,VLOOKUP(2,AC10:AD29,2,0),""))</f>
        <v/>
      </c>
    </row>
    <row r="16" spans="2:44" ht="7.5" customHeight="1" x14ac:dyDescent="0.25">
      <c r="B16" s="86">
        <v>25</v>
      </c>
      <c r="C16" s="87">
        <f>VLOOKUP(B16,FechaHora,2,0) + VLOOKUP(UTCElegido,TablaUTC,3,0)</f>
        <v>44892.541666666664</v>
      </c>
      <c r="D16" s="88">
        <f>VLOOKUP(B16,FechaHora,2,0) + VLOOKUP(UTCElegido,TablaUTC,3,0)</f>
        <v>44892.541666666664</v>
      </c>
      <c r="E16" s="26"/>
      <c r="F16" s="89" t="s">
        <v>39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">
        <v>15</v>
      </c>
      <c r="O16" s="26"/>
      <c r="P16" s="122" t="s">
        <v>143</v>
      </c>
      <c r="R16" s="98"/>
      <c r="S16" s="99"/>
      <c r="T16" s="99"/>
      <c r="U16" s="99"/>
      <c r="V16" s="104"/>
      <c r="W16" s="93"/>
      <c r="X16" s="93"/>
      <c r="Y16" s="93"/>
      <c r="Z16" s="94"/>
      <c r="AA16" s="94"/>
      <c r="AB16" s="94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6"/>
      <c r="AO16" s="118"/>
    </row>
    <row r="17" spans="2:41" ht="7.5" customHeight="1" x14ac:dyDescent="0.25">
      <c r="B17" s="8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122"/>
      <c r="R17" s="98"/>
      <c r="S17" s="99"/>
      <c r="T17" s="99"/>
      <c r="U17" s="99"/>
      <c r="V17" s="104"/>
      <c r="W17" s="93"/>
      <c r="X17" s="93"/>
      <c r="Y17" s="93"/>
      <c r="Z17" s="94"/>
      <c r="AA17" s="94"/>
      <c r="AB17" s="94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6"/>
      <c r="AO17" s="118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8"/>
      <c r="S18" s="99"/>
      <c r="T18" s="99"/>
      <c r="U18" s="99"/>
      <c r="V18" s="104"/>
      <c r="W18" s="93"/>
      <c r="X18" s="93"/>
      <c r="Y18" s="93"/>
      <c r="Z18" s="94"/>
      <c r="AA18" s="94"/>
      <c r="AB18" s="94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6"/>
      <c r="AO18" s="118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1"/>
      <c r="S19" s="102"/>
      <c r="T19" s="102"/>
      <c r="U19" s="102"/>
      <c r="V19" s="104"/>
      <c r="W19" s="93"/>
      <c r="X19" s="93"/>
      <c r="Y19" s="93"/>
      <c r="Z19" s="94"/>
      <c r="AA19" s="94"/>
      <c r="AB19" s="94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6"/>
      <c r="AO19" s="118"/>
    </row>
    <row r="20" spans="2:41" ht="7.5" customHeight="1" x14ac:dyDescent="0.25">
      <c r="B20" s="86">
        <v>28</v>
      </c>
      <c r="C20" s="87">
        <f>VLOOKUP(B20,FechaHora,2,0) + VLOOKUP(UTCElegido,TablaUTC,3,0)</f>
        <v>44892.916666666664</v>
      </c>
      <c r="D20" s="88">
        <f>VLOOKUP(B20,FechaHora,2,0) + VLOOKUP(UTCElegido,TablaUTC,3,0)</f>
        <v>44892.916666666664</v>
      </c>
      <c r="E20" s="26"/>
      <c r="F20" s="89" t="s">
        <v>13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">
        <v>20</v>
      </c>
      <c r="O20" s="26"/>
      <c r="P20" s="122" t="s">
        <v>74</v>
      </c>
      <c r="R20" s="80" t="str">
        <f>"  3)  " &amp; VLOOKUP(3,$AC$10:$AK$29,2,0)</f>
        <v xml:space="preserve">  3)  ALEMANIA</v>
      </c>
      <c r="S20" s="81"/>
      <c r="T20" s="81"/>
      <c r="U20" s="81"/>
      <c r="V20" s="92">
        <f>VLOOKUP(3,$AC$10:$AK$29,3,0)</f>
        <v>0</v>
      </c>
      <c r="W20" s="90">
        <f>VLOOKUP(3,$AC$10:$AK$29,4,0)</f>
        <v>0</v>
      </c>
      <c r="X20" s="90">
        <f>VLOOKUP(3,$AC$10:$AK$29,5,0)</f>
        <v>0</v>
      </c>
      <c r="Y20" s="90">
        <f>VLOOKUP(3,$AC$10:$AK$29,6,0)</f>
        <v>0</v>
      </c>
      <c r="Z20" s="91">
        <f>VLOOKUP(3,$AC$10:$AK$29,7,0)</f>
        <v>0</v>
      </c>
      <c r="AA20" s="91">
        <f>VLOOKUP(3,$AC$10:$AK$29,8,0)</f>
        <v>0</v>
      </c>
      <c r="AB20" s="91">
        <f>VLOOKUP(3,$AC$10:$AK$29,9,0)</f>
        <v>0</v>
      </c>
      <c r="AC20" s="79">
        <f>RANK(AL20,$AL$10:$AL$29,0)</f>
        <v>3</v>
      </c>
      <c r="AD20" s="79" t="str">
        <f>F12</f>
        <v>ALEMANIA</v>
      </c>
      <c r="AE20" s="79">
        <f t="shared" ref="AE20" si="2">(AF20*3)+AG20</f>
        <v>0</v>
      </c>
      <c r="AF20" s="79">
        <f>COUNTIF(I34:K34,"G")</f>
        <v>0</v>
      </c>
      <c r="AG20" s="79">
        <f>COUNTIF(I34:K34,"E")</f>
        <v>0</v>
      </c>
      <c r="AH20" s="79">
        <f>COUNTIF(I34:K34,"P")</f>
        <v>0</v>
      </c>
      <c r="AI20" s="79">
        <f>I12+K20+K28</f>
        <v>0</v>
      </c>
      <c r="AJ20" s="79">
        <f>K12+I20+I28</f>
        <v>0</v>
      </c>
      <c r="AK20" s="79">
        <f t="shared" ref="AK20" si="3">AI20-AJ20</f>
        <v>0</v>
      </c>
      <c r="AL20" s="79">
        <f>(AE20*1000)+(AK20*100)+(AI20*10)+2+vcp</f>
        <v>2</v>
      </c>
      <c r="AM20" s="79">
        <f>AL20-2</f>
        <v>0</v>
      </c>
      <c r="AN20" s="116"/>
      <c r="AO20" s="119"/>
    </row>
    <row r="21" spans="2:41" ht="7.5" customHeight="1" x14ac:dyDescent="0.25">
      <c r="B21" s="86"/>
      <c r="C21" s="76"/>
      <c r="D21" s="76"/>
      <c r="E21" s="26"/>
      <c r="F21" s="89"/>
      <c r="G21" s="69"/>
      <c r="H21" s="28"/>
      <c r="I21" s="71"/>
      <c r="J21" s="69"/>
      <c r="K21" s="71"/>
      <c r="L21" s="69"/>
      <c r="M21" s="27"/>
      <c r="N21" s="72"/>
      <c r="O21" s="26"/>
      <c r="P21" s="122"/>
      <c r="R21" s="82"/>
      <c r="S21" s="83"/>
      <c r="T21" s="83"/>
      <c r="U21" s="83"/>
      <c r="V21" s="92"/>
      <c r="W21" s="90"/>
      <c r="X21" s="90"/>
      <c r="Y21" s="90"/>
      <c r="Z21" s="91"/>
      <c r="AA21" s="91"/>
      <c r="AB21" s="91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6"/>
      <c r="AO21" s="120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2"/>
      <c r="W22" s="90"/>
      <c r="X22" s="90"/>
      <c r="Y22" s="90"/>
      <c r="Z22" s="91"/>
      <c r="AA22" s="91"/>
      <c r="AB22" s="91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6"/>
      <c r="AO22" s="120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2"/>
      <c r="W23" s="90"/>
      <c r="X23" s="90"/>
      <c r="Y23" s="90"/>
      <c r="Z23" s="91"/>
      <c r="AA23" s="91"/>
      <c r="AB23" s="91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6"/>
      <c r="AO23" s="120"/>
    </row>
    <row r="24" spans="2:41" ht="7.5" customHeight="1" x14ac:dyDescent="0.25">
      <c r="B24" s="86">
        <v>43</v>
      </c>
      <c r="C24" s="87">
        <f>VLOOKUP(B24,FechaHora,2,0) + VLOOKUP(UTCElegido,TablaUTC,3,0)</f>
        <v>44896.916666666664</v>
      </c>
      <c r="D24" s="88">
        <f>VLOOKUP(B24,FechaHora,2,0) + VLOOKUP(UTCElegido,TablaUTC,3,0)</f>
        <v>44896.916666666664</v>
      </c>
      <c r="E24" s="26"/>
      <c r="F24" s="89" t="s">
        <v>39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13</v>
      </c>
      <c r="O24" s="26"/>
      <c r="P24" s="122" t="s">
        <v>142</v>
      </c>
      <c r="R24" s="84"/>
      <c r="S24" s="85"/>
      <c r="T24" s="85"/>
      <c r="U24" s="85"/>
      <c r="V24" s="92"/>
      <c r="W24" s="90"/>
      <c r="X24" s="90"/>
      <c r="Y24" s="90"/>
      <c r="Z24" s="91"/>
      <c r="AA24" s="91"/>
      <c r="AB24" s="91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6"/>
      <c r="AO24" s="121"/>
    </row>
    <row r="25" spans="2:41" ht="7.5" customHeight="1" x14ac:dyDescent="0.25">
      <c r="B25" s="86"/>
      <c r="C25" s="76"/>
      <c r="D25" s="76"/>
      <c r="E25" s="26"/>
      <c r="F25" s="89"/>
      <c r="G25" s="69"/>
      <c r="H25" s="28"/>
      <c r="I25" s="71"/>
      <c r="J25" s="69"/>
      <c r="K25" s="71"/>
      <c r="L25" s="69"/>
      <c r="M25" s="27"/>
      <c r="N25" s="72"/>
      <c r="O25" s="26"/>
      <c r="P25" s="122"/>
      <c r="R25" s="80" t="str">
        <f>"  4)  " &amp; VLOOKUP(4,$AC$10:$AK$29,2,0)</f>
        <v xml:space="preserve">  4)  JAPÓN</v>
      </c>
      <c r="S25" s="81"/>
      <c r="T25" s="81"/>
      <c r="U25" s="81"/>
      <c r="V25" s="92">
        <f>VLOOKUP(4,$AC$10:$AK$29,3,0)</f>
        <v>0</v>
      </c>
      <c r="W25" s="90">
        <f>VLOOKUP(4,$AC$10:$AK$29,4,0)</f>
        <v>0</v>
      </c>
      <c r="X25" s="90">
        <f>VLOOKUP(4,$AC$10:$AK$29,5,0)</f>
        <v>0</v>
      </c>
      <c r="Y25" s="90">
        <f>VLOOKUP(4,$AC$10:$AK$29,6,0)</f>
        <v>0</v>
      </c>
      <c r="Z25" s="91">
        <f>VLOOKUP(4,$AC$10:$AK$29,7,0)</f>
        <v>0</v>
      </c>
      <c r="AA25" s="91">
        <f>VLOOKUP(4,$AC$10:$AK$29,8,0)</f>
        <v>0</v>
      </c>
      <c r="AB25" s="91">
        <f>VLOOKUP(4,$AC$10:$AK$29,9,0)</f>
        <v>0</v>
      </c>
      <c r="AC25" s="79">
        <f>RANK(AL25,$AL$10:$AL$29,0)</f>
        <v>4</v>
      </c>
      <c r="AD25" s="79" t="str">
        <f>N12</f>
        <v>JAPÓN</v>
      </c>
      <c r="AE25" s="79">
        <f t="shared" ref="AE25" si="4">(AF25*3)+AG25</f>
        <v>0</v>
      </c>
      <c r="AF25" s="79">
        <f>COUNTIF(I35:K35,"G")</f>
        <v>0</v>
      </c>
      <c r="AG25" s="79">
        <f>COUNTIF(I35:K35,"E")</f>
        <v>0</v>
      </c>
      <c r="AH25" s="79">
        <f>COUNTIF(I35:K35,"P")</f>
        <v>0</v>
      </c>
      <c r="AI25" s="79">
        <f>K12+I16+I24</f>
        <v>0</v>
      </c>
      <c r="AJ25" s="79">
        <f>I12+K16+K24</f>
        <v>0</v>
      </c>
      <c r="AK25" s="79">
        <f t="shared" ref="AK25" si="5">AI25-AJ25</f>
        <v>0</v>
      </c>
      <c r="AL25" s="79">
        <f>(AE25*1000)+(AK25*100)+(AI25*10)+1+vcp</f>
        <v>1</v>
      </c>
      <c r="AM25" s="79">
        <f>AL25-1</f>
        <v>0</v>
      </c>
      <c r="AN25" s="116"/>
      <c r="AO25" s="119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2"/>
      <c r="W26" s="90"/>
      <c r="X26" s="90"/>
      <c r="Y26" s="90"/>
      <c r="Z26" s="91"/>
      <c r="AA26" s="91"/>
      <c r="AB26" s="91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6"/>
      <c r="AO26" s="120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2"/>
      <c r="W27" s="90"/>
      <c r="X27" s="90"/>
      <c r="Y27" s="90"/>
      <c r="Z27" s="91"/>
      <c r="AA27" s="91"/>
      <c r="AB27" s="91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6"/>
      <c r="AO27" s="120"/>
    </row>
    <row r="28" spans="2:41" ht="7.5" customHeight="1" x14ac:dyDescent="0.25">
      <c r="B28" s="86">
        <v>44</v>
      </c>
      <c r="C28" s="87">
        <f>VLOOKUP(B28,FechaHora,2,0) + VLOOKUP(UTCElegido,TablaUTC,3,0)</f>
        <v>44896.916666666664</v>
      </c>
      <c r="D28" s="88">
        <f>VLOOKUP(B28,FechaHora,2,0) + VLOOKUP(UTCElegido,TablaUTC,3,0)</f>
        <v>44896.916666666664</v>
      </c>
      <c r="E28" s="26"/>
      <c r="F28" s="89" t="s">
        <v>15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20</v>
      </c>
      <c r="O28" s="26"/>
      <c r="P28" s="122" t="s">
        <v>74</v>
      </c>
      <c r="R28" s="82"/>
      <c r="S28" s="83"/>
      <c r="T28" s="83"/>
      <c r="U28" s="83"/>
      <c r="V28" s="92"/>
      <c r="W28" s="90"/>
      <c r="X28" s="90"/>
      <c r="Y28" s="90"/>
      <c r="Z28" s="91"/>
      <c r="AA28" s="91"/>
      <c r="AB28" s="91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6"/>
      <c r="AO28" s="120"/>
    </row>
    <row r="29" spans="2:41" ht="7.5" customHeight="1" x14ac:dyDescent="0.25">
      <c r="B29" s="86"/>
      <c r="C29" s="76"/>
      <c r="D29" s="76"/>
      <c r="E29" s="26"/>
      <c r="F29" s="89"/>
      <c r="G29" s="69"/>
      <c r="H29" s="28"/>
      <c r="I29" s="71"/>
      <c r="J29" s="69"/>
      <c r="K29" s="71"/>
      <c r="L29" s="69"/>
      <c r="M29" s="27"/>
      <c r="N29" s="72"/>
      <c r="O29" s="26"/>
      <c r="P29" s="122"/>
      <c r="R29" s="84"/>
      <c r="S29" s="85"/>
      <c r="T29" s="85"/>
      <c r="U29" s="85"/>
      <c r="V29" s="92"/>
      <c r="W29" s="90"/>
      <c r="X29" s="90"/>
      <c r="Y29" s="90"/>
      <c r="Z29" s="91"/>
      <c r="AA29" s="91"/>
      <c r="AB29" s="91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6"/>
      <c r="AO29" s="121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ESPAÑA</v>
      </c>
      <c r="I32" t="str">
        <f>G8</f>
        <v/>
      </c>
      <c r="J32" t="str">
        <f>G20</f>
        <v/>
      </c>
      <c r="K32" t="str">
        <f>L24</f>
        <v/>
      </c>
    </row>
    <row r="33" spans="6:21" hidden="1" x14ac:dyDescent="0.25">
      <c r="F33" t="str">
        <f>N8</f>
        <v>COSTA RICA</v>
      </c>
      <c r="I33" t="str">
        <f>L8</f>
        <v/>
      </c>
      <c r="J33" t="str">
        <f>L16</f>
        <v/>
      </c>
      <c r="K33" t="str">
        <f>G28</f>
        <v/>
      </c>
    </row>
    <row r="34" spans="6:21" hidden="1" x14ac:dyDescent="0.25">
      <c r="F34" t="str">
        <f>F12</f>
        <v>ALEMANIA</v>
      </c>
      <c r="I34" t="str">
        <f>G12</f>
        <v/>
      </c>
      <c r="J34" t="str">
        <f>L20</f>
        <v/>
      </c>
      <c r="K34" t="str">
        <f>L28</f>
        <v/>
      </c>
    </row>
    <row r="35" spans="6:21" hidden="1" x14ac:dyDescent="0.25">
      <c r="F35" t="str">
        <f>N12</f>
        <v>JAPÓN</v>
      </c>
      <c r="I35" t="str">
        <f>L12</f>
        <v/>
      </c>
      <c r="J35" t="str">
        <f>G16</f>
        <v/>
      </c>
      <c r="K35" t="str">
        <f>G24</f>
        <v/>
      </c>
    </row>
    <row r="36" spans="6:21" x14ac:dyDescent="0.25">
      <c r="N36" s="61" t="str">
        <f>IF(AL8=1,"Indica manuamente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92" priority="35">
      <formula>G8="P"</formula>
    </cfRule>
    <cfRule type="expression" dxfId="291" priority="36">
      <formula>G8="E"</formula>
    </cfRule>
    <cfRule type="expression" dxfId="290" priority="37">
      <formula>G8="G"</formula>
    </cfRule>
  </conditionalFormatting>
  <conditionalFormatting sqref="K24:K25">
    <cfRule type="expression" dxfId="289" priority="32">
      <formula>L24="P"</formula>
    </cfRule>
    <cfRule type="expression" dxfId="288" priority="33">
      <formula>L24="E"</formula>
    </cfRule>
    <cfRule type="expression" dxfId="287" priority="34">
      <formula>L24="G"</formula>
    </cfRule>
  </conditionalFormatting>
  <conditionalFormatting sqref="K20:K21">
    <cfRule type="expression" dxfId="286" priority="29">
      <formula>L20="P"</formula>
    </cfRule>
    <cfRule type="expression" dxfId="285" priority="30">
      <formula>L20="E"</formula>
    </cfRule>
    <cfRule type="expression" dxfId="284" priority="31">
      <formula>L20="G"</formula>
    </cfRule>
  </conditionalFormatting>
  <conditionalFormatting sqref="K16:K17">
    <cfRule type="expression" dxfId="283" priority="26">
      <formula>L16="P"</formula>
    </cfRule>
    <cfRule type="expression" dxfId="282" priority="27">
      <formula>L16="E"</formula>
    </cfRule>
    <cfRule type="expression" dxfId="281" priority="28">
      <formula>L16="G"</formula>
    </cfRule>
  </conditionalFormatting>
  <conditionalFormatting sqref="K12:K13">
    <cfRule type="expression" dxfId="280" priority="23">
      <formula>L12="P"</formula>
    </cfRule>
    <cfRule type="expression" dxfId="279" priority="24">
      <formula>L12="E"</formula>
    </cfRule>
    <cfRule type="expression" dxfId="278" priority="25">
      <formula>L12="G"</formula>
    </cfRule>
  </conditionalFormatting>
  <conditionalFormatting sqref="K8:K9">
    <cfRule type="expression" dxfId="277" priority="20">
      <formula>L8="P"</formula>
    </cfRule>
    <cfRule type="expression" dxfId="276" priority="21">
      <formula>L8="E"</formula>
    </cfRule>
    <cfRule type="expression" dxfId="275" priority="22">
      <formula>L8="G"</formula>
    </cfRule>
  </conditionalFormatting>
  <conditionalFormatting sqref="K28:K29">
    <cfRule type="expression" dxfId="274" priority="17">
      <formula>L28="P"</formula>
    </cfRule>
    <cfRule type="expression" dxfId="273" priority="18">
      <formula>L28="E"</formula>
    </cfRule>
    <cfRule type="expression" dxfId="272" priority="19">
      <formula>L28="G"</formula>
    </cfRule>
  </conditionalFormatting>
  <conditionalFormatting sqref="I12:I13">
    <cfRule type="expression" dxfId="271" priority="14">
      <formula>G12="P"</formula>
    </cfRule>
    <cfRule type="expression" dxfId="270" priority="15">
      <formula>G12="E"</formula>
    </cfRule>
    <cfRule type="expression" dxfId="269" priority="16">
      <formula>G12="G"</formula>
    </cfRule>
  </conditionalFormatting>
  <conditionalFormatting sqref="I16:I17">
    <cfRule type="expression" dxfId="268" priority="11">
      <formula>G16="P"</formula>
    </cfRule>
    <cfRule type="expression" dxfId="267" priority="12">
      <formula>G16="E"</formula>
    </cfRule>
    <cfRule type="expression" dxfId="266" priority="13">
      <formula>G16="G"</formula>
    </cfRule>
  </conditionalFormatting>
  <conditionalFormatting sqref="I20:I21">
    <cfRule type="expression" dxfId="265" priority="8">
      <formula>G20="P"</formula>
    </cfRule>
    <cfRule type="expression" dxfId="264" priority="9">
      <formula>G20="E"</formula>
    </cfRule>
    <cfRule type="expression" dxfId="263" priority="10">
      <formula>G20="G"</formula>
    </cfRule>
  </conditionalFormatting>
  <conditionalFormatting sqref="I24:I25">
    <cfRule type="expression" dxfId="262" priority="5">
      <formula>G24="P"</formula>
    </cfRule>
    <cfRule type="expression" dxfId="261" priority="6">
      <formula>G24="E"</formula>
    </cfRule>
    <cfRule type="expression" dxfId="260" priority="7">
      <formula>G24="G"</formula>
    </cfRule>
  </conditionalFormatting>
  <conditionalFormatting sqref="I28:I29">
    <cfRule type="expression" dxfId="259" priority="2">
      <formula>G28="P"</formula>
    </cfRule>
    <cfRule type="expression" dxfId="258" priority="3">
      <formula>G28="E"</formula>
    </cfRule>
    <cfRule type="expression" dxfId="257" priority="4">
      <formula>G28="G"</formula>
    </cfRule>
  </conditionalFormatting>
  <conditionalFormatting sqref="R36:U38">
    <cfRule type="expression" dxfId="256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5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B1:AR38"/>
  <sheetViews>
    <sheetView showGridLine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8.710937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1"/>
      <c r="U1" s="111"/>
      <c r="V1" s="111"/>
      <c r="W1" s="111"/>
      <c r="X1" s="111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113" t="s">
        <v>2</v>
      </c>
      <c r="S6" s="114"/>
      <c r="T6" s="114"/>
      <c r="U6" s="114"/>
      <c r="V6" s="114"/>
      <c r="W6" s="114"/>
      <c r="X6" s="114"/>
      <c r="Y6" s="114"/>
      <c r="Z6" s="114"/>
      <c r="AA6" s="114"/>
      <c r="AB6" s="115"/>
      <c r="AL6" s="8">
        <f>COUNT(I8,K8,I12,K12,I16,K16,I20,K20,I24,K24,I28,K28)</f>
        <v>0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86">
        <v>9</v>
      </c>
      <c r="C8" s="87">
        <f>VLOOKUP(B8,FechaHora,2,0) + VLOOKUP(UTCElegido,TablaUTC,3,0)</f>
        <v>44888.916666666664</v>
      </c>
      <c r="D8" s="88">
        <f>VLOOKUP(B8,FechaHora,2,0) + VLOOKUP(UTCElegido,TablaUTC,3,0)</f>
        <v>44888.916666666664</v>
      </c>
      <c r="E8" s="26"/>
      <c r="F8" s="89" t="s">
        <v>36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">
        <v>82</v>
      </c>
      <c r="O8" s="26"/>
      <c r="P8" s="122" t="s">
        <v>74</v>
      </c>
      <c r="R8" s="109"/>
      <c r="S8" s="109"/>
      <c r="T8" s="109"/>
      <c r="U8" s="109"/>
      <c r="V8" s="110" t="s">
        <v>3</v>
      </c>
      <c r="W8" s="107" t="s">
        <v>4</v>
      </c>
      <c r="X8" s="107" t="s">
        <v>5</v>
      </c>
      <c r="Y8" s="107" t="s">
        <v>6</v>
      </c>
      <c r="Z8" s="108" t="s">
        <v>7</v>
      </c>
      <c r="AA8" s="108" t="s">
        <v>8</v>
      </c>
      <c r="AB8" s="108" t="s">
        <v>9</v>
      </c>
      <c r="AC8" s="105"/>
      <c r="AD8" s="1"/>
      <c r="AE8" s="105"/>
      <c r="AF8" s="105"/>
      <c r="AG8" s="105"/>
      <c r="AH8" s="105"/>
      <c r="AI8" s="105"/>
      <c r="AJ8" s="105"/>
      <c r="AK8" s="105"/>
      <c r="AL8" s="106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8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122"/>
      <c r="R9" s="109"/>
      <c r="S9" s="109"/>
      <c r="T9" s="109"/>
      <c r="U9" s="109"/>
      <c r="V9" s="110"/>
      <c r="W9" s="107"/>
      <c r="X9" s="107"/>
      <c r="Y9" s="107"/>
      <c r="Z9" s="108"/>
      <c r="AA9" s="108"/>
      <c r="AB9" s="108"/>
      <c r="AC9" s="105"/>
      <c r="AD9" s="1"/>
      <c r="AE9" s="105"/>
      <c r="AF9" s="105"/>
      <c r="AG9" s="105"/>
      <c r="AH9" s="105"/>
      <c r="AI9" s="105"/>
      <c r="AJ9" s="105"/>
      <c r="AK9" s="105"/>
      <c r="AL9" s="106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5" t="str">
        <f>"  1)  " &amp; VLOOKUP(1,$AC$10:$AK$29,2,0)</f>
        <v xml:space="preserve">  1)  BÉLGICA</v>
      </c>
      <c r="S10" s="96"/>
      <c r="T10" s="96"/>
      <c r="U10" s="97"/>
      <c r="V10" s="104">
        <f>VLOOKUP(1,$AC$10:$AK$29,3,0)</f>
        <v>0</v>
      </c>
      <c r="W10" s="93">
        <f>VLOOKUP(1,$AC$10:$AK$29,4,0)</f>
        <v>0</v>
      </c>
      <c r="X10" s="93">
        <f>VLOOKUP(1,$AC$10:$AK$29,5,0)</f>
        <v>0</v>
      </c>
      <c r="Y10" s="93">
        <f>VLOOKUP(1,$AC$10:$AK$29,6,0)</f>
        <v>0</v>
      </c>
      <c r="Z10" s="94">
        <f>VLOOKUP(1,$AC$10:$AK$29,7,0)</f>
        <v>0</v>
      </c>
      <c r="AA10" s="94">
        <f>VLOOKUP(1,$AC$10:$AK$29,8,0)</f>
        <v>0</v>
      </c>
      <c r="AB10" s="94">
        <f>VLOOKUP(1,$AC$10:$AK$29,9,0)</f>
        <v>0</v>
      </c>
      <c r="AC10" s="79">
        <f>RANK(AL10,$AL$10:$AL$29,0)</f>
        <v>1</v>
      </c>
      <c r="AD10" s="79" t="str">
        <f>F8</f>
        <v>BÉLGICA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0</v>
      </c>
      <c r="AI10" s="79">
        <f>I8+I16+K24</f>
        <v>0</v>
      </c>
      <c r="AJ10" s="79">
        <f>K8+K16+I24</f>
        <v>0</v>
      </c>
      <c r="AK10" s="79">
        <f>AI10-AJ10</f>
        <v>0</v>
      </c>
      <c r="AL10" s="79">
        <f>(AE10*1000)+(AK10*100)+(AI10*10)+4+vcp</f>
        <v>4</v>
      </c>
      <c r="AM10" s="79">
        <f>AL10-4</f>
        <v>0</v>
      </c>
      <c r="AN10" s="116"/>
      <c r="AO10" s="117" t="str">
        <f>IF(AL8=1,IF(R36="","",R36),IF(SUM(V10:V29)&gt;0,VLOOKUP(1,AC10:AD29,2,0),""))</f>
        <v/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8"/>
      <c r="S11" s="99"/>
      <c r="T11" s="99"/>
      <c r="U11" s="100"/>
      <c r="V11" s="104"/>
      <c r="W11" s="93"/>
      <c r="X11" s="93"/>
      <c r="Y11" s="93"/>
      <c r="Z11" s="94"/>
      <c r="AA11" s="94"/>
      <c r="AB11" s="94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6"/>
      <c r="AO11" s="117"/>
    </row>
    <row r="12" spans="2:44" ht="7.5" customHeight="1" x14ac:dyDescent="0.25">
      <c r="B12" s="86">
        <v>12</v>
      </c>
      <c r="C12" s="87">
        <f>VLOOKUP(B12,FechaHora,2,0) + VLOOKUP(UTCElegido,TablaUTC,3,0)</f>
        <v>44888.541666666664</v>
      </c>
      <c r="D12" s="88">
        <f>VLOOKUP(B12,FechaHora,2,0) + VLOOKUP(UTCElegido,TablaUTC,3,0)</f>
        <v>44888.541666666664</v>
      </c>
      <c r="E12" s="26"/>
      <c r="F12" s="89" t="s">
        <v>31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72" t="s">
        <v>11</v>
      </c>
      <c r="O12" s="26"/>
      <c r="P12" s="122" t="s">
        <v>143</v>
      </c>
      <c r="R12" s="98"/>
      <c r="S12" s="99"/>
      <c r="T12" s="99"/>
      <c r="U12" s="100"/>
      <c r="V12" s="104"/>
      <c r="W12" s="93"/>
      <c r="X12" s="93"/>
      <c r="Y12" s="93"/>
      <c r="Z12" s="94"/>
      <c r="AA12" s="94"/>
      <c r="AB12" s="94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6"/>
      <c r="AO12" s="117"/>
    </row>
    <row r="13" spans="2:44" ht="7.5" customHeight="1" x14ac:dyDescent="0.25">
      <c r="B13" s="8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72"/>
      <c r="O13" s="26"/>
      <c r="P13" s="122"/>
      <c r="R13" s="98"/>
      <c r="S13" s="99"/>
      <c r="T13" s="99"/>
      <c r="U13" s="100"/>
      <c r="V13" s="104"/>
      <c r="W13" s="93"/>
      <c r="X13" s="93"/>
      <c r="Y13" s="93"/>
      <c r="Z13" s="94"/>
      <c r="AA13" s="94"/>
      <c r="AB13" s="94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6"/>
      <c r="AO13" s="117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1"/>
      <c r="S14" s="102"/>
      <c r="T14" s="102"/>
      <c r="U14" s="103"/>
      <c r="V14" s="104"/>
      <c r="W14" s="93"/>
      <c r="X14" s="93"/>
      <c r="Y14" s="93"/>
      <c r="Z14" s="94"/>
      <c r="AA14" s="94"/>
      <c r="AB14" s="94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6"/>
      <c r="AO14" s="117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5" t="str">
        <f>"  2)  " &amp; VLOOKUP(2,$AC$10:$AK$29,2,0)</f>
        <v xml:space="preserve">  2)  CANADÁ</v>
      </c>
      <c r="S15" s="96"/>
      <c r="T15" s="96"/>
      <c r="U15" s="96"/>
      <c r="V15" s="104">
        <f>VLOOKUP(2,$AC$10:$AK$29,3,0)</f>
        <v>0</v>
      </c>
      <c r="W15" s="93">
        <f>VLOOKUP(2,$AC$10:$AK$29,4,0)</f>
        <v>0</v>
      </c>
      <c r="X15" s="93">
        <f>VLOOKUP(2,$AC$10:$AK$29,5,0)</f>
        <v>0</v>
      </c>
      <c r="Y15" s="93">
        <f>VLOOKUP(2,$AC$10:$AK$29,6,0)</f>
        <v>0</v>
      </c>
      <c r="Z15" s="94">
        <f>VLOOKUP(2,$AC$10:$AK$29,7,0)</f>
        <v>0</v>
      </c>
      <c r="AA15" s="94">
        <f>VLOOKUP(2,$AC$10:$AK$29,8,0)</f>
        <v>0</v>
      </c>
      <c r="AB15" s="94">
        <f>VLOOKUP(2,$AC$10:$AK$29,9,0)</f>
        <v>0</v>
      </c>
      <c r="AC15" s="79">
        <f>RANK(AL15,$AL$10:$AL$29,0)</f>
        <v>2</v>
      </c>
      <c r="AD15" s="79" t="str">
        <f>N8</f>
        <v>CANADÁ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0</v>
      </c>
      <c r="AI15" s="79">
        <f>K8+K20+I28</f>
        <v>0</v>
      </c>
      <c r="AJ15" s="79">
        <f>I8+I20+K28</f>
        <v>0</v>
      </c>
      <c r="AK15" s="79">
        <f t="shared" ref="AK15" si="1">AI15-AJ15</f>
        <v>0</v>
      </c>
      <c r="AL15" s="79">
        <f>(AE15*1000)+(AK15*100)+(AI15*10)+3+vcp</f>
        <v>3</v>
      </c>
      <c r="AM15" s="79">
        <f>AL15-3</f>
        <v>0</v>
      </c>
      <c r="AN15" s="116"/>
      <c r="AO15" s="118" t="str">
        <f>IF(AL8=1,IF(R37="","",R37),IF(SUM(V10:V29)&gt;0,VLOOKUP(2,AC10:AD29,2,0),""))</f>
        <v/>
      </c>
    </row>
    <row r="16" spans="2:44" ht="7.5" customHeight="1" x14ac:dyDescent="0.25">
      <c r="B16" s="86">
        <v>26</v>
      </c>
      <c r="C16" s="87">
        <f>VLOOKUP(B16,FechaHora,2,0) + VLOOKUP(UTCElegido,TablaUTC,3,0)</f>
        <v>44892.666666666664</v>
      </c>
      <c r="D16" s="88">
        <f>VLOOKUP(B16,FechaHora,2,0) + VLOOKUP(UTCElegido,TablaUTC,3,0)</f>
        <v>44892.666666666664</v>
      </c>
      <c r="E16" s="26"/>
      <c r="F16" s="89" t="s">
        <v>36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">
        <v>31</v>
      </c>
      <c r="O16" s="26"/>
      <c r="P16" s="122" t="s">
        <v>75</v>
      </c>
      <c r="R16" s="98"/>
      <c r="S16" s="99"/>
      <c r="T16" s="99"/>
      <c r="U16" s="99"/>
      <c r="V16" s="104"/>
      <c r="W16" s="93"/>
      <c r="X16" s="93"/>
      <c r="Y16" s="93"/>
      <c r="Z16" s="94"/>
      <c r="AA16" s="94"/>
      <c r="AB16" s="94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6"/>
      <c r="AO16" s="118"/>
    </row>
    <row r="17" spans="2:41" ht="7.5" customHeight="1" x14ac:dyDescent="0.25">
      <c r="B17" s="8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122"/>
      <c r="R17" s="98"/>
      <c r="S17" s="99"/>
      <c r="T17" s="99"/>
      <c r="U17" s="99"/>
      <c r="V17" s="104"/>
      <c r="W17" s="93"/>
      <c r="X17" s="93"/>
      <c r="Y17" s="93"/>
      <c r="Z17" s="94"/>
      <c r="AA17" s="94"/>
      <c r="AB17" s="94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6"/>
      <c r="AO17" s="118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8"/>
      <c r="S18" s="99"/>
      <c r="T18" s="99"/>
      <c r="U18" s="99"/>
      <c r="V18" s="104"/>
      <c r="W18" s="93"/>
      <c r="X18" s="93"/>
      <c r="Y18" s="93"/>
      <c r="Z18" s="94"/>
      <c r="AA18" s="94"/>
      <c r="AB18" s="94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6"/>
      <c r="AO18" s="118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1"/>
      <c r="S19" s="102"/>
      <c r="T19" s="102"/>
      <c r="U19" s="102"/>
      <c r="V19" s="104"/>
      <c r="W19" s="93"/>
      <c r="X19" s="93"/>
      <c r="Y19" s="93"/>
      <c r="Z19" s="94"/>
      <c r="AA19" s="94"/>
      <c r="AB19" s="94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6"/>
      <c r="AO19" s="118"/>
    </row>
    <row r="20" spans="2:41" ht="7.5" customHeight="1" x14ac:dyDescent="0.25">
      <c r="B20" s="86">
        <v>27</v>
      </c>
      <c r="C20" s="87">
        <f>VLOOKUP(B20,FechaHora,2,0) + VLOOKUP(UTCElegido,TablaUTC,3,0)</f>
        <v>44892.791666666664</v>
      </c>
      <c r="D20" s="88">
        <f>VLOOKUP(B20,FechaHora,2,0) + VLOOKUP(UTCElegido,TablaUTC,3,0)</f>
        <v>44892.791666666664</v>
      </c>
      <c r="E20" s="26"/>
      <c r="F20" s="89" t="s">
        <v>11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">
        <v>82</v>
      </c>
      <c r="O20" s="26"/>
      <c r="P20" s="122" t="s">
        <v>142</v>
      </c>
      <c r="R20" s="80" t="str">
        <f>"  3)  " &amp; VLOOKUP(3,$AC$10:$AK$29,2,0)</f>
        <v xml:space="preserve">  3)  MARRUECOS</v>
      </c>
      <c r="S20" s="81"/>
      <c r="T20" s="81"/>
      <c r="U20" s="81"/>
      <c r="V20" s="92">
        <f>VLOOKUP(3,$AC$10:$AK$29,3,0)</f>
        <v>0</v>
      </c>
      <c r="W20" s="90">
        <f>VLOOKUP(3,$AC$10:$AK$29,4,0)</f>
        <v>0</v>
      </c>
      <c r="X20" s="90">
        <f>VLOOKUP(3,$AC$10:$AK$29,5,0)</f>
        <v>0</v>
      </c>
      <c r="Y20" s="90">
        <f>VLOOKUP(3,$AC$10:$AK$29,6,0)</f>
        <v>0</v>
      </c>
      <c r="Z20" s="91">
        <f>VLOOKUP(3,$AC$10:$AK$29,7,0)</f>
        <v>0</v>
      </c>
      <c r="AA20" s="91">
        <f>VLOOKUP(3,$AC$10:$AK$29,8,0)</f>
        <v>0</v>
      </c>
      <c r="AB20" s="91">
        <f>VLOOKUP(3,$AC$10:$AK$29,9,0)</f>
        <v>0</v>
      </c>
      <c r="AC20" s="79">
        <f>RANK(AL20,$AL$10:$AL$29,0)</f>
        <v>3</v>
      </c>
      <c r="AD20" s="79" t="str">
        <f>F12</f>
        <v>MARRUECOS</v>
      </c>
      <c r="AE20" s="79">
        <f t="shared" ref="AE20" si="2">(AF20*3)+AG20</f>
        <v>0</v>
      </c>
      <c r="AF20" s="79">
        <f>COUNTIF(I34:K34,"G")</f>
        <v>0</v>
      </c>
      <c r="AG20" s="79">
        <f>COUNTIF(I34:K34,"E")</f>
        <v>0</v>
      </c>
      <c r="AH20" s="79">
        <f>COUNTIF(I34:K34,"P")</f>
        <v>0</v>
      </c>
      <c r="AI20" s="79">
        <f>I12+K16+K28</f>
        <v>0</v>
      </c>
      <c r="AJ20" s="79">
        <f>K12+I16+I28</f>
        <v>0</v>
      </c>
      <c r="AK20" s="79">
        <f t="shared" ref="AK20" si="3">AI20-AJ20</f>
        <v>0</v>
      </c>
      <c r="AL20" s="79">
        <f>(AE20*1000)+(AK20*100)+(AI20*10)+2+vcp</f>
        <v>2</v>
      </c>
      <c r="AM20" s="79">
        <f>AL20-2</f>
        <v>0</v>
      </c>
      <c r="AN20" s="116"/>
      <c r="AO20" s="119"/>
    </row>
    <row r="21" spans="2:41" ht="7.5" customHeight="1" x14ac:dyDescent="0.25">
      <c r="B21" s="86"/>
      <c r="C21" s="76"/>
      <c r="D21" s="76"/>
      <c r="E21" s="26"/>
      <c r="F21" s="89"/>
      <c r="G21" s="69"/>
      <c r="H21" s="28"/>
      <c r="I21" s="71"/>
      <c r="J21" s="69"/>
      <c r="K21" s="71"/>
      <c r="L21" s="69"/>
      <c r="M21" s="27"/>
      <c r="N21" s="72"/>
      <c r="O21" s="26"/>
      <c r="P21" s="122"/>
      <c r="R21" s="82"/>
      <c r="S21" s="83"/>
      <c r="T21" s="83"/>
      <c r="U21" s="83"/>
      <c r="V21" s="92"/>
      <c r="W21" s="90"/>
      <c r="X21" s="90"/>
      <c r="Y21" s="90"/>
      <c r="Z21" s="91"/>
      <c r="AA21" s="91"/>
      <c r="AB21" s="91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6"/>
      <c r="AO21" s="120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2"/>
      <c r="W22" s="90"/>
      <c r="X22" s="90"/>
      <c r="Y22" s="90"/>
      <c r="Z22" s="91"/>
      <c r="AA22" s="91"/>
      <c r="AB22" s="91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6"/>
      <c r="AO22" s="120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2"/>
      <c r="W23" s="90"/>
      <c r="X23" s="90"/>
      <c r="Y23" s="90"/>
      <c r="Z23" s="91"/>
      <c r="AA23" s="91"/>
      <c r="AB23" s="91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6"/>
      <c r="AO23" s="120"/>
    </row>
    <row r="24" spans="2:41" ht="7.5" customHeight="1" x14ac:dyDescent="0.25">
      <c r="B24" s="86">
        <v>41</v>
      </c>
      <c r="C24" s="87">
        <f>VLOOKUP(B24,FechaHora,2,0) + VLOOKUP(UTCElegido,TablaUTC,3,0)</f>
        <v>44896.75</v>
      </c>
      <c r="D24" s="88">
        <f>VLOOKUP(B24,FechaHora,2,0) + VLOOKUP(UTCElegido,TablaUTC,3,0)</f>
        <v>44896.75</v>
      </c>
      <c r="E24" s="26"/>
      <c r="F24" s="89" t="s">
        <v>11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36</v>
      </c>
      <c r="O24" s="26"/>
      <c r="P24" s="122" t="s">
        <v>143</v>
      </c>
      <c r="R24" s="84"/>
      <c r="S24" s="85"/>
      <c r="T24" s="85"/>
      <c r="U24" s="85"/>
      <c r="V24" s="92"/>
      <c r="W24" s="90"/>
      <c r="X24" s="90"/>
      <c r="Y24" s="90"/>
      <c r="Z24" s="91"/>
      <c r="AA24" s="91"/>
      <c r="AB24" s="91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6"/>
      <c r="AO24" s="121"/>
    </row>
    <row r="25" spans="2:41" ht="7.5" customHeight="1" x14ac:dyDescent="0.25">
      <c r="B25" s="86"/>
      <c r="C25" s="76"/>
      <c r="D25" s="76"/>
      <c r="E25" s="26"/>
      <c r="F25" s="89"/>
      <c r="G25" s="69"/>
      <c r="H25" s="28"/>
      <c r="I25" s="71"/>
      <c r="J25" s="69"/>
      <c r="K25" s="71"/>
      <c r="L25" s="69"/>
      <c r="M25" s="27"/>
      <c r="N25" s="72"/>
      <c r="O25" s="26"/>
      <c r="P25" s="122"/>
      <c r="R25" s="80" t="str">
        <f>"  4)  " &amp; VLOOKUP(4,$AC$10:$AK$29,2,0)</f>
        <v xml:space="preserve">  4)  CROACIA</v>
      </c>
      <c r="S25" s="81"/>
      <c r="T25" s="81"/>
      <c r="U25" s="81"/>
      <c r="V25" s="92">
        <f>VLOOKUP(4,$AC$10:$AK$29,3,0)</f>
        <v>0</v>
      </c>
      <c r="W25" s="90">
        <f>VLOOKUP(4,$AC$10:$AK$29,4,0)</f>
        <v>0</v>
      </c>
      <c r="X25" s="90">
        <f>VLOOKUP(4,$AC$10:$AK$29,5,0)</f>
        <v>0</v>
      </c>
      <c r="Y25" s="90">
        <f>VLOOKUP(4,$AC$10:$AK$29,6,0)</f>
        <v>0</v>
      </c>
      <c r="Z25" s="91">
        <f>VLOOKUP(4,$AC$10:$AK$29,7,0)</f>
        <v>0</v>
      </c>
      <c r="AA25" s="91">
        <f>VLOOKUP(4,$AC$10:$AK$29,8,0)</f>
        <v>0</v>
      </c>
      <c r="AB25" s="91">
        <f>VLOOKUP(4,$AC$10:$AK$29,9,0)</f>
        <v>0</v>
      </c>
      <c r="AC25" s="79">
        <f>RANK(AL25,$AL$10:$AL$29,0)</f>
        <v>4</v>
      </c>
      <c r="AD25" s="79" t="str">
        <f>N12</f>
        <v>CROACIA</v>
      </c>
      <c r="AE25" s="79">
        <f t="shared" ref="AE25" si="4">(AF25*3)+AG25</f>
        <v>0</v>
      </c>
      <c r="AF25" s="79">
        <f>COUNTIF(I35:K35,"G")</f>
        <v>0</v>
      </c>
      <c r="AG25" s="79">
        <f>COUNTIF(I35:K35,"E")</f>
        <v>0</v>
      </c>
      <c r="AH25" s="79">
        <f>COUNTIF(I35:K35,"P")</f>
        <v>0</v>
      </c>
      <c r="AI25" s="79">
        <f>K12+I20+I24</f>
        <v>0</v>
      </c>
      <c r="AJ25" s="79">
        <f>I12+K20+K24</f>
        <v>0</v>
      </c>
      <c r="AK25" s="79">
        <f t="shared" ref="AK25" si="5">AI25-AJ25</f>
        <v>0</v>
      </c>
      <c r="AL25" s="79">
        <f>(AE25*1000)+(AK25*100)+(AI25*10)+1+vcp</f>
        <v>1</v>
      </c>
      <c r="AM25" s="79">
        <f>AL25-1</f>
        <v>0</v>
      </c>
      <c r="AN25" s="116"/>
      <c r="AO25" s="119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2"/>
      <c r="W26" s="90"/>
      <c r="X26" s="90"/>
      <c r="Y26" s="90"/>
      <c r="Z26" s="91"/>
      <c r="AA26" s="91"/>
      <c r="AB26" s="91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6"/>
      <c r="AO26" s="120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2"/>
      <c r="W27" s="90"/>
      <c r="X27" s="90"/>
      <c r="Y27" s="90"/>
      <c r="Z27" s="91"/>
      <c r="AA27" s="91"/>
      <c r="AB27" s="91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6"/>
      <c r="AO27" s="120"/>
    </row>
    <row r="28" spans="2:41" ht="7.5" customHeight="1" x14ac:dyDescent="0.25">
      <c r="B28" s="86">
        <v>42</v>
      </c>
      <c r="C28" s="87">
        <f>VLOOKUP(B28,FechaHora,2,0) + VLOOKUP(UTCElegido,TablaUTC,3,0)</f>
        <v>44896.75</v>
      </c>
      <c r="D28" s="88">
        <f>VLOOKUP(B28,FechaHora,2,0) + VLOOKUP(UTCElegido,TablaUTC,3,0)</f>
        <v>44896.75</v>
      </c>
      <c r="E28" s="26"/>
      <c r="F28" s="89" t="s">
        <v>82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31</v>
      </c>
      <c r="O28" s="26"/>
      <c r="P28" s="122" t="s">
        <v>75</v>
      </c>
      <c r="R28" s="82"/>
      <c r="S28" s="83"/>
      <c r="T28" s="83"/>
      <c r="U28" s="83"/>
      <c r="V28" s="92"/>
      <c r="W28" s="90"/>
      <c r="X28" s="90"/>
      <c r="Y28" s="90"/>
      <c r="Z28" s="91"/>
      <c r="AA28" s="91"/>
      <c r="AB28" s="91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6"/>
      <c r="AO28" s="120"/>
    </row>
    <row r="29" spans="2:41" ht="7.5" customHeight="1" x14ac:dyDescent="0.25">
      <c r="B29" s="86"/>
      <c r="C29" s="76"/>
      <c r="D29" s="76"/>
      <c r="E29" s="26"/>
      <c r="F29" s="89"/>
      <c r="G29" s="69"/>
      <c r="H29" s="28"/>
      <c r="I29" s="71"/>
      <c r="J29" s="69"/>
      <c r="K29" s="71"/>
      <c r="L29" s="69"/>
      <c r="M29" s="27"/>
      <c r="N29" s="72"/>
      <c r="O29" s="26"/>
      <c r="P29" s="122"/>
      <c r="R29" s="84"/>
      <c r="S29" s="85"/>
      <c r="T29" s="85"/>
      <c r="U29" s="85"/>
      <c r="V29" s="92"/>
      <c r="W29" s="90"/>
      <c r="X29" s="90"/>
      <c r="Y29" s="90"/>
      <c r="Z29" s="91"/>
      <c r="AA29" s="91"/>
      <c r="AB29" s="91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6"/>
      <c r="AO29" s="121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BÉLGICA</v>
      </c>
      <c r="I32" t="str">
        <f>G8</f>
        <v/>
      </c>
      <c r="J32" t="str">
        <f>G16</f>
        <v/>
      </c>
      <c r="K32" t="str">
        <f>L24</f>
        <v/>
      </c>
    </row>
    <row r="33" spans="6:21" hidden="1" x14ac:dyDescent="0.25">
      <c r="F33" t="str">
        <f>N8</f>
        <v>CANADÁ</v>
      </c>
      <c r="I33" t="str">
        <f>L8</f>
        <v/>
      </c>
      <c r="J33" t="str">
        <f>L20</f>
        <v/>
      </c>
      <c r="K33" t="str">
        <f>G28</f>
        <v/>
      </c>
    </row>
    <row r="34" spans="6:21" hidden="1" x14ac:dyDescent="0.25">
      <c r="F34" t="str">
        <f>F12</f>
        <v>MARRUECOS</v>
      </c>
      <c r="I34" t="str">
        <f>G12</f>
        <v/>
      </c>
      <c r="J34" t="str">
        <f>L16</f>
        <v/>
      </c>
      <c r="K34" t="str">
        <f>L28</f>
        <v/>
      </c>
    </row>
    <row r="35" spans="6:21" hidden="1" x14ac:dyDescent="0.25">
      <c r="F35" t="str">
        <f>N12</f>
        <v>CROACIA</v>
      </c>
      <c r="I35" t="str">
        <f>L12</f>
        <v/>
      </c>
      <c r="J35" t="str">
        <f>G20</f>
        <v/>
      </c>
      <c r="K35" t="str">
        <f>G24</f>
        <v/>
      </c>
    </row>
    <row r="36" spans="6:21" x14ac:dyDescent="0.25">
      <c r="N36" s="61" t="str">
        <f>IF(AL8=1,"Indica manuamente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55" priority="35">
      <formula>G8="P"</formula>
    </cfRule>
    <cfRule type="expression" dxfId="254" priority="36">
      <formula>G8="E"</formula>
    </cfRule>
    <cfRule type="expression" dxfId="253" priority="37">
      <formula>G8="G"</formula>
    </cfRule>
  </conditionalFormatting>
  <conditionalFormatting sqref="K24:K25">
    <cfRule type="expression" dxfId="252" priority="32">
      <formula>L24="P"</formula>
    </cfRule>
    <cfRule type="expression" dxfId="251" priority="33">
      <formula>L24="E"</formula>
    </cfRule>
    <cfRule type="expression" dxfId="250" priority="34">
      <formula>L24="G"</formula>
    </cfRule>
  </conditionalFormatting>
  <conditionalFormatting sqref="K20:K21">
    <cfRule type="expression" dxfId="249" priority="29">
      <formula>L20="P"</formula>
    </cfRule>
    <cfRule type="expression" dxfId="248" priority="30">
      <formula>L20="E"</formula>
    </cfRule>
    <cfRule type="expression" dxfId="247" priority="31">
      <formula>L20="G"</formula>
    </cfRule>
  </conditionalFormatting>
  <conditionalFormatting sqref="K16:K17">
    <cfRule type="expression" dxfId="246" priority="26">
      <formula>L16="P"</formula>
    </cfRule>
    <cfRule type="expression" dxfId="245" priority="27">
      <formula>L16="E"</formula>
    </cfRule>
    <cfRule type="expression" dxfId="244" priority="28">
      <formula>L16="G"</formula>
    </cfRule>
  </conditionalFormatting>
  <conditionalFormatting sqref="K12:K13">
    <cfRule type="expression" dxfId="243" priority="23">
      <formula>L12="P"</formula>
    </cfRule>
    <cfRule type="expression" dxfId="242" priority="24">
      <formula>L12="E"</formula>
    </cfRule>
    <cfRule type="expression" dxfId="241" priority="25">
      <formula>L12="G"</formula>
    </cfRule>
  </conditionalFormatting>
  <conditionalFormatting sqref="K8:K9">
    <cfRule type="expression" dxfId="240" priority="20">
      <formula>L8="P"</formula>
    </cfRule>
    <cfRule type="expression" dxfId="239" priority="21">
      <formula>L8="E"</formula>
    </cfRule>
    <cfRule type="expression" dxfId="238" priority="22">
      <formula>L8="G"</formula>
    </cfRule>
  </conditionalFormatting>
  <conditionalFormatting sqref="K28:K29">
    <cfRule type="expression" dxfId="237" priority="17">
      <formula>L28="P"</formula>
    </cfRule>
    <cfRule type="expression" dxfId="236" priority="18">
      <formula>L28="E"</formula>
    </cfRule>
    <cfRule type="expression" dxfId="235" priority="19">
      <formula>L28="G"</formula>
    </cfRule>
  </conditionalFormatting>
  <conditionalFormatting sqref="I12:I13">
    <cfRule type="expression" dxfId="234" priority="14">
      <formula>G12="P"</formula>
    </cfRule>
    <cfRule type="expression" dxfId="233" priority="15">
      <formula>G12="E"</formula>
    </cfRule>
    <cfRule type="expression" dxfId="232" priority="16">
      <formula>G12="G"</formula>
    </cfRule>
  </conditionalFormatting>
  <conditionalFormatting sqref="I16:I17">
    <cfRule type="expression" dxfId="231" priority="11">
      <formula>G16="P"</formula>
    </cfRule>
    <cfRule type="expression" dxfId="230" priority="12">
      <formula>G16="E"</formula>
    </cfRule>
    <cfRule type="expression" dxfId="229" priority="13">
      <formula>G16="G"</formula>
    </cfRule>
  </conditionalFormatting>
  <conditionalFormatting sqref="I20:I21">
    <cfRule type="expression" dxfId="228" priority="8">
      <formula>G20="P"</formula>
    </cfRule>
    <cfRule type="expression" dxfId="227" priority="9">
      <formula>G20="E"</formula>
    </cfRule>
    <cfRule type="expression" dxfId="226" priority="10">
      <formula>G20="G"</formula>
    </cfRule>
  </conditionalFormatting>
  <conditionalFormatting sqref="I24:I25">
    <cfRule type="expression" dxfId="225" priority="5">
      <formula>G24="P"</formula>
    </cfRule>
    <cfRule type="expression" dxfId="224" priority="6">
      <formula>G24="E"</formula>
    </cfRule>
    <cfRule type="expression" dxfId="223" priority="7">
      <formula>G24="G"</formula>
    </cfRule>
  </conditionalFormatting>
  <conditionalFormatting sqref="I28:I29">
    <cfRule type="expression" dxfId="222" priority="2">
      <formula>G28="P"</formula>
    </cfRule>
    <cfRule type="expression" dxfId="221" priority="3">
      <formula>G28="E"</formula>
    </cfRule>
    <cfRule type="expression" dxfId="220" priority="4">
      <formula>G28="G"</formula>
    </cfRule>
  </conditionalFormatting>
  <conditionalFormatting sqref="R36:U38">
    <cfRule type="expression" dxfId="219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6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B1:AR38"/>
  <sheetViews>
    <sheetView showGridLine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7.1406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1"/>
      <c r="U1" s="111"/>
      <c r="V1" s="111"/>
      <c r="W1" s="111"/>
      <c r="X1" s="111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113" t="s">
        <v>2</v>
      </c>
      <c r="S6" s="114"/>
      <c r="T6" s="114"/>
      <c r="U6" s="114"/>
      <c r="V6" s="114"/>
      <c r="W6" s="114"/>
      <c r="X6" s="114"/>
      <c r="Y6" s="114"/>
      <c r="Z6" s="114"/>
      <c r="AA6" s="114"/>
      <c r="AB6" s="115"/>
      <c r="AL6" s="8">
        <f>COUNT(I8,K8,I12,K12,I16,K16,I20,K20,I24,K24,I28,K28)</f>
        <v>0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86">
        <v>13</v>
      </c>
      <c r="C8" s="87">
        <f>VLOOKUP(B8,FechaHora,2,0) + VLOOKUP(UTCElegido,TablaUTC,3,0)</f>
        <v>44889.541666666664</v>
      </c>
      <c r="D8" s="88">
        <f>VLOOKUP(B8,FechaHora,2,0) + VLOOKUP(UTCElegido,TablaUTC,3,0)</f>
        <v>44889.541666666664</v>
      </c>
      <c r="E8" s="26"/>
      <c r="F8" s="89" t="s">
        <v>17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">
        <v>83</v>
      </c>
      <c r="O8" s="26"/>
      <c r="P8" s="122" t="s">
        <v>81</v>
      </c>
      <c r="R8" s="109"/>
      <c r="S8" s="109"/>
      <c r="T8" s="109"/>
      <c r="U8" s="109"/>
      <c r="V8" s="128" t="s">
        <v>3</v>
      </c>
      <c r="W8" s="107" t="s">
        <v>4</v>
      </c>
      <c r="X8" s="107" t="s">
        <v>5</v>
      </c>
      <c r="Y8" s="107" t="s">
        <v>6</v>
      </c>
      <c r="Z8" s="108" t="s">
        <v>7</v>
      </c>
      <c r="AA8" s="108" t="s">
        <v>8</v>
      </c>
      <c r="AB8" s="108" t="s">
        <v>9</v>
      </c>
      <c r="AC8" s="105"/>
      <c r="AD8" s="1"/>
      <c r="AE8" s="105"/>
      <c r="AF8" s="105"/>
      <c r="AG8" s="105"/>
      <c r="AH8" s="105"/>
      <c r="AI8" s="105"/>
      <c r="AJ8" s="105"/>
      <c r="AK8" s="105"/>
      <c r="AL8" s="106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8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122"/>
      <c r="R9" s="109"/>
      <c r="S9" s="109"/>
      <c r="T9" s="109"/>
      <c r="U9" s="109"/>
      <c r="V9" s="128"/>
      <c r="W9" s="107"/>
      <c r="X9" s="107"/>
      <c r="Y9" s="107"/>
      <c r="Z9" s="108"/>
      <c r="AA9" s="108"/>
      <c r="AB9" s="108"/>
      <c r="AC9" s="105"/>
      <c r="AD9" s="1"/>
      <c r="AE9" s="105"/>
      <c r="AF9" s="105"/>
      <c r="AG9" s="105"/>
      <c r="AH9" s="105"/>
      <c r="AI9" s="105"/>
      <c r="AJ9" s="105"/>
      <c r="AK9" s="105"/>
      <c r="AL9" s="106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5" t="str">
        <f>"  1)  " &amp; VLOOKUP(1,$AC$10:$AK$29,2,0)</f>
        <v xml:space="preserve">  1)  SUIZA</v>
      </c>
      <c r="S10" s="96"/>
      <c r="T10" s="96"/>
      <c r="U10" s="97"/>
      <c r="V10" s="126">
        <f>VLOOKUP(1,$AC$10:$AK$29,3,0)</f>
        <v>0</v>
      </c>
      <c r="W10" s="93">
        <f>VLOOKUP(1,$AC$10:$AK$29,4,0)</f>
        <v>0</v>
      </c>
      <c r="X10" s="93">
        <f>VLOOKUP(1,$AC$10:$AK$29,5,0)</f>
        <v>0</v>
      </c>
      <c r="Y10" s="93">
        <f>VLOOKUP(1,$AC$10:$AK$29,6,0)</f>
        <v>0</v>
      </c>
      <c r="Z10" s="94">
        <f>VLOOKUP(1,$AC$10:$AK$29,7,0)</f>
        <v>0</v>
      </c>
      <c r="AA10" s="94">
        <f>VLOOKUP(1,$AC$10:$AK$29,8,0)</f>
        <v>0</v>
      </c>
      <c r="AB10" s="94">
        <f>VLOOKUP(1,$AC$10:$AK$29,9,0)</f>
        <v>0</v>
      </c>
      <c r="AC10" s="79">
        <f>RANK(AL10,$AL$10:$AL$29,0)</f>
        <v>1</v>
      </c>
      <c r="AD10" s="79" t="str">
        <f>F8</f>
        <v>SUIZA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0</v>
      </c>
      <c r="AI10" s="79">
        <f>I8+K20+K24</f>
        <v>0</v>
      </c>
      <c r="AJ10" s="79">
        <f>K8+I20+I24</f>
        <v>0</v>
      </c>
      <c r="AK10" s="79">
        <f>AI10-AJ10</f>
        <v>0</v>
      </c>
      <c r="AL10" s="79">
        <f>(AE10*1000)+(AK10*100)+(AI10*10)+4+vcp</f>
        <v>4</v>
      </c>
      <c r="AM10" s="79">
        <f>AL10-4</f>
        <v>0</v>
      </c>
      <c r="AN10" s="116"/>
      <c r="AO10" s="117" t="str">
        <f>IF(AL8=1,IF(R36="","",R36),IF(SUM(V10:V29)&gt;0,VLOOKUP(1,AC10:AD29,2,0),""))</f>
        <v/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8"/>
      <c r="S11" s="99"/>
      <c r="T11" s="99"/>
      <c r="U11" s="100"/>
      <c r="V11" s="126"/>
      <c r="W11" s="93"/>
      <c r="X11" s="93"/>
      <c r="Y11" s="93"/>
      <c r="Z11" s="94"/>
      <c r="AA11" s="94"/>
      <c r="AB11" s="94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6"/>
      <c r="AO11" s="117"/>
    </row>
    <row r="12" spans="2:44" ht="7.5" customHeight="1" x14ac:dyDescent="0.25">
      <c r="B12" s="86">
        <v>16</v>
      </c>
      <c r="C12" s="87">
        <f>VLOOKUP(B12,FechaHora,2,0) + VLOOKUP(UTCElegido,TablaUTC,3,0)</f>
        <v>44889.916666666664</v>
      </c>
      <c r="D12" s="88">
        <f>VLOOKUP(B12,FechaHora,2,0) + VLOOKUP(UTCElegido,TablaUTC,3,0)</f>
        <v>44889.916666666664</v>
      </c>
      <c r="E12" s="26"/>
      <c r="F12" s="89" t="s">
        <v>10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72" t="s">
        <v>34</v>
      </c>
      <c r="O12" s="26"/>
      <c r="P12" s="122" t="s">
        <v>145</v>
      </c>
      <c r="R12" s="98"/>
      <c r="S12" s="99"/>
      <c r="T12" s="99"/>
      <c r="U12" s="100"/>
      <c r="V12" s="126"/>
      <c r="W12" s="93"/>
      <c r="X12" s="93"/>
      <c r="Y12" s="93"/>
      <c r="Z12" s="94"/>
      <c r="AA12" s="94"/>
      <c r="AB12" s="94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6"/>
      <c r="AO12" s="117"/>
    </row>
    <row r="13" spans="2:44" ht="7.5" customHeight="1" x14ac:dyDescent="0.25">
      <c r="B13" s="8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72"/>
      <c r="O13" s="26"/>
      <c r="P13" s="122"/>
      <c r="R13" s="98"/>
      <c r="S13" s="99"/>
      <c r="T13" s="99"/>
      <c r="U13" s="100"/>
      <c r="V13" s="126"/>
      <c r="W13" s="93"/>
      <c r="X13" s="93"/>
      <c r="Y13" s="93"/>
      <c r="Z13" s="94"/>
      <c r="AA13" s="94"/>
      <c r="AB13" s="94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6"/>
      <c r="AO13" s="117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1"/>
      <c r="S14" s="102"/>
      <c r="T14" s="102"/>
      <c r="U14" s="103"/>
      <c r="V14" s="126"/>
      <c r="W14" s="93"/>
      <c r="X14" s="93"/>
      <c r="Y14" s="93"/>
      <c r="Z14" s="94"/>
      <c r="AA14" s="94"/>
      <c r="AB14" s="94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6"/>
      <c r="AO14" s="117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5" t="str">
        <f>"  2)  " &amp; VLOOKUP(2,$AC$10:$AK$29,2,0)</f>
        <v xml:space="preserve">  2)  CAMERÚN</v>
      </c>
      <c r="S15" s="96"/>
      <c r="T15" s="96"/>
      <c r="U15" s="96"/>
      <c r="V15" s="126">
        <f>VLOOKUP(2,$AC$10:$AK$29,3,0)</f>
        <v>0</v>
      </c>
      <c r="W15" s="93">
        <f>VLOOKUP(2,$AC$10:$AK$29,4,0)</f>
        <v>0</v>
      </c>
      <c r="X15" s="93">
        <f>VLOOKUP(2,$AC$10:$AK$29,5,0)</f>
        <v>0</v>
      </c>
      <c r="Y15" s="93">
        <f>VLOOKUP(2,$AC$10:$AK$29,6,0)</f>
        <v>0</v>
      </c>
      <c r="Z15" s="94">
        <f>VLOOKUP(2,$AC$10:$AK$29,7,0)</f>
        <v>0</v>
      </c>
      <c r="AA15" s="94">
        <f>VLOOKUP(2,$AC$10:$AK$29,8,0)</f>
        <v>0</v>
      </c>
      <c r="AB15" s="94">
        <f>VLOOKUP(2,$AC$10:$AK$29,9,0)</f>
        <v>0</v>
      </c>
      <c r="AC15" s="79">
        <f>RANK(AL15,$AL$10:$AL$29,0)</f>
        <v>2</v>
      </c>
      <c r="AD15" s="79" t="str">
        <f>N8</f>
        <v>CAMERÚN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0</v>
      </c>
      <c r="AI15" s="79">
        <f>K8+I16+I28</f>
        <v>0</v>
      </c>
      <c r="AJ15" s="79">
        <f>I8+K16+K28</f>
        <v>0</v>
      </c>
      <c r="AK15" s="79">
        <f t="shared" ref="AK15" si="1">AI15-AJ15</f>
        <v>0</v>
      </c>
      <c r="AL15" s="79">
        <f>(AE15*1000)+(AK15*100)+(AI15*10)+3+vcp</f>
        <v>3</v>
      </c>
      <c r="AM15" s="79">
        <f>AL15-3</f>
        <v>0</v>
      </c>
      <c r="AN15" s="116"/>
      <c r="AO15" s="118" t="str">
        <f>IF(AL8=1,IF(R37="","",R37),IF(SUM(V10:V29)&gt;0,VLOOKUP(2,AC10:AD29,2,0),""))</f>
        <v/>
      </c>
    </row>
    <row r="16" spans="2:44" ht="7.5" customHeight="1" x14ac:dyDescent="0.25">
      <c r="B16" s="86">
        <v>29</v>
      </c>
      <c r="C16" s="87">
        <f>VLOOKUP(B16,FechaHora,2,0) + VLOOKUP(UTCElegido,TablaUTC,3,0)</f>
        <v>44893.541666666664</v>
      </c>
      <c r="D16" s="88">
        <f>VLOOKUP(B16,FechaHora,2,0) + VLOOKUP(UTCElegido,TablaUTC,3,0)</f>
        <v>44893.541666666664</v>
      </c>
      <c r="E16" s="26"/>
      <c r="F16" s="89" t="s">
        <v>83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">
        <v>34</v>
      </c>
      <c r="O16" s="26"/>
      <c r="P16" s="122" t="s">
        <v>81</v>
      </c>
      <c r="R16" s="98"/>
      <c r="S16" s="99"/>
      <c r="T16" s="99"/>
      <c r="U16" s="99"/>
      <c r="V16" s="126"/>
      <c r="W16" s="93"/>
      <c r="X16" s="93"/>
      <c r="Y16" s="93"/>
      <c r="Z16" s="94"/>
      <c r="AA16" s="94"/>
      <c r="AB16" s="94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6"/>
      <c r="AO16" s="118"/>
    </row>
    <row r="17" spans="2:41" ht="7.5" customHeight="1" x14ac:dyDescent="0.25">
      <c r="B17" s="8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122"/>
      <c r="R17" s="98"/>
      <c r="S17" s="99"/>
      <c r="T17" s="99"/>
      <c r="U17" s="99"/>
      <c r="V17" s="126"/>
      <c r="W17" s="93"/>
      <c r="X17" s="93"/>
      <c r="Y17" s="93"/>
      <c r="Z17" s="94"/>
      <c r="AA17" s="94"/>
      <c r="AB17" s="94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6"/>
      <c r="AO17" s="118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8"/>
      <c r="S18" s="99"/>
      <c r="T18" s="99"/>
      <c r="U18" s="99"/>
      <c r="V18" s="126"/>
      <c r="W18" s="93"/>
      <c r="X18" s="93"/>
      <c r="Y18" s="93"/>
      <c r="Z18" s="94"/>
      <c r="AA18" s="94"/>
      <c r="AB18" s="94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6"/>
      <c r="AO18" s="118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1"/>
      <c r="S19" s="102"/>
      <c r="T19" s="102"/>
      <c r="U19" s="102"/>
      <c r="V19" s="126"/>
      <c r="W19" s="93"/>
      <c r="X19" s="93"/>
      <c r="Y19" s="93"/>
      <c r="Z19" s="94"/>
      <c r="AA19" s="94"/>
      <c r="AB19" s="94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6"/>
      <c r="AO19" s="118"/>
    </row>
    <row r="20" spans="2:41" ht="7.5" customHeight="1" x14ac:dyDescent="0.25">
      <c r="B20" s="86">
        <v>31</v>
      </c>
      <c r="C20" s="87">
        <f>VLOOKUP(B20,FechaHora,2,0) + VLOOKUP(UTCElegido,TablaUTC,3,0)</f>
        <v>44893.791666666664</v>
      </c>
      <c r="D20" s="88">
        <f>VLOOKUP(B20,FechaHora,2,0) + VLOOKUP(UTCElegido,TablaUTC,3,0)</f>
        <v>44893.791666666664</v>
      </c>
      <c r="E20" s="26"/>
      <c r="F20" s="89" t="s">
        <v>10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">
        <v>17</v>
      </c>
      <c r="O20" s="26"/>
      <c r="P20" s="122" t="s">
        <v>147</v>
      </c>
      <c r="R20" s="80" t="str">
        <f>"  3)  " &amp; VLOOKUP(3,$AC$10:$AK$29,2,0)</f>
        <v xml:space="preserve">  3)  BRASIL</v>
      </c>
      <c r="S20" s="81"/>
      <c r="T20" s="81"/>
      <c r="U20" s="81"/>
      <c r="V20" s="125">
        <f>VLOOKUP(3,$AC$10:$AK$29,3,0)</f>
        <v>0</v>
      </c>
      <c r="W20" s="90">
        <f>VLOOKUP(3,$AC$10:$AK$29,4,0)</f>
        <v>0</v>
      </c>
      <c r="X20" s="90">
        <f>VLOOKUP(3,$AC$10:$AK$29,5,0)</f>
        <v>0</v>
      </c>
      <c r="Y20" s="90">
        <f>VLOOKUP(3,$AC$10:$AK$29,6,0)</f>
        <v>0</v>
      </c>
      <c r="Z20" s="91">
        <f>VLOOKUP(3,$AC$10:$AK$29,7,0)</f>
        <v>0</v>
      </c>
      <c r="AA20" s="91">
        <f>VLOOKUP(3,$AC$10:$AK$29,8,0)</f>
        <v>0</v>
      </c>
      <c r="AB20" s="91">
        <f>VLOOKUP(3,$AC$10:$AK$29,9,0)</f>
        <v>0</v>
      </c>
      <c r="AC20" s="79">
        <f>RANK(AL20,$AL$10:$AL$29,0)</f>
        <v>3</v>
      </c>
      <c r="AD20" s="79" t="str">
        <f>F12</f>
        <v>BRASIL</v>
      </c>
      <c r="AE20" s="79">
        <f t="shared" ref="AE20" si="2">(AF20*3)+AG20</f>
        <v>0</v>
      </c>
      <c r="AF20" s="79">
        <f>COUNTIF(I34:K34,"G")</f>
        <v>0</v>
      </c>
      <c r="AG20" s="79">
        <f>COUNTIF(I34:K34,"E")</f>
        <v>0</v>
      </c>
      <c r="AH20" s="79">
        <f>COUNTIF(I34:K34,"P")</f>
        <v>0</v>
      </c>
      <c r="AI20" s="79">
        <f>I12+I20+K28</f>
        <v>0</v>
      </c>
      <c r="AJ20" s="79">
        <f>K12+K20+I28</f>
        <v>0</v>
      </c>
      <c r="AK20" s="79">
        <f t="shared" ref="AK20" si="3">AI20-AJ20</f>
        <v>0</v>
      </c>
      <c r="AL20" s="79">
        <f>(AE20*1000)+(AK20*100)+(AI20*10)+2+vcp</f>
        <v>2</v>
      </c>
      <c r="AM20" s="79">
        <f>AL20-2</f>
        <v>0</v>
      </c>
      <c r="AN20" s="116"/>
      <c r="AO20" s="119"/>
    </row>
    <row r="21" spans="2:41" ht="7.5" customHeight="1" x14ac:dyDescent="0.25">
      <c r="B21" s="86"/>
      <c r="C21" s="76"/>
      <c r="D21" s="76"/>
      <c r="E21" s="26"/>
      <c r="F21" s="89"/>
      <c r="G21" s="69"/>
      <c r="H21" s="28"/>
      <c r="I21" s="71"/>
      <c r="J21" s="69"/>
      <c r="K21" s="71"/>
      <c r="L21" s="69"/>
      <c r="M21" s="27"/>
      <c r="N21" s="72"/>
      <c r="O21" s="26"/>
      <c r="P21" s="122"/>
      <c r="R21" s="82"/>
      <c r="S21" s="83"/>
      <c r="T21" s="83"/>
      <c r="U21" s="83"/>
      <c r="V21" s="125"/>
      <c r="W21" s="90"/>
      <c r="X21" s="90"/>
      <c r="Y21" s="90"/>
      <c r="Z21" s="91"/>
      <c r="AA21" s="91"/>
      <c r="AB21" s="91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6"/>
      <c r="AO21" s="120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125"/>
      <c r="W22" s="90"/>
      <c r="X22" s="90"/>
      <c r="Y22" s="90"/>
      <c r="Z22" s="91"/>
      <c r="AA22" s="91"/>
      <c r="AB22" s="91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6"/>
      <c r="AO22" s="120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125"/>
      <c r="W23" s="90"/>
      <c r="X23" s="90"/>
      <c r="Y23" s="90"/>
      <c r="Z23" s="91"/>
      <c r="AA23" s="91"/>
      <c r="AB23" s="91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6"/>
      <c r="AO23" s="120"/>
    </row>
    <row r="24" spans="2:41" ht="7.5" customHeight="1" x14ac:dyDescent="0.25">
      <c r="B24" s="86">
        <v>47</v>
      </c>
      <c r="C24" s="87">
        <f>VLOOKUP(B24,FechaHora,2,0) + VLOOKUP(UTCElegido,TablaUTC,3,0)</f>
        <v>44897.916666666664</v>
      </c>
      <c r="D24" s="88">
        <f>VLOOKUP(B24,FechaHora,2,0) + VLOOKUP(UTCElegido,TablaUTC,3,0)</f>
        <v>44897.916666666664</v>
      </c>
      <c r="E24" s="26"/>
      <c r="F24" s="89" t="s">
        <v>34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17</v>
      </c>
      <c r="O24" s="26"/>
      <c r="P24" s="122" t="s">
        <v>147</v>
      </c>
      <c r="R24" s="84"/>
      <c r="S24" s="85"/>
      <c r="T24" s="85"/>
      <c r="U24" s="85"/>
      <c r="V24" s="125"/>
      <c r="W24" s="90"/>
      <c r="X24" s="90"/>
      <c r="Y24" s="90"/>
      <c r="Z24" s="91"/>
      <c r="AA24" s="91"/>
      <c r="AB24" s="91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6"/>
      <c r="AO24" s="121"/>
    </row>
    <row r="25" spans="2:41" ht="7.5" customHeight="1" x14ac:dyDescent="0.25">
      <c r="B25" s="86"/>
      <c r="C25" s="76"/>
      <c r="D25" s="76"/>
      <c r="E25" s="26"/>
      <c r="F25" s="89"/>
      <c r="G25" s="69"/>
      <c r="H25" s="28"/>
      <c r="I25" s="71"/>
      <c r="J25" s="69"/>
      <c r="K25" s="71"/>
      <c r="L25" s="69"/>
      <c r="M25" s="27"/>
      <c r="N25" s="72"/>
      <c r="O25" s="26"/>
      <c r="P25" s="122"/>
      <c r="R25" s="80" t="str">
        <f>"  4)  " &amp; VLOOKUP(4,$AC$10:$AK$29,2,0)</f>
        <v xml:space="preserve">  4)  SERBIA</v>
      </c>
      <c r="S25" s="81"/>
      <c r="T25" s="81"/>
      <c r="U25" s="81"/>
      <c r="V25" s="125">
        <f>VLOOKUP(4,$AC$10:$AK$29,3,0)</f>
        <v>0</v>
      </c>
      <c r="W25" s="90">
        <f>VLOOKUP(4,$AC$10:$AK$29,4,0)</f>
        <v>0</v>
      </c>
      <c r="X25" s="90">
        <f>VLOOKUP(4,$AC$10:$AK$29,5,0)</f>
        <v>0</v>
      </c>
      <c r="Y25" s="90">
        <f>VLOOKUP(4,$AC$10:$AK$29,6,0)</f>
        <v>0</v>
      </c>
      <c r="Z25" s="91">
        <f>VLOOKUP(4,$AC$10:$AK$29,7,0)</f>
        <v>0</v>
      </c>
      <c r="AA25" s="91">
        <f>VLOOKUP(4,$AC$10:$AK$29,8,0)</f>
        <v>0</v>
      </c>
      <c r="AB25" s="91">
        <f>VLOOKUP(4,$AC$10:$AK$29,9,0)</f>
        <v>0</v>
      </c>
      <c r="AC25" s="79">
        <f>RANK(AL25,$AL$10:$AL$29,0)</f>
        <v>4</v>
      </c>
      <c r="AD25" s="79" t="str">
        <f>N12</f>
        <v>SERBIA</v>
      </c>
      <c r="AE25" s="79">
        <f t="shared" ref="AE25" si="4">(AF25*3)+AG25</f>
        <v>0</v>
      </c>
      <c r="AF25" s="79">
        <f>COUNTIF(I35:K35,"G")</f>
        <v>0</v>
      </c>
      <c r="AG25" s="79">
        <f>COUNTIF(I35:K35,"E")</f>
        <v>0</v>
      </c>
      <c r="AH25" s="79">
        <f>COUNTIF(I35:K35,"P")</f>
        <v>0</v>
      </c>
      <c r="AI25" s="79">
        <f>K12+K16+I24</f>
        <v>0</v>
      </c>
      <c r="AJ25" s="79">
        <f>I12+I16+K24</f>
        <v>0</v>
      </c>
      <c r="AK25" s="79">
        <f t="shared" ref="AK25" si="5">AI25-AJ25</f>
        <v>0</v>
      </c>
      <c r="AL25" s="79">
        <f>(AE25*1000)+(AK25*100)+(AI25*10)+1+vcp</f>
        <v>1</v>
      </c>
      <c r="AM25" s="79">
        <f>AL25-1</f>
        <v>0</v>
      </c>
      <c r="AN25" s="116"/>
      <c r="AO25" s="119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125"/>
      <c r="W26" s="90"/>
      <c r="X26" s="90"/>
      <c r="Y26" s="90"/>
      <c r="Z26" s="91"/>
      <c r="AA26" s="91"/>
      <c r="AB26" s="91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6"/>
      <c r="AO26" s="120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125"/>
      <c r="W27" s="90"/>
      <c r="X27" s="90"/>
      <c r="Y27" s="90"/>
      <c r="Z27" s="91"/>
      <c r="AA27" s="91"/>
      <c r="AB27" s="91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6"/>
      <c r="AO27" s="120"/>
    </row>
    <row r="28" spans="2:41" ht="7.5" customHeight="1" x14ac:dyDescent="0.25">
      <c r="B28" s="86">
        <v>48</v>
      </c>
      <c r="C28" s="87">
        <f>VLOOKUP(B28,FechaHora,2,0) + VLOOKUP(UTCElegido,TablaUTC,3,0)</f>
        <v>44897.916666666664</v>
      </c>
      <c r="D28" s="88">
        <f>VLOOKUP(B28,FechaHora,2,0) + VLOOKUP(UTCElegido,TablaUTC,3,0)</f>
        <v>44897.916666666664</v>
      </c>
      <c r="E28" s="26"/>
      <c r="F28" s="89" t="s">
        <v>83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10</v>
      </c>
      <c r="O28" s="26"/>
      <c r="P28" s="122" t="s">
        <v>145</v>
      </c>
      <c r="R28" s="82"/>
      <c r="S28" s="83"/>
      <c r="T28" s="83"/>
      <c r="U28" s="83"/>
      <c r="V28" s="125"/>
      <c r="W28" s="90"/>
      <c r="X28" s="90"/>
      <c r="Y28" s="90"/>
      <c r="Z28" s="91"/>
      <c r="AA28" s="91"/>
      <c r="AB28" s="91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6"/>
      <c r="AO28" s="120"/>
    </row>
    <row r="29" spans="2:41" ht="7.5" customHeight="1" x14ac:dyDescent="0.25">
      <c r="B29" s="86"/>
      <c r="C29" s="76"/>
      <c r="D29" s="76"/>
      <c r="E29" s="26"/>
      <c r="F29" s="89"/>
      <c r="G29" s="69"/>
      <c r="H29" s="28"/>
      <c r="I29" s="71"/>
      <c r="J29" s="69"/>
      <c r="K29" s="71"/>
      <c r="L29" s="69"/>
      <c r="M29" s="27"/>
      <c r="N29" s="72"/>
      <c r="O29" s="26"/>
      <c r="P29" s="122"/>
      <c r="R29" s="84"/>
      <c r="S29" s="85"/>
      <c r="T29" s="85"/>
      <c r="U29" s="85"/>
      <c r="V29" s="125"/>
      <c r="W29" s="90"/>
      <c r="X29" s="90"/>
      <c r="Y29" s="90"/>
      <c r="Z29" s="91"/>
      <c r="AA29" s="91"/>
      <c r="AB29" s="91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6"/>
      <c r="AO29" s="121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SUIZA</v>
      </c>
      <c r="I32" t="str">
        <f>G8</f>
        <v/>
      </c>
      <c r="J32" t="str">
        <f>L20</f>
        <v/>
      </c>
      <c r="K32" t="str">
        <f>L24</f>
        <v/>
      </c>
    </row>
    <row r="33" spans="6:21" hidden="1" x14ac:dyDescent="0.25">
      <c r="F33" t="str">
        <f>N8</f>
        <v>CAMERÚN</v>
      </c>
      <c r="I33" t="str">
        <f>L8</f>
        <v/>
      </c>
      <c r="J33" t="str">
        <f>G16</f>
        <v/>
      </c>
      <c r="K33" t="str">
        <f>G28</f>
        <v/>
      </c>
    </row>
    <row r="34" spans="6:21" hidden="1" x14ac:dyDescent="0.25">
      <c r="F34" t="str">
        <f>F12</f>
        <v>BRASIL</v>
      </c>
      <c r="I34" t="str">
        <f>G12</f>
        <v/>
      </c>
      <c r="J34" t="str">
        <f>G20</f>
        <v/>
      </c>
      <c r="K34" t="str">
        <f>L28</f>
        <v/>
      </c>
    </row>
    <row r="35" spans="6:21" hidden="1" x14ac:dyDescent="0.25">
      <c r="F35" t="str">
        <f>N12</f>
        <v>SERBIA</v>
      </c>
      <c r="I35" t="str">
        <f>L12</f>
        <v/>
      </c>
      <c r="J35" t="str">
        <f>L16</f>
        <v/>
      </c>
      <c r="K35" t="str">
        <f>G24</f>
        <v/>
      </c>
    </row>
    <row r="36" spans="6:21" x14ac:dyDescent="0.25">
      <c r="N36" s="60" t="str">
        <f>IF(AL8=1,"Indica manuamente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18" priority="35">
      <formula>G8="P"</formula>
    </cfRule>
    <cfRule type="expression" dxfId="217" priority="36">
      <formula>G8="E"</formula>
    </cfRule>
    <cfRule type="expression" dxfId="216" priority="37">
      <formula>G8="G"</formula>
    </cfRule>
  </conditionalFormatting>
  <conditionalFormatting sqref="K24:K25">
    <cfRule type="expression" dxfId="215" priority="32">
      <formula>L24="P"</formula>
    </cfRule>
    <cfRule type="expression" dxfId="214" priority="33">
      <formula>L24="E"</formula>
    </cfRule>
    <cfRule type="expression" dxfId="213" priority="34">
      <formula>L24="G"</formula>
    </cfRule>
  </conditionalFormatting>
  <conditionalFormatting sqref="K20:K21">
    <cfRule type="expression" dxfId="212" priority="29">
      <formula>L20="P"</formula>
    </cfRule>
    <cfRule type="expression" dxfId="211" priority="30">
      <formula>L20="E"</formula>
    </cfRule>
    <cfRule type="expression" dxfId="210" priority="31">
      <formula>L20="G"</formula>
    </cfRule>
  </conditionalFormatting>
  <conditionalFormatting sqref="K16:K17">
    <cfRule type="expression" dxfId="209" priority="26">
      <formula>L16="P"</formula>
    </cfRule>
    <cfRule type="expression" dxfId="208" priority="27">
      <formula>L16="E"</formula>
    </cfRule>
    <cfRule type="expression" dxfId="207" priority="28">
      <formula>L16="G"</formula>
    </cfRule>
  </conditionalFormatting>
  <conditionalFormatting sqref="K12:K13">
    <cfRule type="expression" dxfId="206" priority="23">
      <formula>L12="P"</formula>
    </cfRule>
    <cfRule type="expression" dxfId="205" priority="24">
      <formula>L12="E"</formula>
    </cfRule>
    <cfRule type="expression" dxfId="204" priority="25">
      <formula>L12="G"</formula>
    </cfRule>
  </conditionalFormatting>
  <conditionalFormatting sqref="K8:K9">
    <cfRule type="expression" dxfId="203" priority="20">
      <formula>L8="P"</formula>
    </cfRule>
    <cfRule type="expression" dxfId="202" priority="21">
      <formula>L8="E"</formula>
    </cfRule>
    <cfRule type="expression" dxfId="201" priority="22">
      <formula>L8="G"</formula>
    </cfRule>
  </conditionalFormatting>
  <conditionalFormatting sqref="K28:K29">
    <cfRule type="expression" dxfId="200" priority="17">
      <formula>L28="P"</formula>
    </cfRule>
    <cfRule type="expression" dxfId="199" priority="18">
      <formula>L28="E"</formula>
    </cfRule>
    <cfRule type="expression" dxfId="198" priority="19">
      <formula>L28="G"</formula>
    </cfRule>
  </conditionalFormatting>
  <conditionalFormatting sqref="I12:I13">
    <cfRule type="expression" dxfId="197" priority="14">
      <formula>G12="P"</formula>
    </cfRule>
    <cfRule type="expression" dxfId="196" priority="15">
      <formula>G12="E"</formula>
    </cfRule>
    <cfRule type="expression" dxfId="195" priority="16">
      <formula>G12="G"</formula>
    </cfRule>
  </conditionalFormatting>
  <conditionalFormatting sqref="I16:I17">
    <cfRule type="expression" dxfId="194" priority="11">
      <formula>G16="P"</formula>
    </cfRule>
    <cfRule type="expression" dxfId="193" priority="12">
      <formula>G16="E"</formula>
    </cfRule>
    <cfRule type="expression" dxfId="192" priority="13">
      <formula>G16="G"</formula>
    </cfRule>
  </conditionalFormatting>
  <conditionalFormatting sqref="I20:I21">
    <cfRule type="expression" dxfId="191" priority="8">
      <formula>G20="P"</formula>
    </cfRule>
    <cfRule type="expression" dxfId="190" priority="9">
      <formula>G20="E"</formula>
    </cfRule>
    <cfRule type="expression" dxfId="189" priority="10">
      <formula>G20="G"</formula>
    </cfRule>
  </conditionalFormatting>
  <conditionalFormatting sqref="I24:I25">
    <cfRule type="expression" dxfId="188" priority="5">
      <formula>G24="P"</formula>
    </cfRule>
    <cfRule type="expression" dxfId="187" priority="6">
      <formula>G24="E"</formula>
    </cfRule>
    <cfRule type="expression" dxfId="186" priority="7">
      <formula>G24="G"</formula>
    </cfRule>
  </conditionalFormatting>
  <conditionalFormatting sqref="I28:I29">
    <cfRule type="expression" dxfId="185" priority="2">
      <formula>G28="P"</formula>
    </cfRule>
    <cfRule type="expression" dxfId="184" priority="3">
      <formula>G28="E"</formula>
    </cfRule>
    <cfRule type="expression" dxfId="183" priority="4">
      <formula>G28="G"</formula>
    </cfRule>
  </conditionalFormatting>
  <conditionalFormatting sqref="R36:U38">
    <cfRule type="expression" dxfId="182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7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B1:AR38"/>
  <sheetViews>
    <sheetView showGridLine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4.425781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1"/>
      <c r="U1" s="111"/>
      <c r="V1" s="111"/>
      <c r="W1" s="111"/>
      <c r="X1" s="111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2" t="s">
        <v>1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39" t="s">
        <v>73</v>
      </c>
      <c r="R6" s="113" t="s">
        <v>2</v>
      </c>
      <c r="S6" s="114"/>
      <c r="T6" s="114"/>
      <c r="U6" s="114"/>
      <c r="V6" s="114"/>
      <c r="W6" s="114"/>
      <c r="X6" s="114"/>
      <c r="Y6" s="114"/>
      <c r="Z6" s="114"/>
      <c r="AA6" s="114"/>
      <c r="AB6" s="115"/>
      <c r="AL6" s="8">
        <f>COUNT(I8,K8,I12,K12,I16,K16,I20,K20,I24,K24,I28,K28)</f>
        <v>0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64"/>
      <c r="AL7" s="9"/>
    </row>
    <row r="8" spans="2:44" ht="7.5" customHeight="1" x14ac:dyDescent="0.25">
      <c r="B8" s="86">
        <v>14</v>
      </c>
      <c r="C8" s="87">
        <f>VLOOKUP(B8,FechaHora,2,0) + VLOOKUP(UTCElegido,TablaUTC,3,0)</f>
        <v>44889.666666666664</v>
      </c>
      <c r="D8" s="88">
        <f>VLOOKUP(B8,FechaHora,2,0) + VLOOKUP(UTCElegido,TablaUTC,3,0)</f>
        <v>44889.666666666664</v>
      </c>
      <c r="E8" s="26"/>
      <c r="F8" s="89" t="s">
        <v>14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">
        <v>84</v>
      </c>
      <c r="O8" s="26"/>
      <c r="P8" s="73" t="s">
        <v>146</v>
      </c>
      <c r="R8" s="109"/>
      <c r="S8" s="109"/>
      <c r="T8" s="109"/>
      <c r="U8" s="109"/>
      <c r="V8" s="110" t="s">
        <v>3</v>
      </c>
      <c r="W8" s="107" t="s">
        <v>4</v>
      </c>
      <c r="X8" s="107" t="s">
        <v>5</v>
      </c>
      <c r="Y8" s="107" t="s">
        <v>6</v>
      </c>
      <c r="Z8" s="108" t="s">
        <v>7</v>
      </c>
      <c r="AA8" s="108" t="s">
        <v>8</v>
      </c>
      <c r="AB8" s="108" t="s">
        <v>9</v>
      </c>
      <c r="AC8" s="105"/>
      <c r="AD8" s="1"/>
      <c r="AE8" s="105"/>
      <c r="AF8" s="105"/>
      <c r="AG8" s="105"/>
      <c r="AH8" s="105"/>
      <c r="AI8" s="105"/>
      <c r="AJ8" s="105"/>
      <c r="AK8" s="105"/>
      <c r="AL8" s="106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86"/>
      <c r="C9" s="76"/>
      <c r="D9" s="76"/>
      <c r="E9" s="26"/>
      <c r="F9" s="89"/>
      <c r="G9" s="69"/>
      <c r="H9" s="28"/>
      <c r="I9" s="71"/>
      <c r="J9" s="69"/>
      <c r="K9" s="71"/>
      <c r="L9" s="69"/>
      <c r="M9" s="27"/>
      <c r="N9" s="72"/>
      <c r="O9" s="26"/>
      <c r="P9" s="73"/>
      <c r="R9" s="109"/>
      <c r="S9" s="109"/>
      <c r="T9" s="109"/>
      <c r="U9" s="109"/>
      <c r="V9" s="110"/>
      <c r="W9" s="107"/>
      <c r="X9" s="107"/>
      <c r="Y9" s="107"/>
      <c r="Z9" s="108"/>
      <c r="AA9" s="108"/>
      <c r="AB9" s="108"/>
      <c r="AC9" s="105"/>
      <c r="AD9" s="1"/>
      <c r="AE9" s="105"/>
      <c r="AF9" s="105"/>
      <c r="AG9" s="105"/>
      <c r="AH9" s="105"/>
      <c r="AI9" s="105"/>
      <c r="AJ9" s="105"/>
      <c r="AK9" s="105"/>
      <c r="AL9" s="106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27"/>
      <c r="R10" s="95" t="str">
        <f>"  1)  " &amp; VLOOKUP(1,$AC$10:$AK$29,2,0)</f>
        <v xml:space="preserve">  1)  URUGUAY</v>
      </c>
      <c r="S10" s="96"/>
      <c r="T10" s="96"/>
      <c r="U10" s="97"/>
      <c r="V10" s="104">
        <f>VLOOKUP(1,$AC$10:$AK$29,3,0)</f>
        <v>0</v>
      </c>
      <c r="W10" s="93">
        <f>VLOOKUP(1,$AC$10:$AK$29,4,0)</f>
        <v>0</v>
      </c>
      <c r="X10" s="93">
        <f>VLOOKUP(1,$AC$10:$AK$29,5,0)</f>
        <v>0</v>
      </c>
      <c r="Y10" s="93">
        <f>VLOOKUP(1,$AC$10:$AK$29,6,0)</f>
        <v>0</v>
      </c>
      <c r="Z10" s="94">
        <f>VLOOKUP(1,$AC$10:$AK$29,7,0)</f>
        <v>0</v>
      </c>
      <c r="AA10" s="94">
        <f>VLOOKUP(1,$AC$10:$AK$29,8,0)</f>
        <v>0</v>
      </c>
      <c r="AB10" s="94">
        <f>VLOOKUP(1,$AC$10:$AK$29,9,0)</f>
        <v>0</v>
      </c>
      <c r="AC10" s="79">
        <f>RANK(AL10,$AL$10:$AL$29,0)</f>
        <v>1</v>
      </c>
      <c r="AD10" s="79" t="str">
        <f>F8</f>
        <v>URUGUAY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0</v>
      </c>
      <c r="AI10" s="79">
        <f>I8+K20+K24</f>
        <v>0</v>
      </c>
      <c r="AJ10" s="79">
        <f>K8+I20+I24</f>
        <v>0</v>
      </c>
      <c r="AK10" s="79">
        <f>AI10-AJ10</f>
        <v>0</v>
      </c>
      <c r="AL10" s="79">
        <f>(AE10*1000)+(AK10*100)+(AI10*10)+4+vcp</f>
        <v>4</v>
      </c>
      <c r="AM10" s="79">
        <f>AL10-4</f>
        <v>0</v>
      </c>
      <c r="AN10" s="116"/>
      <c r="AO10" s="117" t="str">
        <f>IF(AL8=1,IF(R36="","",R36),IF(SUM(V10:V29)&gt;0,VLOOKUP(1,AC10:AD29,2,0),""))</f>
        <v/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27"/>
      <c r="R11" s="98"/>
      <c r="S11" s="99"/>
      <c r="T11" s="99"/>
      <c r="U11" s="100"/>
      <c r="V11" s="104"/>
      <c r="W11" s="93"/>
      <c r="X11" s="93"/>
      <c r="Y11" s="93"/>
      <c r="Z11" s="94"/>
      <c r="AA11" s="94"/>
      <c r="AB11" s="94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6"/>
      <c r="AO11" s="117"/>
    </row>
    <row r="12" spans="2:44" ht="7.5" customHeight="1" x14ac:dyDescent="0.25">
      <c r="B12" s="86">
        <v>15</v>
      </c>
      <c r="C12" s="87">
        <f>VLOOKUP(B12,FechaHora,2,0) + VLOOKUP(UTCElegido,TablaUTC,3,0)</f>
        <v>44889.791666666664</v>
      </c>
      <c r="D12" s="88">
        <f>VLOOKUP(B12,FechaHora,2,0) + VLOOKUP(UTCElegido,TablaUTC,3,0)</f>
        <v>44889.791666666664</v>
      </c>
      <c r="E12" s="26"/>
      <c r="F12" s="89" t="s">
        <v>21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72" t="s">
        <v>85</v>
      </c>
      <c r="O12" s="26"/>
      <c r="P12" s="122" t="s">
        <v>147</v>
      </c>
      <c r="R12" s="98"/>
      <c r="S12" s="99"/>
      <c r="T12" s="99"/>
      <c r="U12" s="100"/>
      <c r="V12" s="104"/>
      <c r="W12" s="93"/>
      <c r="X12" s="93"/>
      <c r="Y12" s="93"/>
      <c r="Z12" s="94"/>
      <c r="AA12" s="94"/>
      <c r="AB12" s="94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6"/>
      <c r="AO12" s="117"/>
    </row>
    <row r="13" spans="2:44" ht="7.5" customHeight="1" x14ac:dyDescent="0.25">
      <c r="B13" s="86"/>
      <c r="C13" s="76"/>
      <c r="D13" s="76"/>
      <c r="E13" s="26"/>
      <c r="F13" s="89"/>
      <c r="G13" s="69"/>
      <c r="H13" s="28"/>
      <c r="I13" s="71"/>
      <c r="J13" s="69"/>
      <c r="K13" s="71"/>
      <c r="L13" s="69"/>
      <c r="M13" s="27"/>
      <c r="N13" s="72"/>
      <c r="O13" s="26"/>
      <c r="P13" s="122"/>
      <c r="R13" s="98"/>
      <c r="S13" s="99"/>
      <c r="T13" s="99"/>
      <c r="U13" s="100"/>
      <c r="V13" s="104"/>
      <c r="W13" s="93"/>
      <c r="X13" s="93"/>
      <c r="Y13" s="93"/>
      <c r="Z13" s="94"/>
      <c r="AA13" s="94"/>
      <c r="AB13" s="94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6"/>
      <c r="AO13" s="117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4"/>
      <c r="R14" s="101"/>
      <c r="S14" s="102"/>
      <c r="T14" s="102"/>
      <c r="U14" s="103"/>
      <c r="V14" s="104"/>
      <c r="W14" s="93"/>
      <c r="X14" s="93"/>
      <c r="Y14" s="93"/>
      <c r="Z14" s="94"/>
      <c r="AA14" s="94"/>
      <c r="AB14" s="94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6"/>
      <c r="AO14" s="117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4"/>
      <c r="R15" s="95" t="str">
        <f>"  2)  " &amp; VLOOKUP(2,$AC$10:$AK$29,2,0)</f>
        <v xml:space="preserve">  2)  COREA DEL SUR</v>
      </c>
      <c r="S15" s="96"/>
      <c r="T15" s="96"/>
      <c r="U15" s="96"/>
      <c r="V15" s="104">
        <f>VLOOKUP(2,$AC$10:$AK$29,3,0)</f>
        <v>0</v>
      </c>
      <c r="W15" s="93">
        <f>VLOOKUP(2,$AC$10:$AK$29,4,0)</f>
        <v>0</v>
      </c>
      <c r="X15" s="93">
        <f>VLOOKUP(2,$AC$10:$AK$29,5,0)</f>
        <v>0</v>
      </c>
      <c r="Y15" s="93">
        <f>VLOOKUP(2,$AC$10:$AK$29,6,0)</f>
        <v>0</v>
      </c>
      <c r="Z15" s="94">
        <f>VLOOKUP(2,$AC$10:$AK$29,7,0)</f>
        <v>0</v>
      </c>
      <c r="AA15" s="94">
        <f>VLOOKUP(2,$AC$10:$AK$29,8,0)</f>
        <v>0</v>
      </c>
      <c r="AB15" s="94">
        <f>VLOOKUP(2,$AC$10:$AK$29,9,0)</f>
        <v>0</v>
      </c>
      <c r="AC15" s="79">
        <f>RANK(AL15,$AL$10:$AL$29,0)</f>
        <v>2</v>
      </c>
      <c r="AD15" s="79" t="str">
        <f>N8</f>
        <v>COREA DEL SUR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0</v>
      </c>
      <c r="AI15" s="79">
        <f>K8+I16+I28</f>
        <v>0</v>
      </c>
      <c r="AJ15" s="79">
        <f>I8+K16+K28</f>
        <v>0</v>
      </c>
      <c r="AK15" s="79">
        <f>AI15-AJ15</f>
        <v>0</v>
      </c>
      <c r="AL15" s="79">
        <f>(AE15*1000)+(AK15*100)+(AI15*10)+3+vcp</f>
        <v>3</v>
      </c>
      <c r="AM15" s="79">
        <f>AL15-3</f>
        <v>0</v>
      </c>
      <c r="AN15" s="116"/>
      <c r="AO15" s="118" t="str">
        <f>IF(AL8=1,IF(R37="","",R37),IF(SUM(V10:V29)&gt;0,VLOOKUP(2,AC10:AD29,2,0),""))</f>
        <v/>
      </c>
    </row>
    <row r="16" spans="2:44" ht="7.5" customHeight="1" x14ac:dyDescent="0.25">
      <c r="B16" s="86">
        <v>30</v>
      </c>
      <c r="C16" s="87">
        <f>VLOOKUP(B16,FechaHora,2,0) + VLOOKUP(UTCElegido,TablaUTC,3,0)</f>
        <v>44893.666666666664</v>
      </c>
      <c r="D16" s="88">
        <f>VLOOKUP(B16,FechaHora,2,0) + VLOOKUP(UTCElegido,TablaUTC,3,0)</f>
        <v>44893.666666666664</v>
      </c>
      <c r="E16" s="26"/>
      <c r="F16" s="89" t="s">
        <v>84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">
        <v>85</v>
      </c>
      <c r="O16" s="26"/>
      <c r="P16" s="73" t="s">
        <v>146</v>
      </c>
      <c r="R16" s="98"/>
      <c r="S16" s="99"/>
      <c r="T16" s="99"/>
      <c r="U16" s="99"/>
      <c r="V16" s="104"/>
      <c r="W16" s="93"/>
      <c r="X16" s="93"/>
      <c r="Y16" s="93"/>
      <c r="Z16" s="94"/>
      <c r="AA16" s="94"/>
      <c r="AB16" s="94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6"/>
      <c r="AO16" s="118"/>
    </row>
    <row r="17" spans="2:41" ht="7.5" customHeight="1" x14ac:dyDescent="0.25">
      <c r="B17" s="86"/>
      <c r="C17" s="76"/>
      <c r="D17" s="76"/>
      <c r="E17" s="26"/>
      <c r="F17" s="89"/>
      <c r="G17" s="69"/>
      <c r="H17" s="28"/>
      <c r="I17" s="71"/>
      <c r="J17" s="69"/>
      <c r="K17" s="71"/>
      <c r="L17" s="69"/>
      <c r="M17" s="27"/>
      <c r="N17" s="72"/>
      <c r="O17" s="26"/>
      <c r="P17" s="73"/>
      <c r="R17" s="98"/>
      <c r="S17" s="99"/>
      <c r="T17" s="99"/>
      <c r="U17" s="99"/>
      <c r="V17" s="104"/>
      <c r="W17" s="93"/>
      <c r="X17" s="93"/>
      <c r="Y17" s="93"/>
      <c r="Z17" s="94"/>
      <c r="AA17" s="94"/>
      <c r="AB17" s="94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6"/>
      <c r="AO17" s="118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24"/>
      <c r="R18" s="98"/>
      <c r="S18" s="99"/>
      <c r="T18" s="99"/>
      <c r="U18" s="99"/>
      <c r="V18" s="104"/>
      <c r="W18" s="93"/>
      <c r="X18" s="93"/>
      <c r="Y18" s="93"/>
      <c r="Z18" s="94"/>
      <c r="AA18" s="94"/>
      <c r="AB18" s="94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6"/>
      <c r="AO18" s="118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24"/>
      <c r="R19" s="101"/>
      <c r="S19" s="102"/>
      <c r="T19" s="102"/>
      <c r="U19" s="102"/>
      <c r="V19" s="104"/>
      <c r="W19" s="93"/>
      <c r="X19" s="93"/>
      <c r="Y19" s="93"/>
      <c r="Z19" s="94"/>
      <c r="AA19" s="94"/>
      <c r="AB19" s="94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6"/>
      <c r="AO19" s="118"/>
    </row>
    <row r="20" spans="2:41" ht="7.5" customHeight="1" x14ac:dyDescent="0.25">
      <c r="B20" s="86">
        <v>32</v>
      </c>
      <c r="C20" s="87">
        <f>VLOOKUP(B20,FechaHora,2,0) + VLOOKUP(UTCElegido,TablaUTC,3,0)</f>
        <v>44893.916666666664</v>
      </c>
      <c r="D20" s="88">
        <f>VLOOKUP(B20,FechaHora,2,0) + VLOOKUP(UTCElegido,TablaUTC,3,0)</f>
        <v>44893.916666666664</v>
      </c>
      <c r="E20" s="26"/>
      <c r="F20" s="89" t="s">
        <v>21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">
        <v>14</v>
      </c>
      <c r="O20" s="26"/>
      <c r="P20" s="122" t="s">
        <v>145</v>
      </c>
      <c r="R20" s="80" t="str">
        <f>"  3)  " &amp; VLOOKUP(3,$AC$10:$AK$29,2,0)</f>
        <v xml:space="preserve">  3)  PORTUGAL</v>
      </c>
      <c r="S20" s="81"/>
      <c r="T20" s="81"/>
      <c r="U20" s="81"/>
      <c r="V20" s="92">
        <f>VLOOKUP(3,$AC$10:$AK$29,3,0)</f>
        <v>0</v>
      </c>
      <c r="W20" s="90">
        <f>VLOOKUP(3,$AC$10:$AK$29,4,0)</f>
        <v>0</v>
      </c>
      <c r="X20" s="90">
        <f>VLOOKUP(3,$AC$10:$AK$29,5,0)</f>
        <v>0</v>
      </c>
      <c r="Y20" s="90">
        <f>VLOOKUP(3,$AC$10:$AK$29,6,0)</f>
        <v>0</v>
      </c>
      <c r="Z20" s="91">
        <f>VLOOKUP(3,$AC$10:$AK$29,7,0)</f>
        <v>0</v>
      </c>
      <c r="AA20" s="91">
        <f>VLOOKUP(3,$AC$10:$AK$29,8,0)</f>
        <v>0</v>
      </c>
      <c r="AB20" s="91">
        <f>VLOOKUP(3,$AC$10:$AK$29,9,0)</f>
        <v>0</v>
      </c>
      <c r="AC20" s="79">
        <f>RANK(AL20,$AL$10:$AL$29,0)</f>
        <v>3</v>
      </c>
      <c r="AD20" s="79" t="str">
        <f>F12</f>
        <v>PORTUGAL</v>
      </c>
      <c r="AE20" s="79">
        <f t="shared" ref="AE20" si="1">(AF20*3)+AG20</f>
        <v>0</v>
      </c>
      <c r="AF20" s="79">
        <f>COUNTIF(I34:K34,"G")</f>
        <v>0</v>
      </c>
      <c r="AG20" s="79">
        <f>COUNTIF(I34:K34,"E")</f>
        <v>0</v>
      </c>
      <c r="AH20" s="79">
        <f>COUNTIF(I34:K34,"P")</f>
        <v>0</v>
      </c>
      <c r="AI20" s="79">
        <f>I12+I20+K28</f>
        <v>0</v>
      </c>
      <c r="AJ20" s="79">
        <f>K12+K20+I28</f>
        <v>0</v>
      </c>
      <c r="AK20" s="79">
        <f t="shared" ref="AK20" si="2">AI20-AJ20</f>
        <v>0</v>
      </c>
      <c r="AL20" s="79">
        <f>(AE20*1000)+(AK20*100)+(AI20*10)+2+vcp</f>
        <v>2</v>
      </c>
      <c r="AM20" s="79">
        <f>AL20-2</f>
        <v>0</v>
      </c>
      <c r="AN20" s="116"/>
      <c r="AO20" s="119"/>
    </row>
    <row r="21" spans="2:41" ht="7.5" customHeight="1" x14ac:dyDescent="0.25">
      <c r="B21" s="86"/>
      <c r="C21" s="76"/>
      <c r="D21" s="76"/>
      <c r="E21" s="26"/>
      <c r="F21" s="89"/>
      <c r="G21" s="69"/>
      <c r="H21" s="28"/>
      <c r="I21" s="71"/>
      <c r="J21" s="69"/>
      <c r="K21" s="71"/>
      <c r="L21" s="69"/>
      <c r="M21" s="27"/>
      <c r="N21" s="72"/>
      <c r="O21" s="26"/>
      <c r="P21" s="122"/>
      <c r="R21" s="82"/>
      <c r="S21" s="83"/>
      <c r="T21" s="83"/>
      <c r="U21" s="83"/>
      <c r="V21" s="92"/>
      <c r="W21" s="90"/>
      <c r="X21" s="90"/>
      <c r="Y21" s="90"/>
      <c r="Z21" s="91"/>
      <c r="AA21" s="91"/>
      <c r="AB21" s="91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6"/>
      <c r="AO21" s="120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2"/>
      <c r="W22" s="90"/>
      <c r="X22" s="90"/>
      <c r="Y22" s="90"/>
      <c r="Z22" s="91"/>
      <c r="AA22" s="91"/>
      <c r="AB22" s="91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6"/>
      <c r="AO22" s="120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2"/>
      <c r="W23" s="90"/>
      <c r="X23" s="90"/>
      <c r="Y23" s="90"/>
      <c r="Z23" s="91"/>
      <c r="AA23" s="91"/>
      <c r="AB23" s="91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6"/>
      <c r="AO23" s="120"/>
    </row>
    <row r="24" spans="2:41" ht="7.5" customHeight="1" x14ac:dyDescent="0.25">
      <c r="B24" s="86">
        <v>45</v>
      </c>
      <c r="C24" s="87">
        <f>VLOOKUP(B24,FechaHora,2,0) + VLOOKUP(UTCElegido,TablaUTC,3,0)</f>
        <v>44897.75</v>
      </c>
      <c r="D24" s="88">
        <f>VLOOKUP(B24,FechaHora,2,0) + VLOOKUP(UTCElegido,TablaUTC,3,0)</f>
        <v>44897.75</v>
      </c>
      <c r="E24" s="26"/>
      <c r="F24" s="89" t="s">
        <v>85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14</v>
      </c>
      <c r="O24" s="26"/>
      <c r="P24" s="122" t="s">
        <v>81</v>
      </c>
      <c r="R24" s="84"/>
      <c r="S24" s="85"/>
      <c r="T24" s="85"/>
      <c r="U24" s="85"/>
      <c r="V24" s="92"/>
      <c r="W24" s="90"/>
      <c r="X24" s="90"/>
      <c r="Y24" s="90"/>
      <c r="Z24" s="91"/>
      <c r="AA24" s="91"/>
      <c r="AB24" s="91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6"/>
      <c r="AO24" s="121"/>
    </row>
    <row r="25" spans="2:41" ht="7.5" customHeight="1" x14ac:dyDescent="0.25">
      <c r="B25" s="86"/>
      <c r="C25" s="76"/>
      <c r="D25" s="76"/>
      <c r="E25" s="26"/>
      <c r="F25" s="89"/>
      <c r="G25" s="69"/>
      <c r="H25" s="28"/>
      <c r="I25" s="71"/>
      <c r="J25" s="69"/>
      <c r="K25" s="71"/>
      <c r="L25" s="69"/>
      <c r="M25" s="27"/>
      <c r="N25" s="72"/>
      <c r="O25" s="26"/>
      <c r="P25" s="122"/>
      <c r="R25" s="80" t="str">
        <f>"  4)  " &amp; VLOOKUP(4,$AC$10:$AK$29,2,0)</f>
        <v xml:space="preserve">  4)  GHANA</v>
      </c>
      <c r="S25" s="81"/>
      <c r="T25" s="81"/>
      <c r="U25" s="81"/>
      <c r="V25" s="92">
        <f>VLOOKUP(4,$AC$10:$AK$29,3,0)</f>
        <v>0</v>
      </c>
      <c r="W25" s="90">
        <f>VLOOKUP(4,$AC$10:$AK$29,4,0)</f>
        <v>0</v>
      </c>
      <c r="X25" s="90">
        <f>VLOOKUP(4,$AC$10:$AK$29,5,0)</f>
        <v>0</v>
      </c>
      <c r="Y25" s="90">
        <f>VLOOKUP(4,$AC$10:$AK$29,6,0)</f>
        <v>0</v>
      </c>
      <c r="Z25" s="91">
        <f>VLOOKUP(4,$AC$10:$AK$29,7,0)</f>
        <v>0</v>
      </c>
      <c r="AA25" s="91">
        <f>VLOOKUP(4,$AC$10:$AK$29,8,0)</f>
        <v>0</v>
      </c>
      <c r="AB25" s="91">
        <f>VLOOKUP(4,$AC$10:$AK$29,9,0)</f>
        <v>0</v>
      </c>
      <c r="AC25" s="79">
        <f>RANK(AL25,$AL$10:$AL$29,0)</f>
        <v>4</v>
      </c>
      <c r="AD25" s="79" t="str">
        <f>N12</f>
        <v>GHANA</v>
      </c>
      <c r="AE25" s="79">
        <f t="shared" ref="AE25" si="3">(AF25*3)+AG25</f>
        <v>0</v>
      </c>
      <c r="AF25" s="79">
        <f>COUNTIF(I35:K35,"G")</f>
        <v>0</v>
      </c>
      <c r="AG25" s="79">
        <f>COUNTIF(I35:K35,"E")</f>
        <v>0</v>
      </c>
      <c r="AH25" s="79">
        <f>COUNTIF(I35:K35,"P")</f>
        <v>0</v>
      </c>
      <c r="AI25" s="79">
        <f>K12+K16+I24</f>
        <v>0</v>
      </c>
      <c r="AJ25" s="79">
        <f>I12+I16+K24</f>
        <v>0</v>
      </c>
      <c r="AK25" s="79">
        <f t="shared" ref="AK25" si="4">AI25-AJ25</f>
        <v>0</v>
      </c>
      <c r="AL25" s="79">
        <f>(AE25*1000)+(AK25*100)+(AI25*10)+1+vcp</f>
        <v>1</v>
      </c>
      <c r="AM25" s="79">
        <f>AL25-1</f>
        <v>0</v>
      </c>
      <c r="AN25" s="116"/>
      <c r="AO25" s="119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2"/>
      <c r="W26" s="90"/>
      <c r="X26" s="90"/>
      <c r="Y26" s="90"/>
      <c r="Z26" s="91"/>
      <c r="AA26" s="91"/>
      <c r="AB26" s="91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6"/>
      <c r="AO26" s="120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2"/>
      <c r="W27" s="90"/>
      <c r="X27" s="90"/>
      <c r="Y27" s="90"/>
      <c r="Z27" s="91"/>
      <c r="AA27" s="91"/>
      <c r="AB27" s="91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6"/>
      <c r="AO27" s="120"/>
    </row>
    <row r="28" spans="2:41" ht="7.5" customHeight="1" x14ac:dyDescent="0.25">
      <c r="B28" s="86">
        <v>46</v>
      </c>
      <c r="C28" s="87">
        <f>VLOOKUP(B28,FechaHora,2,0) + VLOOKUP(UTCElegido,TablaUTC,3,0)</f>
        <v>44897.75</v>
      </c>
      <c r="D28" s="88">
        <f>VLOOKUP(B28,FechaHora,2,0) + VLOOKUP(UTCElegido,TablaUTC,3,0)</f>
        <v>44897.75</v>
      </c>
      <c r="E28" s="26"/>
      <c r="F28" s="89" t="s">
        <v>84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21</v>
      </c>
      <c r="O28" s="26"/>
      <c r="P28" s="73" t="s">
        <v>146</v>
      </c>
      <c r="R28" s="82"/>
      <c r="S28" s="83"/>
      <c r="T28" s="83"/>
      <c r="U28" s="83"/>
      <c r="V28" s="92"/>
      <c r="W28" s="90"/>
      <c r="X28" s="90"/>
      <c r="Y28" s="90"/>
      <c r="Z28" s="91"/>
      <c r="AA28" s="91"/>
      <c r="AB28" s="91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6"/>
      <c r="AO28" s="120"/>
    </row>
    <row r="29" spans="2:41" ht="7.5" customHeight="1" x14ac:dyDescent="0.25">
      <c r="B29" s="86"/>
      <c r="C29" s="76"/>
      <c r="D29" s="76"/>
      <c r="E29" s="26"/>
      <c r="F29" s="89"/>
      <c r="G29" s="69"/>
      <c r="H29" s="28"/>
      <c r="I29" s="71"/>
      <c r="J29" s="69"/>
      <c r="K29" s="71"/>
      <c r="L29" s="69"/>
      <c r="M29" s="27"/>
      <c r="N29" s="72"/>
      <c r="O29" s="26"/>
      <c r="P29" s="73"/>
      <c r="R29" s="84"/>
      <c r="S29" s="85"/>
      <c r="T29" s="85"/>
      <c r="U29" s="85"/>
      <c r="V29" s="92"/>
      <c r="W29" s="90"/>
      <c r="X29" s="90"/>
      <c r="Y29" s="90"/>
      <c r="Z29" s="91"/>
      <c r="AA29" s="91"/>
      <c r="AB29" s="91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6"/>
      <c r="AO29" s="121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6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URUGUAY</v>
      </c>
      <c r="I32" t="str">
        <f>G8</f>
        <v/>
      </c>
      <c r="J32" t="str">
        <f>L20</f>
        <v/>
      </c>
      <c r="K32" t="str">
        <f>L24</f>
        <v/>
      </c>
    </row>
    <row r="33" spans="6:21" hidden="1" x14ac:dyDescent="0.25">
      <c r="F33" t="str">
        <f>N8</f>
        <v>COREA DEL SUR</v>
      </c>
      <c r="I33" t="str">
        <f>L8</f>
        <v/>
      </c>
      <c r="J33" t="str">
        <f>G16</f>
        <v/>
      </c>
      <c r="K33" t="str">
        <f>G28</f>
        <v/>
      </c>
    </row>
    <row r="34" spans="6:21" hidden="1" x14ac:dyDescent="0.25">
      <c r="F34" t="str">
        <f>F12</f>
        <v>PORTUGAL</v>
      </c>
      <c r="I34" t="str">
        <f>G12</f>
        <v/>
      </c>
      <c r="J34" t="str">
        <f>G20</f>
        <v/>
      </c>
      <c r="K34" t="str">
        <f>L28</f>
        <v/>
      </c>
    </row>
    <row r="35" spans="6:21" hidden="1" x14ac:dyDescent="0.25">
      <c r="F35" t="str">
        <f>N12</f>
        <v>GHANA</v>
      </c>
      <c r="I35" t="str">
        <f>L12</f>
        <v/>
      </c>
      <c r="J35" t="str">
        <f>L16</f>
        <v/>
      </c>
      <c r="K35" t="str">
        <f>G24</f>
        <v/>
      </c>
    </row>
    <row r="36" spans="6:21" x14ac:dyDescent="0.25">
      <c r="N36" s="61" t="str">
        <f>IF(AL8=1,"Indica manuamente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D14:D15"/>
    <mergeCell ref="AF15:AF19"/>
    <mergeCell ref="AG15:AG19"/>
    <mergeCell ref="AH15:AH19"/>
    <mergeCell ref="AI15:AI19"/>
    <mergeCell ref="AJ8:AJ9"/>
    <mergeCell ref="AK8:AK9"/>
    <mergeCell ref="AL8:AL9"/>
    <mergeCell ref="R38:U38"/>
    <mergeCell ref="W10:W14"/>
    <mergeCell ref="AB8:AB9"/>
    <mergeCell ref="AF8:AF9"/>
    <mergeCell ref="AG8:AG9"/>
    <mergeCell ref="AH8:AH9"/>
    <mergeCell ref="AI8:AI9"/>
    <mergeCell ref="AE8:AE9"/>
    <mergeCell ref="F14:F15"/>
    <mergeCell ref="I14:I15"/>
    <mergeCell ref="J14:J15"/>
    <mergeCell ref="R10:U14"/>
    <mergeCell ref="AC10:AC14"/>
    <mergeCell ref="F12:F13"/>
    <mergeCell ref="G12:G13"/>
    <mergeCell ref="AC8:AC9"/>
    <mergeCell ref="AO15:AO19"/>
    <mergeCell ref="AO10:AO14"/>
    <mergeCell ref="AN20:AN24"/>
    <mergeCell ref="AN15:AN19"/>
    <mergeCell ref="AN10:AN14"/>
    <mergeCell ref="AN25:AN29"/>
    <mergeCell ref="AO20:AO24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L20:AL24"/>
    <mergeCell ref="AM20:AM24"/>
    <mergeCell ref="AF10:AF14"/>
    <mergeCell ref="AE10:AE14"/>
    <mergeCell ref="AD10:AD14"/>
    <mergeCell ref="X15:X19"/>
    <mergeCell ref="Y15:Y19"/>
    <mergeCell ref="Z15:Z19"/>
    <mergeCell ref="AM15:AM19"/>
    <mergeCell ref="AK10:AK14"/>
    <mergeCell ref="AJ15:AJ19"/>
    <mergeCell ref="AK15:AK19"/>
    <mergeCell ref="AD15:AD19"/>
    <mergeCell ref="AE15:AE19"/>
    <mergeCell ref="P10:P11"/>
    <mergeCell ref="P14:P15"/>
    <mergeCell ref="P16:P17"/>
    <mergeCell ref="P18:P19"/>
    <mergeCell ref="AA15:AA19"/>
    <mergeCell ref="AB15:AB19"/>
    <mergeCell ref="AC15:AC19"/>
    <mergeCell ref="W8:W9"/>
    <mergeCell ref="X8:X9"/>
    <mergeCell ref="Y8:Y9"/>
    <mergeCell ref="Z8:Z9"/>
    <mergeCell ref="AA8:AA9"/>
    <mergeCell ref="Y10:Y14"/>
    <mergeCell ref="Z10:Z14"/>
    <mergeCell ref="AA10:AA14"/>
    <mergeCell ref="AB10:AB14"/>
    <mergeCell ref="B10:B11"/>
    <mergeCell ref="C10:C11"/>
    <mergeCell ref="D10:D11"/>
    <mergeCell ref="F10:F11"/>
    <mergeCell ref="I10:I11"/>
    <mergeCell ref="J10:J11"/>
    <mergeCell ref="K10:K11"/>
    <mergeCell ref="L12:L13"/>
    <mergeCell ref="T1:X1"/>
    <mergeCell ref="E6:O6"/>
    <mergeCell ref="R6:AB6"/>
    <mergeCell ref="N12:N13"/>
    <mergeCell ref="P12:P13"/>
    <mergeCell ref="P8:P9"/>
    <mergeCell ref="D8:D9"/>
    <mergeCell ref="F8:F9"/>
    <mergeCell ref="G8:G9"/>
    <mergeCell ref="I8:I9"/>
    <mergeCell ref="J8:J9"/>
    <mergeCell ref="K8:K9"/>
    <mergeCell ref="L8:L9"/>
    <mergeCell ref="N8:N9"/>
    <mergeCell ref="R8:U9"/>
    <mergeCell ref="V8:V9"/>
    <mergeCell ref="N10:N11"/>
    <mergeCell ref="V10:V14"/>
    <mergeCell ref="K14:K15"/>
    <mergeCell ref="N14:N15"/>
    <mergeCell ref="R15:U19"/>
    <mergeCell ref="V15:V19"/>
    <mergeCell ref="K12:K13"/>
    <mergeCell ref="K16:K17"/>
    <mergeCell ref="W15:W19"/>
    <mergeCell ref="B8:B9"/>
    <mergeCell ref="C8:C9"/>
    <mergeCell ref="L16:L17"/>
    <mergeCell ref="N16:N17"/>
    <mergeCell ref="B18:B19"/>
    <mergeCell ref="C18:C19"/>
    <mergeCell ref="B16:B17"/>
    <mergeCell ref="C16:C17"/>
    <mergeCell ref="D16:D17"/>
    <mergeCell ref="F16:F17"/>
    <mergeCell ref="G16:G17"/>
    <mergeCell ref="I16:I17"/>
    <mergeCell ref="D18:D19"/>
    <mergeCell ref="F18:F19"/>
    <mergeCell ref="I18:I19"/>
    <mergeCell ref="J18:J19"/>
    <mergeCell ref="K18:K19"/>
    <mergeCell ref="N18:N19"/>
    <mergeCell ref="B12:B13"/>
    <mergeCell ref="C12:C13"/>
    <mergeCell ref="D12:D13"/>
    <mergeCell ref="I12:I13"/>
    <mergeCell ref="J12:J13"/>
    <mergeCell ref="J16:J17"/>
    <mergeCell ref="B20:B21"/>
    <mergeCell ref="C20:C21"/>
    <mergeCell ref="D20:D21"/>
    <mergeCell ref="F20:F21"/>
    <mergeCell ref="G20:G21"/>
    <mergeCell ref="I20:I21"/>
    <mergeCell ref="B14:B15"/>
    <mergeCell ref="C14:C15"/>
    <mergeCell ref="AL25:AL29"/>
    <mergeCell ref="V20:V24"/>
    <mergeCell ref="W20:W24"/>
    <mergeCell ref="X20:X24"/>
    <mergeCell ref="Y20:Y24"/>
    <mergeCell ref="Z20:Z24"/>
    <mergeCell ref="AA20:AA24"/>
    <mergeCell ref="V25:V29"/>
    <mergeCell ref="P20:P21"/>
    <mergeCell ref="AK20:AK24"/>
    <mergeCell ref="J20:J21"/>
    <mergeCell ref="K20:K21"/>
    <mergeCell ref="L20:L21"/>
    <mergeCell ref="N20:N21"/>
    <mergeCell ref="AI25:AI29"/>
    <mergeCell ref="AJ25:AJ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G24:G25"/>
    <mergeCell ref="I24:I25"/>
    <mergeCell ref="F28:F29"/>
    <mergeCell ref="AK25:AK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4:B25"/>
    <mergeCell ref="P22:P23"/>
    <mergeCell ref="J24:J25"/>
    <mergeCell ref="C24:C25"/>
    <mergeCell ref="D24:D25"/>
    <mergeCell ref="F24:F25"/>
    <mergeCell ref="R37:U37"/>
    <mergeCell ref="J28:J29"/>
    <mergeCell ref="K28:K29"/>
    <mergeCell ref="L28:L29"/>
    <mergeCell ref="N28:N29"/>
    <mergeCell ref="R36:U36"/>
    <mergeCell ref="J26:J27"/>
    <mergeCell ref="K26:K27"/>
    <mergeCell ref="N26:N27"/>
    <mergeCell ref="P26:P27"/>
    <mergeCell ref="P28:P29"/>
  </mergeCells>
  <conditionalFormatting sqref="I8:I9">
    <cfRule type="expression" dxfId="181" priority="35">
      <formula>G8="P"</formula>
    </cfRule>
    <cfRule type="expression" dxfId="180" priority="36">
      <formula>G8="E"</formula>
    </cfRule>
    <cfRule type="expression" dxfId="179" priority="37">
      <formula>G8="G"</formula>
    </cfRule>
  </conditionalFormatting>
  <conditionalFormatting sqref="K24:K25">
    <cfRule type="expression" dxfId="178" priority="32">
      <formula>L24="P"</formula>
    </cfRule>
    <cfRule type="expression" dxfId="177" priority="33">
      <formula>L24="E"</formula>
    </cfRule>
    <cfRule type="expression" dxfId="176" priority="34">
      <formula>L24="G"</formula>
    </cfRule>
  </conditionalFormatting>
  <conditionalFormatting sqref="K20:K21">
    <cfRule type="expression" dxfId="175" priority="29">
      <formula>L20="P"</formula>
    </cfRule>
    <cfRule type="expression" dxfId="174" priority="30">
      <formula>L20="E"</formula>
    </cfRule>
    <cfRule type="expression" dxfId="173" priority="31">
      <formula>L20="G"</formula>
    </cfRule>
  </conditionalFormatting>
  <conditionalFormatting sqref="K16:K17">
    <cfRule type="expression" dxfId="172" priority="26">
      <formula>L16="P"</formula>
    </cfRule>
    <cfRule type="expression" dxfId="171" priority="27">
      <formula>L16="E"</formula>
    </cfRule>
    <cfRule type="expression" dxfId="170" priority="28">
      <formula>L16="G"</formula>
    </cfRule>
  </conditionalFormatting>
  <conditionalFormatting sqref="K12:K13">
    <cfRule type="expression" dxfId="169" priority="23">
      <formula>L12="P"</formula>
    </cfRule>
    <cfRule type="expression" dxfId="168" priority="24">
      <formula>L12="E"</formula>
    </cfRule>
    <cfRule type="expression" dxfId="167" priority="25">
      <formula>L12="G"</formula>
    </cfRule>
  </conditionalFormatting>
  <conditionalFormatting sqref="K8:K9">
    <cfRule type="expression" dxfId="166" priority="20">
      <formula>L8="P"</formula>
    </cfRule>
    <cfRule type="expression" dxfId="165" priority="21">
      <formula>L8="E"</formula>
    </cfRule>
    <cfRule type="expression" dxfId="164" priority="22">
      <formula>L8="G"</formula>
    </cfRule>
  </conditionalFormatting>
  <conditionalFormatting sqref="K28:K29">
    <cfRule type="expression" dxfId="163" priority="17">
      <formula>L28="P"</formula>
    </cfRule>
    <cfRule type="expression" dxfId="162" priority="18">
      <formula>L28="E"</formula>
    </cfRule>
    <cfRule type="expression" dxfId="161" priority="19">
      <formula>L28="G"</formula>
    </cfRule>
  </conditionalFormatting>
  <conditionalFormatting sqref="I12:I13">
    <cfRule type="expression" dxfId="160" priority="14">
      <formula>G12="P"</formula>
    </cfRule>
    <cfRule type="expression" dxfId="159" priority="15">
      <formula>G12="E"</formula>
    </cfRule>
    <cfRule type="expression" dxfId="158" priority="16">
      <formula>G12="G"</formula>
    </cfRule>
  </conditionalFormatting>
  <conditionalFormatting sqref="I16:I17">
    <cfRule type="expression" dxfId="157" priority="11">
      <formula>G16="P"</formula>
    </cfRule>
    <cfRule type="expression" dxfId="156" priority="12">
      <formula>G16="E"</formula>
    </cfRule>
    <cfRule type="expression" dxfId="155" priority="13">
      <formula>G16="G"</formula>
    </cfRule>
  </conditionalFormatting>
  <conditionalFormatting sqref="I20:I21">
    <cfRule type="expression" dxfId="154" priority="8">
      <formula>G20="P"</formula>
    </cfRule>
    <cfRule type="expression" dxfId="153" priority="9">
      <formula>G20="E"</formula>
    </cfRule>
    <cfRule type="expression" dxfId="152" priority="10">
      <formula>G20="G"</formula>
    </cfRule>
  </conditionalFormatting>
  <conditionalFormatting sqref="I24:I25">
    <cfRule type="expression" dxfId="151" priority="5">
      <formula>G24="P"</formula>
    </cfRule>
    <cfRule type="expression" dxfId="150" priority="6">
      <formula>G24="E"</formula>
    </cfRule>
    <cfRule type="expression" dxfId="149" priority="7">
      <formula>G24="G"</formula>
    </cfRule>
  </conditionalFormatting>
  <conditionalFormatting sqref="I28:I29">
    <cfRule type="expression" dxfId="148" priority="2">
      <formula>G28="P"</formula>
    </cfRule>
    <cfRule type="expression" dxfId="147" priority="3">
      <formula>G28="E"</formula>
    </cfRule>
    <cfRule type="expression" dxfId="146" priority="4">
      <formula>G28="G"</formula>
    </cfRule>
  </conditionalFormatting>
  <conditionalFormatting sqref="R36:U38">
    <cfRule type="expression" dxfId="145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8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71</vt:i4>
      </vt:variant>
    </vt:vector>
  </HeadingPairs>
  <TitlesOfParts>
    <vt:vector size="87" baseType="lpstr">
      <vt:lpstr>Índice</vt:lpstr>
      <vt:lpstr>A</vt:lpstr>
      <vt:lpstr>B</vt:lpstr>
      <vt:lpstr>C</vt:lpstr>
      <vt:lpstr>D</vt:lpstr>
      <vt:lpstr>E</vt:lpstr>
      <vt:lpstr>F</vt:lpstr>
      <vt:lpstr>G</vt:lpstr>
      <vt:lpstr>H</vt:lpstr>
      <vt:lpstr>OCTAVOS</vt:lpstr>
      <vt:lpstr>CUARTOS</vt:lpstr>
      <vt:lpstr>SEMIFINALES</vt:lpstr>
      <vt:lpstr>DEFINICIÓN</vt:lpstr>
      <vt:lpstr>Extra</vt:lpstr>
      <vt:lpstr>UTC</vt:lpstr>
      <vt:lpstr>Copyright</vt:lpstr>
      <vt:lpstr>ALEMANIA</vt:lpstr>
      <vt:lpstr>ARABIA_SAUDITA</vt:lpstr>
      <vt:lpstr>ARGENTINA</vt:lpstr>
      <vt:lpstr>AUSTRALIA</vt:lpstr>
      <vt:lpstr>BÉLGICA</vt:lpstr>
      <vt:lpstr>BRASIL</vt:lpstr>
      <vt:lpstr>CAMERÚN</vt:lpstr>
      <vt:lpstr>CANADÁ</vt:lpstr>
      <vt:lpstr>CATAR</vt:lpstr>
      <vt:lpstr>COREA_DEL_SUR</vt:lpstr>
      <vt:lpstr>COSTA_RICA</vt:lpstr>
      <vt:lpstr>CROACIA</vt:lpstr>
      <vt:lpstr>DINAMARCA</vt:lpstr>
      <vt:lpstr>ECUADOR</vt:lpstr>
      <vt:lpstr>ESPAÑA</vt:lpstr>
      <vt:lpstr>ESTADOS_UNIDOS</vt:lpstr>
      <vt:lpstr>FechaHora</vt:lpstr>
      <vt:lpstr>FRANCIA</vt:lpstr>
      <vt:lpstr>GALES</vt:lpstr>
      <vt:lpstr>Ganador1</vt:lpstr>
      <vt:lpstr>Ganador2</vt:lpstr>
      <vt:lpstr>Ganador3</vt:lpstr>
      <vt:lpstr>Ganador4</vt:lpstr>
      <vt:lpstr>Ganador5</vt:lpstr>
      <vt:lpstr>Ganador6</vt:lpstr>
      <vt:lpstr>Ganador7</vt:lpstr>
      <vt:lpstr>Ganador8</vt:lpstr>
      <vt:lpstr>GanadorA</vt:lpstr>
      <vt:lpstr>GanadorB</vt:lpstr>
      <vt:lpstr>GanadorC</vt:lpstr>
      <vt:lpstr>GanadorD</vt:lpstr>
      <vt:lpstr>GHANA</vt:lpstr>
      <vt:lpstr>INGLATERRA</vt:lpstr>
      <vt:lpstr>IRÁN</vt:lpstr>
      <vt:lpstr>JAPÓN</vt:lpstr>
      <vt:lpstr>ListaUTC</vt:lpstr>
      <vt:lpstr>MARRUECOS</vt:lpstr>
      <vt:lpstr>MÉXICO</vt:lpstr>
      <vt:lpstr>PAÍSES_BAJOS</vt:lpstr>
      <vt:lpstr>POLONIA</vt:lpstr>
      <vt:lpstr>PORTUGAL</vt:lpstr>
      <vt:lpstr>PrimeroA</vt:lpstr>
      <vt:lpstr>PrimeroB</vt:lpstr>
      <vt:lpstr>PrimeroC</vt:lpstr>
      <vt:lpstr>PrimeroD</vt:lpstr>
      <vt:lpstr>PrimeroE</vt:lpstr>
      <vt:lpstr>PrimeroF</vt:lpstr>
      <vt:lpstr>PrimeroG</vt:lpstr>
      <vt:lpstr>PrimeroH</vt:lpstr>
      <vt:lpstr>SegundoA</vt:lpstr>
      <vt:lpstr>SegundoB</vt:lpstr>
      <vt:lpstr>SegundoC</vt:lpstr>
      <vt:lpstr>SegundoD</vt:lpstr>
      <vt:lpstr>SegundoE</vt:lpstr>
      <vt:lpstr>SegundoF</vt:lpstr>
      <vt:lpstr>SegundoG</vt:lpstr>
      <vt:lpstr>SegundoH</vt:lpstr>
      <vt:lpstr>SemifinalG1</vt:lpstr>
      <vt:lpstr>SemifinalG2</vt:lpstr>
      <vt:lpstr>SemifinalP1</vt:lpstr>
      <vt:lpstr>SemifinalP2</vt:lpstr>
      <vt:lpstr>SENEGAL</vt:lpstr>
      <vt:lpstr>SERBIA</vt:lpstr>
      <vt:lpstr>SUIZA</vt:lpstr>
      <vt:lpstr>TablaUTC</vt:lpstr>
      <vt:lpstr>tcp</vt:lpstr>
      <vt:lpstr>TÚNEZ</vt:lpstr>
      <vt:lpstr>URUGUAY</vt:lpstr>
      <vt:lpstr>UTCElegido</vt:lpstr>
      <vt:lpstr>vacía</vt:lpstr>
      <vt:lpstr>vcp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Clases Excel</dc:creator>
  <cp:lastModifiedBy>Clases Excel</cp:lastModifiedBy>
  <dcterms:created xsi:type="dcterms:W3CDTF">2017-12-04T20:32:11Z</dcterms:created>
  <dcterms:modified xsi:type="dcterms:W3CDTF">2022-11-01T20:24:46Z</dcterms:modified>
</cp:coreProperties>
</file>