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4"/>
  </bookViews>
  <sheets>
    <sheet name="README" sheetId="5" r:id="rId1"/>
    <sheet name="Only primary (cb0)" sheetId="1" r:id="rId2"/>
    <sheet name="SCB (cb2)" sheetId="2" r:id="rId3"/>
    <sheet name="Always max (cb4)" sheetId="3" r:id="rId4"/>
    <sheet name="Prob. Uniform (cb6)" sheetId="4" r:id="rId5"/>
    <sheet name="Summary" sheetId="6" r:id="rId6"/>
    <sheet name="Proportional Fairness AM vs PU" sheetId="7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I30" i="6"/>
  <c r="G30"/>
  <c r="G29"/>
  <c r="G28"/>
  <c r="G27"/>
  <c r="F30"/>
  <c r="F29"/>
  <c r="F28"/>
  <c r="F27"/>
  <c r="E30"/>
  <c r="E29"/>
  <c r="E28"/>
  <c r="E27"/>
  <c r="D30"/>
  <c r="D29"/>
  <c r="D28"/>
  <c r="D27"/>
  <c r="C30"/>
  <c r="C29"/>
  <c r="C28"/>
  <c r="C27"/>
  <c r="H394" i="4"/>
  <c r="H393"/>
  <c r="H392"/>
  <c r="H338"/>
  <c r="H337"/>
  <c r="H336"/>
  <c r="H30" i="6" s="1"/>
  <c r="H282" i="4"/>
  <c r="H281"/>
  <c r="H280"/>
  <c r="H226"/>
  <c r="H225"/>
  <c r="H224"/>
  <c r="H170"/>
  <c r="H169"/>
  <c r="H168"/>
  <c r="H114"/>
  <c r="H113"/>
  <c r="H112"/>
  <c r="H58"/>
  <c r="H57"/>
  <c r="H56"/>
  <c r="C11" i="7"/>
  <c r="B11"/>
  <c r="C10"/>
  <c r="B10"/>
  <c r="C9"/>
  <c r="B9"/>
  <c r="C8"/>
  <c r="B8"/>
  <c r="H394" i="3" l="1"/>
  <c r="H393"/>
  <c r="H392"/>
  <c r="I29" i="6" s="1"/>
  <c r="H338" i="3"/>
  <c r="H337"/>
  <c r="H336"/>
  <c r="H29" i="6" s="1"/>
  <c r="H282" i="3"/>
  <c r="H281"/>
  <c r="H280"/>
  <c r="H226"/>
  <c r="H225"/>
  <c r="H224"/>
  <c r="H170"/>
  <c r="H169"/>
  <c r="H168"/>
  <c r="H114"/>
  <c r="H113"/>
  <c r="H112"/>
  <c r="H58"/>
  <c r="H57"/>
  <c r="H56"/>
  <c r="H394" i="2" l="1"/>
  <c r="H393"/>
  <c r="H392"/>
  <c r="I28" i="6" s="1"/>
  <c r="H338" i="2"/>
  <c r="H337"/>
  <c r="H336"/>
  <c r="H28" i="6" s="1"/>
  <c r="H282" i="2"/>
  <c r="H281"/>
  <c r="H280"/>
  <c r="H226"/>
  <c r="H225"/>
  <c r="H224"/>
  <c r="H170"/>
  <c r="H169"/>
  <c r="H168"/>
  <c r="H114"/>
  <c r="H113"/>
  <c r="H112"/>
  <c r="H58"/>
  <c r="H57"/>
  <c r="H56"/>
  <c r="H168" i="1"/>
  <c r="H169"/>
  <c r="H170"/>
  <c r="H394"/>
  <c r="H393"/>
  <c r="H392"/>
  <c r="I27" i="6" s="1"/>
  <c r="H338" i="1"/>
  <c r="H337"/>
  <c r="H336"/>
  <c r="H27" i="6" s="1"/>
  <c r="H282" i="1"/>
  <c r="H281"/>
  <c r="H280"/>
  <c r="H226"/>
  <c r="H225"/>
  <c r="H224"/>
  <c r="H114"/>
  <c r="H113"/>
  <c r="H112"/>
  <c r="H58"/>
  <c r="H57"/>
  <c r="H56"/>
  <c r="I21" i="6"/>
  <c r="D384" i="4"/>
  <c r="D382"/>
  <c r="D368"/>
  <c r="D355"/>
  <c r="D352"/>
  <c r="D350"/>
  <c r="D342"/>
  <c r="D355" i="3"/>
  <c r="D391" i="2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94" s="1"/>
  <c r="D384" i="1"/>
  <c r="D368"/>
  <c r="D355"/>
  <c r="D350"/>
  <c r="D394" s="1"/>
  <c r="D332" i="4"/>
  <c r="D311"/>
  <c r="D297"/>
  <c r="D293"/>
  <c r="D267"/>
  <c r="D257"/>
  <c r="D249"/>
  <c r="D231"/>
  <c r="D281" s="1"/>
  <c r="D209"/>
  <c r="D200"/>
  <c r="D182"/>
  <c r="D226" s="1"/>
  <c r="D331" i="3"/>
  <c r="D315"/>
  <c r="D293"/>
  <c r="D267"/>
  <c r="D246"/>
  <c r="D244"/>
  <c r="D200"/>
  <c r="D182"/>
  <c r="D335" i="2"/>
  <c r="D334"/>
  <c r="D333"/>
  <c r="D332"/>
  <c r="D331"/>
  <c r="D330"/>
  <c r="D329"/>
  <c r="D328"/>
  <c r="D327"/>
  <c r="D326"/>
  <c r="D325"/>
  <c r="D324"/>
  <c r="D323"/>
  <c r="D322"/>
  <c r="D321"/>
  <c r="D320"/>
  <c r="D319"/>
  <c r="D317"/>
  <c r="D316"/>
  <c r="D315"/>
  <c r="D314"/>
  <c r="D313"/>
  <c r="D312"/>
  <c r="D311"/>
  <c r="D310"/>
  <c r="D318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6"/>
  <c r="D195"/>
  <c r="D194"/>
  <c r="D193"/>
  <c r="D197"/>
  <c r="D191"/>
  <c r="D190"/>
  <c r="D189"/>
  <c r="D188"/>
  <c r="D192"/>
  <c r="D187"/>
  <c r="D186"/>
  <c r="D185"/>
  <c r="D184"/>
  <c r="D183"/>
  <c r="D182"/>
  <c r="D181"/>
  <c r="D180"/>
  <c r="D177"/>
  <c r="D175"/>
  <c r="D176"/>
  <c r="D174"/>
  <c r="D166"/>
  <c r="D164"/>
  <c r="D163"/>
  <c r="D158"/>
  <c r="D157"/>
  <c r="D155"/>
  <c r="D153"/>
  <c r="D150"/>
  <c r="D151"/>
  <c r="D146"/>
  <c r="D149"/>
  <c r="D143"/>
  <c r="D140"/>
  <c r="D132"/>
  <c r="D133"/>
  <c r="D131"/>
  <c r="D128"/>
  <c r="D126"/>
  <c r="D125"/>
  <c r="D124"/>
  <c r="D122"/>
  <c r="D121"/>
  <c r="D119"/>
  <c r="D120"/>
  <c r="D118"/>
  <c r="D170" s="1"/>
  <c r="D85"/>
  <c r="D70"/>
  <c r="D72"/>
  <c r="D68"/>
  <c r="D66"/>
  <c r="D62"/>
  <c r="D209" i="1"/>
  <c r="D182"/>
  <c r="D226" s="1"/>
  <c r="D154"/>
  <c r="D135"/>
  <c r="D170" s="1"/>
  <c r="F335" i="4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82" s="1"/>
  <c r="F231"/>
  <c r="F230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70" s="1"/>
  <c r="F119"/>
  <c r="F118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58" s="1"/>
  <c r="F7"/>
  <c r="F6"/>
  <c r="F335" i="3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338" s="1"/>
  <c r="F286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82" s="1"/>
  <c r="F231"/>
  <c r="F230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224" s="1"/>
  <c r="F25" i="6" s="1"/>
  <c r="F167" i="3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114" s="1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D225"/>
  <c r="E224"/>
  <c r="F21" i="6" s="1"/>
  <c r="F335" i="2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81" s="1"/>
  <c r="F231"/>
  <c r="F230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58" s="1"/>
  <c r="F7"/>
  <c r="F6"/>
  <c r="D113"/>
  <c r="D338"/>
  <c r="F394" i="4"/>
  <c r="E394"/>
  <c r="D394"/>
  <c r="C394"/>
  <c r="I10" i="6" s="1"/>
  <c r="F393" i="4"/>
  <c r="E393"/>
  <c r="D393"/>
  <c r="C393"/>
  <c r="F392"/>
  <c r="I26" i="6" s="1"/>
  <c r="E392" i="4"/>
  <c r="I22" i="6" s="1"/>
  <c r="D392" i="4"/>
  <c r="C392"/>
  <c r="I6" i="6" s="1"/>
  <c r="E338" i="4"/>
  <c r="D338"/>
  <c r="C338"/>
  <c r="H10" i="6" s="1"/>
  <c r="E337" i="4"/>
  <c r="D337"/>
  <c r="C337"/>
  <c r="E336"/>
  <c r="H22" i="6" s="1"/>
  <c r="D336" i="4"/>
  <c r="H14" i="6" s="1"/>
  <c r="H18" s="1"/>
  <c r="C336" i="4"/>
  <c r="H6" i="6" s="1"/>
  <c r="F337" i="4"/>
  <c r="E282"/>
  <c r="D282"/>
  <c r="C282"/>
  <c r="G10" i="6" s="1"/>
  <c r="E281" i="4"/>
  <c r="C281"/>
  <c r="E280"/>
  <c r="C280"/>
  <c r="G6" i="6" s="1"/>
  <c r="E226" i="4"/>
  <c r="C226"/>
  <c r="E225"/>
  <c r="C225"/>
  <c r="E224"/>
  <c r="F22" i="6" s="1"/>
  <c r="D224" i="4"/>
  <c r="C224"/>
  <c r="F14" i="6" s="1"/>
  <c r="F18" s="1"/>
  <c r="F226" i="4"/>
  <c r="E170"/>
  <c r="D170"/>
  <c r="C170"/>
  <c r="E10" i="6" s="1"/>
  <c r="E169" i="4"/>
  <c r="D169"/>
  <c r="C169"/>
  <c r="E168"/>
  <c r="D168"/>
  <c r="E14" i="6" s="1"/>
  <c r="E18" s="1"/>
  <c r="C168" i="4"/>
  <c r="E6" i="6" s="1"/>
  <c r="E114" i="4"/>
  <c r="D114"/>
  <c r="C114"/>
  <c r="D10" i="6" s="1"/>
  <c r="E113" i="4"/>
  <c r="D113"/>
  <c r="C113"/>
  <c r="E112"/>
  <c r="D22" i="6" s="1"/>
  <c r="D112" i="4"/>
  <c r="D14" i="6" s="1"/>
  <c r="D18" s="1"/>
  <c r="C112" i="4"/>
  <c r="F114"/>
  <c r="E58"/>
  <c r="D58"/>
  <c r="C58"/>
  <c r="C10" i="6" s="1"/>
  <c r="E57" i="4"/>
  <c r="D57"/>
  <c r="C57"/>
  <c r="E56"/>
  <c r="D56"/>
  <c r="C14" i="6" s="1"/>
  <c r="C18" s="1"/>
  <c r="C56" i="4"/>
  <c r="F394" i="3"/>
  <c r="E394"/>
  <c r="D394"/>
  <c r="C394"/>
  <c r="F393"/>
  <c r="E393"/>
  <c r="D393"/>
  <c r="C393"/>
  <c r="F392"/>
  <c r="I25" i="6" s="1"/>
  <c r="E392" i="3"/>
  <c r="D392"/>
  <c r="I13" i="6" s="1"/>
  <c r="I17" s="1"/>
  <c r="C392" i="3"/>
  <c r="I5" i="6" s="1"/>
  <c r="E338" i="3"/>
  <c r="D338"/>
  <c r="C338"/>
  <c r="E337"/>
  <c r="D337"/>
  <c r="C337"/>
  <c r="E336"/>
  <c r="D336"/>
  <c r="H13" i="6" s="1"/>
  <c r="H17" s="1"/>
  <c r="C336" i="3"/>
  <c r="H5" i="6" s="1"/>
  <c r="E282" i="3"/>
  <c r="D282"/>
  <c r="C282"/>
  <c r="G9" i="6" s="1"/>
  <c r="E281" i="3"/>
  <c r="D281"/>
  <c r="C281"/>
  <c r="E280"/>
  <c r="D280"/>
  <c r="G13" i="6" s="1"/>
  <c r="G17" s="1"/>
  <c r="C280" i="3"/>
  <c r="E226"/>
  <c r="D226"/>
  <c r="C226"/>
  <c r="F9" i="6" s="1"/>
  <c r="C225" i="3"/>
  <c r="D224"/>
  <c r="C224"/>
  <c r="F5" i="6" s="1"/>
  <c r="E170" i="3"/>
  <c r="D170"/>
  <c r="C170"/>
  <c r="E9" i="6" s="1"/>
  <c r="E169" i="3"/>
  <c r="D169"/>
  <c r="C169"/>
  <c r="E168"/>
  <c r="D168"/>
  <c r="E13" i="6" s="1"/>
  <c r="E17" s="1"/>
  <c r="C168" i="3"/>
  <c r="F170"/>
  <c r="E114"/>
  <c r="D114"/>
  <c r="C114"/>
  <c r="E113"/>
  <c r="D113"/>
  <c r="C113"/>
  <c r="E112"/>
  <c r="D112"/>
  <c r="D13" i="6" s="1"/>
  <c r="D17" s="1"/>
  <c r="C112" i="3"/>
  <c r="D5" i="6" s="1"/>
  <c r="E58" i="3"/>
  <c r="D58"/>
  <c r="C58"/>
  <c r="C9" i="6" s="1"/>
  <c r="E57" i="3"/>
  <c r="D57"/>
  <c r="C57"/>
  <c r="E56"/>
  <c r="C21" i="6" s="1"/>
  <c r="D56" i="3"/>
  <c r="C13" i="6" s="1"/>
  <c r="C17" s="1"/>
  <c r="C56" i="3"/>
  <c r="C5" i="6" s="1"/>
  <c r="F58" i="3"/>
  <c r="F394" i="2"/>
  <c r="E394"/>
  <c r="C394"/>
  <c r="I8" i="6" s="1"/>
  <c r="F393" i="2"/>
  <c r="E393"/>
  <c r="C393"/>
  <c r="F392"/>
  <c r="I24" i="6" s="1"/>
  <c r="E392" i="2"/>
  <c r="I20" i="6" s="1"/>
  <c r="C392" i="2"/>
  <c r="E338"/>
  <c r="C338"/>
  <c r="H8" i="6" s="1"/>
  <c r="E337" i="2"/>
  <c r="D337"/>
  <c r="C337"/>
  <c r="E336"/>
  <c r="D336"/>
  <c r="H12" i="6" s="1"/>
  <c r="H16" s="1"/>
  <c r="C336" i="2"/>
  <c r="H4" i="6" s="1"/>
  <c r="F338" i="2"/>
  <c r="E282"/>
  <c r="D282"/>
  <c r="C282"/>
  <c r="G8" i="6" s="1"/>
  <c r="E281" i="2"/>
  <c r="D281"/>
  <c r="C281"/>
  <c r="E280"/>
  <c r="D280"/>
  <c r="G12" i="6" s="1"/>
  <c r="G16" s="1"/>
  <c r="C280" i="2"/>
  <c r="G4" i="6" s="1"/>
  <c r="E226" i="2"/>
  <c r="D226"/>
  <c r="C226"/>
  <c r="F8" i="6" s="1"/>
  <c r="E225" i="2"/>
  <c r="D225"/>
  <c r="C225"/>
  <c r="E224"/>
  <c r="F20" i="6" s="1"/>
  <c r="D224" i="2"/>
  <c r="C224"/>
  <c r="F4" i="6" s="1"/>
  <c r="F226" i="2"/>
  <c r="E170"/>
  <c r="C170"/>
  <c r="E8" i="6" s="1"/>
  <c r="E169" i="2"/>
  <c r="C169"/>
  <c r="E168"/>
  <c r="C168"/>
  <c r="F170"/>
  <c r="E114"/>
  <c r="D114"/>
  <c r="C114"/>
  <c r="D8" i="6" s="1"/>
  <c r="E113" i="2"/>
  <c r="C113"/>
  <c r="E112"/>
  <c r="D20" i="6" s="1"/>
  <c r="C112" i="2"/>
  <c r="D4" i="6" s="1"/>
  <c r="F114" i="2"/>
  <c r="E58"/>
  <c r="D58"/>
  <c r="C58"/>
  <c r="E57"/>
  <c r="D57"/>
  <c r="C57"/>
  <c r="E56"/>
  <c r="D56"/>
  <c r="C56"/>
  <c r="H21" i="6"/>
  <c r="H20"/>
  <c r="G22"/>
  <c r="G21"/>
  <c r="G20"/>
  <c r="E22"/>
  <c r="E21"/>
  <c r="E20"/>
  <c r="D21"/>
  <c r="C22"/>
  <c r="C20"/>
  <c r="I14"/>
  <c r="I18" s="1"/>
  <c r="C12"/>
  <c r="C16" s="1"/>
  <c r="I9"/>
  <c r="H9"/>
  <c r="F10"/>
  <c r="D9"/>
  <c r="C8"/>
  <c r="F6"/>
  <c r="D6"/>
  <c r="C6"/>
  <c r="I4"/>
  <c r="G5"/>
  <c r="E5"/>
  <c r="E4"/>
  <c r="C4"/>
  <c r="F394" i="1"/>
  <c r="E394"/>
  <c r="C394"/>
  <c r="I7" i="6" s="1"/>
  <c r="F393" i="1"/>
  <c r="E393"/>
  <c r="C393"/>
  <c r="F392"/>
  <c r="I23" i="6" s="1"/>
  <c r="E392" i="1"/>
  <c r="I19" i="6" s="1"/>
  <c r="C392" i="1"/>
  <c r="I3" i="6" s="1"/>
  <c r="E338" i="1"/>
  <c r="D338"/>
  <c r="C338"/>
  <c r="H7" i="6" s="1"/>
  <c r="E337" i="1"/>
  <c r="D337"/>
  <c r="C337"/>
  <c r="E336"/>
  <c r="H19" i="6" s="1"/>
  <c r="D336" i="1"/>
  <c r="H11" i="6" s="1"/>
  <c r="H15" s="1"/>
  <c r="C336" i="1"/>
  <c r="H3" i="6" s="1"/>
  <c r="E282" i="1"/>
  <c r="D282"/>
  <c r="C282"/>
  <c r="G7" i="6" s="1"/>
  <c r="E281" i="1"/>
  <c r="D281"/>
  <c r="C281"/>
  <c r="E280"/>
  <c r="G19" i="6" s="1"/>
  <c r="D280" i="1"/>
  <c r="G11" i="6" s="1"/>
  <c r="G15" s="1"/>
  <c r="C280" i="1"/>
  <c r="G3" i="6" s="1"/>
  <c r="E226" i="1"/>
  <c r="C226"/>
  <c r="F7" i="6" s="1"/>
  <c r="E225" i="1"/>
  <c r="C225"/>
  <c r="E224"/>
  <c r="F19" i="6" s="1"/>
  <c r="C224" i="1"/>
  <c r="F11" i="6" s="1"/>
  <c r="F15" s="1"/>
  <c r="E170" i="1"/>
  <c r="C170"/>
  <c r="E7" i="6" s="1"/>
  <c r="E169" i="1"/>
  <c r="C169"/>
  <c r="E168"/>
  <c r="E19" i="6" s="1"/>
  <c r="C168" i="1"/>
  <c r="E3" i="6" s="1"/>
  <c r="E114" i="1"/>
  <c r="D114"/>
  <c r="C114"/>
  <c r="D7" i="6" s="1"/>
  <c r="E113" i="1"/>
  <c r="D113"/>
  <c r="C113"/>
  <c r="E112"/>
  <c r="D19" i="6" s="1"/>
  <c r="D112" i="1"/>
  <c r="D11" i="6" s="1"/>
  <c r="D15" s="1"/>
  <c r="C112" i="1"/>
  <c r="D3" i="6" s="1"/>
  <c r="F111" i="1"/>
  <c r="D57"/>
  <c r="E57"/>
  <c r="C57"/>
  <c r="D58"/>
  <c r="E58"/>
  <c r="C58"/>
  <c r="C7" i="6" s="1"/>
  <c r="D56" i="1"/>
  <c r="C11" i="6" s="1"/>
  <c r="C15" s="1"/>
  <c r="E56" i="1"/>
  <c r="C19" i="6" s="1"/>
  <c r="C56" i="1"/>
  <c r="C3" i="6" s="1"/>
  <c r="F335" i="1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25" l="1"/>
  <c r="F338"/>
  <c r="D392"/>
  <c r="I11" i="6" s="1"/>
  <c r="I15" s="1"/>
  <c r="D393" i="1"/>
  <c r="F58"/>
  <c r="F282"/>
  <c r="F168"/>
  <c r="E23" i="6" s="1"/>
  <c r="F114" i="1"/>
  <c r="F169"/>
  <c r="F226"/>
  <c r="F280"/>
  <c r="G23" i="6" s="1"/>
  <c r="F281" i="1"/>
  <c r="F336"/>
  <c r="H23" i="6" s="1"/>
  <c r="F337" i="1"/>
  <c r="F3" i="6"/>
  <c r="F56" i="1"/>
  <c r="C23" i="6" s="1"/>
  <c r="F57" i="1"/>
  <c r="F170"/>
  <c r="F112"/>
  <c r="D23" i="6" s="1"/>
  <c r="F113" i="1"/>
  <c r="F224"/>
  <c r="F23" i="6" s="1"/>
  <c r="D392" i="2"/>
  <c r="I12" i="6" s="1"/>
  <c r="I16" s="1"/>
  <c r="D393" i="2"/>
  <c r="D280" i="4"/>
  <c r="G14" i="6" s="1"/>
  <c r="G18" s="1"/>
  <c r="D225" i="4"/>
  <c r="D169" i="2"/>
  <c r="D224" i="1"/>
  <c r="D225"/>
  <c r="D168"/>
  <c r="E11" i="6" s="1"/>
  <c r="E15" s="1"/>
  <c r="D169" i="1"/>
  <c r="F13" i="6"/>
  <c r="F17" s="1"/>
  <c r="E225" i="3"/>
  <c r="D112" i="2"/>
  <c r="D12" i="6" s="1"/>
  <c r="D16" s="1"/>
  <c r="F12"/>
  <c r="F16" s="1"/>
  <c r="D168" i="2"/>
  <c r="E12" i="6" s="1"/>
  <c r="E16" s="1"/>
  <c r="F112" i="4"/>
  <c r="D26" i="6" s="1"/>
  <c r="F113" i="4"/>
  <c r="F225"/>
  <c r="F336"/>
  <c r="H26" i="6" s="1"/>
  <c r="F338" i="4"/>
  <c r="F56"/>
  <c r="C26" i="6" s="1"/>
  <c r="F57" i="4"/>
  <c r="F168"/>
  <c r="E26" i="6" s="1"/>
  <c r="F169" i="4"/>
  <c r="F280"/>
  <c r="G26" i="6" s="1"/>
  <c r="F281" i="4"/>
  <c r="F224"/>
  <c r="F26" i="6" s="1"/>
  <c r="F113" i="3"/>
  <c r="F225"/>
  <c r="F336"/>
  <c r="H25" i="6" s="1"/>
  <c r="F112" i="3"/>
  <c r="D25" i="6" s="1"/>
  <c r="F226" i="3"/>
  <c r="F337"/>
  <c r="F56"/>
  <c r="C25" i="6" s="1"/>
  <c r="F57" i="3"/>
  <c r="F168"/>
  <c r="E25" i="6" s="1"/>
  <c r="F169" i="3"/>
  <c r="F280"/>
  <c r="G25" i="6" s="1"/>
  <c r="F281" i="3"/>
  <c r="F57" i="2"/>
  <c r="F168"/>
  <c r="E24" i="6" s="1"/>
  <c r="F169" i="2"/>
  <c r="F280"/>
  <c r="G24" i="6" s="1"/>
  <c r="F282" i="2"/>
  <c r="F112"/>
  <c r="D24" i="6" s="1"/>
  <c r="F113" i="2"/>
  <c r="F224"/>
  <c r="F24" i="6" s="1"/>
  <c r="F225" i="2"/>
  <c r="F336"/>
  <c r="H24" i="6" s="1"/>
  <c r="F337" i="2"/>
  <c r="F56"/>
  <c r="C24" i="6" s="1"/>
</calcChain>
</file>

<file path=xl/sharedStrings.xml><?xml version="1.0" encoding="utf-8"?>
<sst xmlns="http://schemas.openxmlformats.org/spreadsheetml/2006/main" count="1816" uniqueCount="1453">
  <si>
    <t>N = 2</t>
  </si>
  <si>
    <t>N = 10</t>
  </si>
  <si>
    <t>N = 30</t>
  </si>
  <si>
    <t>STD</t>
  </si>
  <si>
    <t>Throughput [Mbps]</t>
  </si>
  <si>
    <t>ONLY PRIMARY</t>
  </si>
  <si>
    <t>N = 50</t>
  </si>
  <si>
    <t>Scenario</t>
  </si>
  <si>
    <t>N = 5</t>
  </si>
  <si>
    <t>N = 20</t>
  </si>
  <si>
    <t>N = 40</t>
  </si>
  <si>
    <t>Commit</t>
  </si>
  <si>
    <t>Seed</t>
  </si>
  <si>
    <t>Simulation time</t>
  </si>
  <si>
    <t>N</t>
  </si>
  <si>
    <t>AM</t>
  </si>
  <si>
    <t>OP</t>
  </si>
  <si>
    <t>SCB</t>
  </si>
  <si>
    <t>PU</t>
  </si>
  <si>
    <t>MEAN</t>
  </si>
  <si>
    <t>MIN</t>
  </si>
  <si>
    <t>Line 801:  KOMONDOR SIMULATION 'sim_seed1992_input_nodes_n2_s0_cb0.csv' (seed 1992)</t>
  </si>
  <si>
    <t>Line 809:  KOMONDOR SIMULATION 'sim_seed1992_input_nodes_n2_s10_cb0.csv' (seed 1992)</t>
  </si>
  <si>
    <t>Line 817:  KOMONDOR SIMULATION 'sim_seed1992_input_nodes_n2_s11_cb0.csv' (seed 1992)</t>
  </si>
  <si>
    <t>Line 825:  KOMONDOR SIMULATION 'sim_seed1992_input_nodes_n2_s12_cb0.csv' (seed 1992)</t>
  </si>
  <si>
    <t>Line 833:  KOMONDOR SIMULATION 'sim_seed1992_input_nodes_n2_s13_cb0.csv' (seed 1992)</t>
  </si>
  <si>
    <t>Line 841:  KOMONDOR SIMULATION 'sim_seed1992_input_nodes_n2_s14_cb0.csv' (seed 1992)</t>
  </si>
  <si>
    <t>Line 849:  KOMONDOR SIMULATION 'sim_seed1992_input_nodes_n2_s15_cb0.csv' (seed 1992)</t>
  </si>
  <si>
    <t>Line 857:  KOMONDOR SIMULATION 'sim_seed1992_input_nodes_n2_s16_cb0.csv' (seed 1992)</t>
  </si>
  <si>
    <t>Line 865:  KOMONDOR SIMULATION 'sim_seed1992_input_nodes_n2_s17_cb0.csv' (seed 1992)</t>
  </si>
  <si>
    <t>Line 873:  KOMONDOR SIMULATION 'sim_seed1992_input_nodes_n2_s18_cb0.csv' (seed 1992)</t>
  </si>
  <si>
    <t>Line 881:  KOMONDOR SIMULATION 'sim_seed1992_input_nodes_n2_s19_cb0.csv' (seed 1992)</t>
  </si>
  <si>
    <t>Line 889:  KOMONDOR SIMULATION 'sim_seed1992_input_nodes_n2_s1_cb0.csv' (seed 1992)</t>
  </si>
  <si>
    <t>Line 897:  KOMONDOR SIMULATION 'sim_seed1992_input_nodes_n2_s20_cb0.csv' (seed 1992)</t>
  </si>
  <si>
    <t>Line 905:  KOMONDOR SIMULATION 'sim_seed1992_input_nodes_n2_s21_cb0.csv' (seed 1992)</t>
  </si>
  <si>
    <t>Line 913:  KOMONDOR SIMULATION 'sim_seed1992_input_nodes_n2_s22_cb0.csv' (seed 1992)</t>
  </si>
  <si>
    <t>Line 921:  KOMONDOR SIMULATION 'sim_seed1992_input_nodes_n2_s23_cb0.csv' (seed 1992)</t>
  </si>
  <si>
    <t>Line 929:  KOMONDOR SIMULATION 'sim_seed1992_input_nodes_n2_s24_cb0.csv' (seed 1992)</t>
  </si>
  <si>
    <t>Line 937:  KOMONDOR SIMULATION 'sim_seed1992_input_nodes_n2_s25_cb0.csv' (seed 1992)</t>
  </si>
  <si>
    <t>Line 945:  KOMONDOR SIMULATION 'sim_seed1992_input_nodes_n2_s26_cb0.csv' (seed 1992)</t>
  </si>
  <si>
    <t>Line 953:  KOMONDOR SIMULATION 'sim_seed1992_input_nodes_n2_s27_cb0.csv' (seed 1992)</t>
  </si>
  <si>
    <t>Line 961:  KOMONDOR SIMULATION 'sim_seed1992_input_nodes_n2_s28_cb0.csv' (seed 1992)</t>
  </si>
  <si>
    <t>Line 969:  KOMONDOR SIMULATION 'sim_seed1992_input_nodes_n2_s29_cb0.csv' (seed 1992)</t>
  </si>
  <si>
    <t>Line 977:  KOMONDOR SIMULATION 'sim_seed1992_input_nodes_n2_s2_cb0.csv' (seed 1992)</t>
  </si>
  <si>
    <t>Line 985:  KOMONDOR SIMULATION 'sim_seed1992_input_nodes_n2_s30_cb0.csv' (seed 1992)</t>
  </si>
  <si>
    <t>Line 993:  KOMONDOR SIMULATION 'sim_seed1992_input_nodes_n2_s31_cb0.csv' (seed 1992)</t>
  </si>
  <si>
    <t>Line 1001:  KOMONDOR SIMULATION 'sim_seed1992_input_nodes_n2_s32_cb0.csv' (seed 1992)</t>
  </si>
  <si>
    <t>Line 1009:  KOMONDOR SIMULATION 'sim_seed1992_input_nodes_n2_s33_cb0.csv' (seed 1992)</t>
  </si>
  <si>
    <t>Line 1017:  KOMONDOR SIMULATION 'sim_seed1992_input_nodes_n2_s34_cb0.csv' (seed 1992)</t>
  </si>
  <si>
    <t>Line 1025:  KOMONDOR SIMULATION 'sim_seed1992_input_nodes_n2_s35_cb0.csv' (seed 1992)</t>
  </si>
  <si>
    <t>Line 1033:  KOMONDOR SIMULATION 'sim_seed1992_input_nodes_n2_s36_cb0.csv' (seed 1992)</t>
  </si>
  <si>
    <t>Line 1041:  KOMONDOR SIMULATION 'sim_seed1992_input_nodes_n2_s37_cb0.csv' (seed 1992)</t>
  </si>
  <si>
    <t>Line 1049:  KOMONDOR SIMULATION 'sim_seed1992_input_nodes_n2_s38_cb0.csv' (seed 1992)</t>
  </si>
  <si>
    <t>Line 1057:  KOMONDOR SIMULATION 'sim_seed1992_input_nodes_n2_s39_cb0.csv' (seed 1992)</t>
  </si>
  <si>
    <t>Line 1065:  KOMONDOR SIMULATION 'sim_seed1992_input_nodes_n2_s3_cb0.csv' (seed 1992)</t>
  </si>
  <si>
    <t>Line 1073:  KOMONDOR SIMULATION 'sim_seed1992_input_nodes_n2_s40_cb0.csv' (seed 1992)</t>
  </si>
  <si>
    <t>Line 1081:  KOMONDOR SIMULATION 'sim_seed1992_input_nodes_n2_s41_cb0.csv' (seed 1992)</t>
  </si>
  <si>
    <t>Line 1089:  KOMONDOR SIMULATION 'sim_seed1992_input_nodes_n2_s42_cb0.csv' (seed 1992)</t>
  </si>
  <si>
    <t>Line 1097:  KOMONDOR SIMULATION 'sim_seed1992_input_nodes_n2_s43_cb0.csv' (seed 1992)</t>
  </si>
  <si>
    <t>Line 1105:  KOMONDOR SIMULATION 'sim_seed1992_input_nodes_n2_s44_cb0.csv' (seed 1992)</t>
  </si>
  <si>
    <t>Line 1113:  KOMONDOR SIMULATION 'sim_seed1992_input_nodes_n2_s45_cb0.csv' (seed 1992)</t>
  </si>
  <si>
    <t>Line 1121:  KOMONDOR SIMULATION 'sim_seed1992_input_nodes_n2_s46_cb0.csv' (seed 1992)</t>
  </si>
  <si>
    <t>Line 1129:  KOMONDOR SIMULATION 'sim_seed1992_input_nodes_n2_s47_cb0.csv' (seed 1992)</t>
  </si>
  <si>
    <t>Line 1137:  KOMONDOR SIMULATION 'sim_seed1992_input_nodes_n2_s48_cb0.csv' (seed 1992)</t>
  </si>
  <si>
    <t>Line 1145:  KOMONDOR SIMULATION 'sim_seed1992_input_nodes_n2_s49_cb0.csv' (seed 1992)</t>
  </si>
  <si>
    <t>Line 1153:  KOMONDOR SIMULATION 'sim_seed1992_input_nodes_n2_s4_cb0.csv' (seed 1992)</t>
  </si>
  <si>
    <t>Line 1161:  KOMONDOR SIMULATION 'sim_seed1992_input_nodes_n2_s5_cb0.csv' (seed 1992)</t>
  </si>
  <si>
    <t>Line 1169:  KOMONDOR SIMULATION 'sim_seed1992_input_nodes_n2_s6_cb0.csv' (seed 1992)</t>
  </si>
  <si>
    <t>Line 1177:  KOMONDOR SIMULATION 'sim_seed1992_input_nodes_n2_s7_cb0.csv' (seed 1992)</t>
  </si>
  <si>
    <t>Line 1185:  KOMONDOR SIMULATION 'sim_seed1992_input_nodes_n2_s8_cb0.csv' (seed 1992)</t>
  </si>
  <si>
    <t>Line 1193:  KOMONDOR SIMULATION 'sim_seed1992_input_nodes_n2_s9_cb0.csv' (seed 1992)</t>
  </si>
  <si>
    <t>Line 2001:  KOMONDOR SIMULATION 'sim_seed1992_input_nodes_n5_s0_cb0.csv' (seed 1992)</t>
  </si>
  <si>
    <t>Line 2009:  KOMONDOR SIMULATION 'sim_seed1992_input_nodes_n5_s10_cb0.csv' (seed 1992)</t>
  </si>
  <si>
    <t>Line 2017:  KOMONDOR SIMULATION 'sim_seed1992_input_nodes_n5_s11_cb0.csv' (seed 1992)</t>
  </si>
  <si>
    <t>Line 2025:  KOMONDOR SIMULATION 'sim_seed1992_input_nodes_n5_s12_cb0.csv' (seed 1992)</t>
  </si>
  <si>
    <t>Line 2033:  KOMONDOR SIMULATION 'sim_seed1992_input_nodes_n5_s13_cb0.csv' (seed 1992)</t>
  </si>
  <si>
    <t>Line 2041:  KOMONDOR SIMULATION 'sim_seed1992_input_nodes_n5_s14_cb0.csv' (seed 1992)</t>
  </si>
  <si>
    <t>Line 2049:  KOMONDOR SIMULATION 'sim_seed1992_input_nodes_n5_s15_cb0.csv' (seed 1992)</t>
  </si>
  <si>
    <t>Line 2057:  KOMONDOR SIMULATION 'sim_seed1992_input_nodes_n5_s16_cb0.csv' (seed 1992)</t>
  </si>
  <si>
    <t>Line 2065:  KOMONDOR SIMULATION 'sim_seed1992_input_nodes_n5_s17_cb0.csv' (seed 1992)</t>
  </si>
  <si>
    <t>Line 2073:  KOMONDOR SIMULATION 'sim_seed1992_input_nodes_n5_s18_cb0.csv' (seed 1992)</t>
  </si>
  <si>
    <t>Line 2081:  KOMONDOR SIMULATION 'sim_seed1992_input_nodes_n5_s19_cb0.csv' (seed 1992)</t>
  </si>
  <si>
    <t>Line 2089:  KOMONDOR SIMULATION 'sim_seed1992_input_nodes_n5_s1_cb0.csv' (seed 1992)</t>
  </si>
  <si>
    <t>Line 2097:  KOMONDOR SIMULATION 'sim_seed1992_input_nodes_n5_s20_cb0.csv' (seed 1992)</t>
  </si>
  <si>
    <t>Line 2105:  KOMONDOR SIMULATION 'sim_seed1992_input_nodes_n5_s21_cb0.csv' (seed 1992)</t>
  </si>
  <si>
    <t>Line 2113:  KOMONDOR SIMULATION 'sim_seed1992_input_nodes_n5_s22_cb0.csv' (seed 1992)</t>
  </si>
  <si>
    <t>Line 2121:  KOMONDOR SIMULATION 'sim_seed1992_input_nodes_n5_s23_cb0.csv' (seed 1992)</t>
  </si>
  <si>
    <t>Line 2129:  KOMONDOR SIMULATION 'sim_seed1992_input_nodes_n5_s24_cb0.csv' (seed 1992)</t>
  </si>
  <si>
    <t>Line 2137:  KOMONDOR SIMULATION 'sim_seed1992_input_nodes_n5_s25_cb0.csv' (seed 1992)</t>
  </si>
  <si>
    <t>Line 2145:  KOMONDOR SIMULATION 'sim_seed1992_input_nodes_n5_s26_cb0.csv' (seed 1992)</t>
  </si>
  <si>
    <t>Line 2153:  KOMONDOR SIMULATION 'sim_seed1992_input_nodes_n5_s27_cb0.csv' (seed 1992)</t>
  </si>
  <si>
    <t>Line 2161:  KOMONDOR SIMULATION 'sim_seed1992_input_nodes_n5_s28_cb0.csv' (seed 1992)</t>
  </si>
  <si>
    <t>Line 2169:  KOMONDOR SIMULATION 'sim_seed1992_input_nodes_n5_s29_cb0.csv' (seed 1992)</t>
  </si>
  <si>
    <t>Line 2177:  KOMONDOR SIMULATION 'sim_seed1992_input_nodes_n5_s2_cb0.csv' (seed 1992)</t>
  </si>
  <si>
    <t>Line 2185:  KOMONDOR SIMULATION 'sim_seed1992_input_nodes_n5_s30_cb0.csv' (seed 1992)</t>
  </si>
  <si>
    <t>Line 2193:  KOMONDOR SIMULATION 'sim_seed1992_input_nodes_n5_s31_cb0.csv' (seed 1992)</t>
  </si>
  <si>
    <t>Line 2201:  KOMONDOR SIMULATION 'sim_seed1992_input_nodes_n5_s32_cb0.csv' (seed 1992)</t>
  </si>
  <si>
    <t>Line 2209:  KOMONDOR SIMULATION 'sim_seed1992_input_nodes_n5_s33_cb0.csv' (seed 1992)</t>
  </si>
  <si>
    <t>Line 2217:  KOMONDOR SIMULATION 'sim_seed1992_input_nodes_n5_s34_cb0.csv' (seed 1992)</t>
  </si>
  <si>
    <t>Line 2225:  KOMONDOR SIMULATION 'sim_seed1992_input_nodes_n5_s35_cb0.csv' (seed 1992)</t>
  </si>
  <si>
    <t>Line 2233:  KOMONDOR SIMULATION 'sim_seed1992_input_nodes_n5_s36_cb0.csv' (seed 1992)</t>
  </si>
  <si>
    <t>Line 2241:  KOMONDOR SIMULATION 'sim_seed1992_input_nodes_n5_s37_cb0.csv' (seed 1992)</t>
  </si>
  <si>
    <t>Line 2249:  KOMONDOR SIMULATION 'sim_seed1992_input_nodes_n5_s38_cb0.csv' (seed 1992)</t>
  </si>
  <si>
    <t>Line 2257:  KOMONDOR SIMULATION 'sim_seed1992_input_nodes_n5_s39_cb0.csv' (seed 1992)</t>
  </si>
  <si>
    <t>Line 2265:  KOMONDOR SIMULATION 'sim_seed1992_input_nodes_n5_s3_cb0.csv' (seed 1992)</t>
  </si>
  <si>
    <t>Line 2273:  KOMONDOR SIMULATION 'sim_seed1992_input_nodes_n5_s40_cb0.csv' (seed 1992)</t>
  </si>
  <si>
    <t>Line 2281:  KOMONDOR SIMULATION 'sim_seed1992_input_nodes_n5_s41_cb0.csv' (seed 1992)</t>
  </si>
  <si>
    <t>Line 2289:  KOMONDOR SIMULATION 'sim_seed1992_input_nodes_n5_s42_cb0.csv' (seed 1992)</t>
  </si>
  <si>
    <t>Line 2297:  KOMONDOR SIMULATION 'sim_seed1992_input_nodes_n5_s43_cb0.csv' (seed 1992)</t>
  </si>
  <si>
    <t>Line 2305:  KOMONDOR SIMULATION 'sim_seed1992_input_nodes_n5_s44_cb0.csv' (seed 1992)</t>
  </si>
  <si>
    <t>Line 2313:  KOMONDOR SIMULATION 'sim_seed1992_input_nodes_n5_s45_cb0.csv' (seed 1992)</t>
  </si>
  <si>
    <t>Line 2321:  KOMONDOR SIMULATION 'sim_seed1992_input_nodes_n5_s46_cb0.csv' (seed 1992)</t>
  </si>
  <si>
    <t>Line 2329:  KOMONDOR SIMULATION 'sim_seed1992_input_nodes_n5_s47_cb0.csv' (seed 1992)</t>
  </si>
  <si>
    <t>Line 2337:  KOMONDOR SIMULATION 'sim_seed1992_input_nodes_n5_s48_cb0.csv' (seed 1992)</t>
  </si>
  <si>
    <t>Line 2345:  KOMONDOR SIMULATION 'sim_seed1992_input_nodes_n5_s49_cb0.csv' (seed 1992)</t>
  </si>
  <si>
    <t>Line 2353:  KOMONDOR SIMULATION 'sim_seed1992_input_nodes_n5_s4_cb0.csv' (seed 1992)</t>
  </si>
  <si>
    <t>Line 2361:  KOMONDOR SIMULATION 'sim_seed1992_input_nodes_n5_s5_cb0.csv' (seed 1992)</t>
  </si>
  <si>
    <t>Line 2369:  KOMONDOR SIMULATION 'sim_seed1992_input_nodes_n5_s6_cb0.csv' (seed 1992)</t>
  </si>
  <si>
    <t>Line 2377:  KOMONDOR SIMULATION 'sim_seed1992_input_nodes_n5_s7_cb0.csv' (seed 1992)</t>
  </si>
  <si>
    <t>Line 2385:  KOMONDOR SIMULATION 'sim_seed1992_input_nodes_n5_s8_cb0.csv' (seed 1992)</t>
  </si>
  <si>
    <t>Line 2393:  KOMONDOR SIMULATION 'sim_seed1992_input_nodes_n5_s9_cb0.csv' (seed 1992)</t>
  </si>
  <si>
    <t>Line 1:  KOMONDOR SIMULATION 'sim_seed1992_input_nodes_n10_s0_cb0.csv' (seed 1992)</t>
  </si>
  <si>
    <t>Line 9:  KOMONDOR SIMULATION 'sim_seed1992_input_nodes_n10_s10_cb0.csv' (seed 1992)</t>
  </si>
  <si>
    <t>Line 17:  KOMONDOR SIMULATION 'sim_seed1992_input_nodes_n10_s11_cb0.csv' (seed 1992)</t>
  </si>
  <si>
    <t>Line 25:  KOMONDOR SIMULATION 'sim_seed1992_input_nodes_n10_s12_cb0.csv' (seed 1992)</t>
  </si>
  <si>
    <t>Line 33:  KOMONDOR SIMULATION 'sim_seed1992_input_nodes_n10_s13_cb0.csv' (seed 1992)</t>
  </si>
  <si>
    <t>Line 41:  KOMONDOR SIMULATION 'sim_seed1992_input_nodes_n10_s14_cb0.csv' (seed 1992)</t>
  </si>
  <si>
    <t>Line 49:  KOMONDOR SIMULATION 'sim_seed1992_input_nodes_n10_s15_cb0.csv' (seed 1992)</t>
  </si>
  <si>
    <t>Line 57:  KOMONDOR SIMULATION 'sim_seed1992_input_nodes_n10_s16_cb0.csv' (seed 1992)</t>
  </si>
  <si>
    <t>Line 65:  KOMONDOR SIMULATION 'sim_seed1992_input_nodes_n10_s17_cb0.csv' (seed 1992)</t>
  </si>
  <si>
    <t>Line 73:  KOMONDOR SIMULATION 'sim_seed1992_input_nodes_n10_s18_cb0.csv' (seed 1992)</t>
  </si>
  <si>
    <t>Line 81:  KOMONDOR SIMULATION 'sim_seed1992_input_nodes_n10_s19_cb0.csv' (seed 1992)</t>
  </si>
  <si>
    <t>Line 89:  KOMONDOR SIMULATION 'sim_seed1992_input_nodes_n10_s1_cb0.csv' (seed 1992)</t>
  </si>
  <si>
    <t>Line 97:  KOMONDOR SIMULATION 'sim_seed1992_input_nodes_n10_s20_cb0.csv' (seed 1992)</t>
  </si>
  <si>
    <t>Line 105:  KOMONDOR SIMULATION 'sim_seed1992_input_nodes_n10_s21_cb0.csv' (seed 1992)</t>
  </si>
  <si>
    <t>Line 113:  KOMONDOR SIMULATION 'sim_seed1992_input_nodes_n10_s22_cb0.csv' (seed 1992)</t>
  </si>
  <si>
    <t>Line 121:  KOMONDOR SIMULATION 'sim_seed1992_input_nodes_n10_s23_cb0.csv' (seed 1992)</t>
  </si>
  <si>
    <t>Line 129:  KOMONDOR SIMULATION 'sim_seed1992_input_nodes_n10_s24_cb0.csv' (seed 1992)</t>
  </si>
  <si>
    <t>Line 137:  KOMONDOR SIMULATION 'sim_seed1992_input_nodes_n10_s25_cb0.csv' (seed 1992)</t>
  </si>
  <si>
    <t>Line 145:  KOMONDOR SIMULATION 'sim_seed1992_input_nodes_n10_s26_cb0.csv' (seed 1992)</t>
  </si>
  <si>
    <t>Line 153:  KOMONDOR SIMULATION 'sim_seed1992_input_nodes_n10_s27_cb0.csv' (seed 1992)</t>
  </si>
  <si>
    <t>Line 161:  KOMONDOR SIMULATION 'sim_seed1992_input_nodes_n10_s28_cb0.csv' (seed 1992)</t>
  </si>
  <si>
    <t>Line 169:  KOMONDOR SIMULATION 'sim_seed1992_input_nodes_n10_s29_cb0.csv' (seed 1992)</t>
  </si>
  <si>
    <t>Line 177:  KOMONDOR SIMULATION 'sim_seed1992_input_nodes_n10_s2_cb0.csv' (seed 1992)</t>
  </si>
  <si>
    <t>Line 185:  KOMONDOR SIMULATION 'sim_seed1992_input_nodes_n10_s30_cb0.csv' (seed 1992)</t>
  </si>
  <si>
    <t>Line 193:  KOMONDOR SIMULATION 'sim_seed1992_input_nodes_n10_s31_cb0.csv' (seed 1992)</t>
  </si>
  <si>
    <t>Line 201:  KOMONDOR SIMULATION 'sim_seed1992_input_nodes_n10_s32_cb0.csv' (seed 1992)</t>
  </si>
  <si>
    <t>Line 209:  KOMONDOR SIMULATION 'sim_seed1992_input_nodes_n10_s33_cb0.csv' (seed 1992)</t>
  </si>
  <si>
    <t>Line 217:  KOMONDOR SIMULATION 'sim_seed1992_input_nodes_n10_s34_cb0.csv' (seed 1992)</t>
  </si>
  <si>
    <t>Line 225:  KOMONDOR SIMULATION 'sim_seed1992_input_nodes_n10_s35_cb0.csv' (seed 1992)</t>
  </si>
  <si>
    <t>Line 233:  KOMONDOR SIMULATION 'sim_seed1992_input_nodes_n10_s36_cb0.csv' (seed 1992)</t>
  </si>
  <si>
    <t>Line 241:  KOMONDOR SIMULATION 'sim_seed1992_input_nodes_n10_s37_cb0.csv' (seed 1992)</t>
  </si>
  <si>
    <t>Line 249:  KOMONDOR SIMULATION 'sim_seed1992_input_nodes_n10_s38_cb0.csv' (seed 1992)</t>
  </si>
  <si>
    <t>Line 257:  KOMONDOR SIMULATION 'sim_seed1992_input_nodes_n10_s39_cb0.csv' (seed 1992)</t>
  </si>
  <si>
    <t>Line 265:  KOMONDOR SIMULATION 'sim_seed1992_input_nodes_n10_s3_cb0.csv' (seed 1992)</t>
  </si>
  <si>
    <t>Line 273:  KOMONDOR SIMULATION 'sim_seed1992_input_nodes_n10_s40_cb0.csv' (seed 1992)</t>
  </si>
  <si>
    <t>Line 281:  KOMONDOR SIMULATION 'sim_seed1992_input_nodes_n10_s41_cb0.csv' (seed 1992)</t>
  </si>
  <si>
    <t>Line 289:  KOMONDOR SIMULATION 'sim_seed1992_input_nodes_n10_s42_cb0.csv' (seed 1992)</t>
  </si>
  <si>
    <t>Line 297:  KOMONDOR SIMULATION 'sim_seed1992_input_nodes_n10_s43_cb0.csv' (seed 1992)</t>
  </si>
  <si>
    <t>Line 305:  KOMONDOR SIMULATION 'sim_seed1992_input_nodes_n10_s44_cb0.csv' (seed 1992)</t>
  </si>
  <si>
    <t>Line 313:  KOMONDOR SIMULATION 'sim_seed1992_input_nodes_n10_s45_cb0.csv' (seed 1992)</t>
  </si>
  <si>
    <t>Line 321:  KOMONDOR SIMULATION 'sim_seed1992_input_nodes_n10_s46_cb0.csv' (seed 1992)</t>
  </si>
  <si>
    <t>Line 329:  KOMONDOR SIMULATION 'sim_seed1992_input_nodes_n10_s47_cb0.csv' (seed 1992)</t>
  </si>
  <si>
    <t>Line 337:  KOMONDOR SIMULATION 'sim_seed1992_input_nodes_n10_s48_cb0.csv' (seed 1992)</t>
  </si>
  <si>
    <t>Line 345:  KOMONDOR SIMULATION 'sim_seed1992_input_nodes_n10_s49_cb0.csv' (seed 1992)</t>
  </si>
  <si>
    <t>Line 353:  KOMONDOR SIMULATION 'sim_seed1992_input_nodes_n10_s4_cb0.csv' (seed 1992)</t>
  </si>
  <si>
    <t>Line 361:  KOMONDOR SIMULATION 'sim_seed1992_input_nodes_n10_s5_cb0.csv' (seed 1992)</t>
  </si>
  <si>
    <t>Line 369:  KOMONDOR SIMULATION 'sim_seed1992_input_nodes_n10_s6_cb0.csv' (seed 1992)</t>
  </si>
  <si>
    <t>Line 377:  KOMONDOR SIMULATION 'sim_seed1992_input_nodes_n10_s7_cb0.csv' (seed 1992)</t>
  </si>
  <si>
    <t>Line 385:  KOMONDOR SIMULATION 'sim_seed1992_input_nodes_n10_s8_cb0.csv' (seed 1992)</t>
  </si>
  <si>
    <t>Line 393:  KOMONDOR SIMULATION 'sim_seed1992_input_nodes_n10_s9_cb0.csv' (seed 1992)</t>
  </si>
  <si>
    <t>Line 401:  KOMONDOR SIMULATION 'sim_seed1992_input_nodes_n20_s0_cb0.csv' (seed 1992)</t>
  </si>
  <si>
    <t>Line 409:  KOMONDOR SIMULATION 'sim_seed1992_input_nodes_n20_s10_cb0.csv' (seed 1992)</t>
  </si>
  <si>
    <t>Line 417:  KOMONDOR SIMULATION 'sim_seed1992_input_nodes_n20_s11_cb0.csv' (seed 1992)</t>
  </si>
  <si>
    <t>Line 425:  KOMONDOR SIMULATION 'sim_seed1992_input_nodes_n20_s12_cb0.csv' (seed 1992)</t>
  </si>
  <si>
    <t>Line 433:  KOMONDOR SIMULATION 'sim_seed1992_input_nodes_n20_s13_cb0.csv' (seed 1992)</t>
  </si>
  <si>
    <t>Line 441:  KOMONDOR SIMULATION 'sim_seed1992_input_nodes_n20_s14_cb0.csv' (seed 1992)</t>
  </si>
  <si>
    <t>Line 449:  KOMONDOR SIMULATION 'sim_seed1992_input_nodes_n20_s15_cb0.csv' (seed 1992)</t>
  </si>
  <si>
    <t>Line 457:  KOMONDOR SIMULATION 'sim_seed1992_input_nodes_n20_s16_cb0.csv' (seed 1992)</t>
  </si>
  <si>
    <t>Line 465:  KOMONDOR SIMULATION 'sim_seed1992_input_nodes_n20_s17_cb0.csv' (seed 1992)</t>
  </si>
  <si>
    <t>Line 473:  KOMONDOR SIMULATION 'sim_seed1992_input_nodes_n20_s18_cb0.csv' (seed 1992)</t>
  </si>
  <si>
    <t>Line 481:  KOMONDOR SIMULATION 'sim_seed1992_input_nodes_n20_s19_cb0.csv' (seed 1992)</t>
  </si>
  <si>
    <t>Line 489:  KOMONDOR SIMULATION 'sim_seed1992_input_nodes_n20_s1_cb0.csv' (seed 1992)</t>
  </si>
  <si>
    <t>Line 497:  KOMONDOR SIMULATION 'sim_seed1992_input_nodes_n20_s20_cb0.csv' (seed 1992)</t>
  </si>
  <si>
    <t>Line 505:  KOMONDOR SIMULATION 'sim_seed1992_input_nodes_n20_s21_cb0.csv' (seed 1992)</t>
  </si>
  <si>
    <t>Line 513:  KOMONDOR SIMULATION 'sim_seed1992_input_nodes_n20_s22_cb0.csv' (seed 1992)</t>
  </si>
  <si>
    <t>Line 521:  KOMONDOR SIMULATION 'sim_seed1992_input_nodes_n20_s23_cb0.csv' (seed 1992)</t>
  </si>
  <si>
    <t>Line 529:  KOMONDOR SIMULATION 'sim_seed1992_input_nodes_n20_s24_cb0.csv' (seed 1992)</t>
  </si>
  <si>
    <t>Line 537:  KOMONDOR SIMULATION 'sim_seed1992_input_nodes_n20_s25_cb0.csv' (seed 1992)</t>
  </si>
  <si>
    <t>Line 545:  KOMONDOR SIMULATION 'sim_seed1992_input_nodes_n20_s26_cb0.csv' (seed 1992)</t>
  </si>
  <si>
    <t>Line 553:  KOMONDOR SIMULATION 'sim_seed1992_input_nodes_n20_s27_cb0.csv' (seed 1992)</t>
  </si>
  <si>
    <t>Line 561:  KOMONDOR SIMULATION 'sim_seed1992_input_nodes_n20_s28_cb0.csv' (seed 1992)</t>
  </si>
  <si>
    <t>Line 569:  KOMONDOR SIMULATION 'sim_seed1992_input_nodes_n20_s29_cb0.csv' (seed 1992)</t>
  </si>
  <si>
    <t>Line 577:  KOMONDOR SIMULATION 'sim_seed1992_input_nodes_n20_s2_cb0.csv' (seed 1992)</t>
  </si>
  <si>
    <t>Line 585:  KOMONDOR SIMULATION 'sim_seed1992_input_nodes_n20_s30_cb0.csv' (seed 1992)</t>
  </si>
  <si>
    <t>Line 593:  KOMONDOR SIMULATION 'sim_seed1992_input_nodes_n20_s31_cb0.csv' (seed 1992)</t>
  </si>
  <si>
    <t>Line 601:  KOMONDOR SIMULATION 'sim_seed1992_input_nodes_n20_s32_cb0.csv' (seed 1992)</t>
  </si>
  <si>
    <t>Line 609:  KOMONDOR SIMULATION 'sim_seed1992_input_nodes_n20_s33_cb0.csv' (seed 1992)</t>
  </si>
  <si>
    <t>Line 617:  KOMONDOR SIMULATION 'sim_seed1992_input_nodes_n20_s34_cb0.csv' (seed 1992)</t>
  </si>
  <si>
    <t>Line 625:  KOMONDOR SIMULATION 'sim_seed1992_input_nodes_n20_s35_cb0.csv' (seed 1992)</t>
  </si>
  <si>
    <t>Line 633:  KOMONDOR SIMULATION 'sim_seed1992_input_nodes_n20_s36_cb0.csv' (seed 1992)</t>
  </si>
  <si>
    <t>Line 641:  KOMONDOR SIMULATION 'sim_seed1992_input_nodes_n20_s37_cb0.csv' (seed 1992)</t>
  </si>
  <si>
    <t>Line 649:  KOMONDOR SIMULATION 'sim_seed1992_input_nodes_n20_s38_cb0.csv' (seed 1992)</t>
  </si>
  <si>
    <t>Line 657:  KOMONDOR SIMULATION 'sim_seed1992_input_nodes_n20_s39_cb0.csv' (seed 1992)</t>
  </si>
  <si>
    <t>Line 665:  KOMONDOR SIMULATION 'sim_seed1992_input_nodes_n20_s3_cb0.csv' (seed 1992)</t>
  </si>
  <si>
    <t>Line 673:  KOMONDOR SIMULATION 'sim_seed1992_input_nodes_n20_s40_cb0.csv' (seed 1992)</t>
  </si>
  <si>
    <t>Line 681:  KOMONDOR SIMULATION 'sim_seed1992_input_nodes_n20_s41_cb0.csv' (seed 1992)</t>
  </si>
  <si>
    <t>Line 689:  KOMONDOR SIMULATION 'sim_seed1992_input_nodes_n20_s42_cb0.csv' (seed 1992)</t>
  </si>
  <si>
    <t>Line 697:  KOMONDOR SIMULATION 'sim_seed1992_input_nodes_n20_s43_cb0.csv' (seed 1992)</t>
  </si>
  <si>
    <t>Line 705:  KOMONDOR SIMULATION 'sim_seed1992_input_nodes_n20_s44_cb0.csv' (seed 1992)</t>
  </si>
  <si>
    <t>Line 713:  KOMONDOR SIMULATION 'sim_seed1992_input_nodes_n20_s45_cb0.csv' (seed 1992)</t>
  </si>
  <si>
    <t>Line 721:  KOMONDOR SIMULATION 'sim_seed1992_input_nodes_n20_s46_cb0.csv' (seed 1992)</t>
  </si>
  <si>
    <t>Line 729:  KOMONDOR SIMULATION 'sim_seed1992_input_nodes_n20_s47_cb0.csv' (seed 1992)</t>
  </si>
  <si>
    <t>Line 737:  KOMONDOR SIMULATION 'sim_seed1992_input_nodes_n20_s48_cb0.csv' (seed 1992)</t>
  </si>
  <si>
    <t>Line 745:  KOMONDOR SIMULATION 'sim_seed1992_input_nodes_n20_s49_cb0.csv' (seed 1992)</t>
  </si>
  <si>
    <t>Line 753:  KOMONDOR SIMULATION 'sim_seed1992_input_nodes_n20_s4_cb0.csv' (seed 1992)</t>
  </si>
  <si>
    <t>Line 761:  KOMONDOR SIMULATION 'sim_seed1992_input_nodes_n20_s5_cb0.csv' (seed 1992)</t>
  </si>
  <si>
    <t>Line 769:  KOMONDOR SIMULATION 'sim_seed1992_input_nodes_n20_s6_cb0.csv' (seed 1992)</t>
  </si>
  <si>
    <t>Line 777:  KOMONDOR SIMULATION 'sim_seed1992_input_nodes_n20_s7_cb0.csv' (seed 1992)</t>
  </si>
  <si>
    <t>Line 785:  KOMONDOR SIMULATION 'sim_seed1992_input_nodes_n20_s8_cb0.csv' (seed 1992)</t>
  </si>
  <si>
    <t>Line 793:  KOMONDOR SIMULATION 'sim_seed1992_input_nodes_n20_s9_cb0.csv' (seed 1992)</t>
  </si>
  <si>
    <t>Line 1201:  KOMONDOR SIMULATION 'sim_seed1992_input_nodes_n30_s0_cb0.csv' (seed 1992)</t>
  </si>
  <si>
    <t>Line 1209:  KOMONDOR SIMULATION 'sim_seed1992_input_nodes_n30_s10_cb0.csv' (seed 1992)</t>
  </si>
  <si>
    <t>Line 1217:  KOMONDOR SIMULATION 'sim_seed1992_input_nodes_n30_s11_cb0.csv' (seed 1992)</t>
  </si>
  <si>
    <t>Line 1225:  KOMONDOR SIMULATION 'sim_seed1992_input_nodes_n30_s12_cb0.csv' (seed 1992)</t>
  </si>
  <si>
    <t>Line 1233:  KOMONDOR SIMULATION 'sim_seed1992_input_nodes_n30_s13_cb0.csv' (seed 1992)</t>
  </si>
  <si>
    <t>Line 1241:  KOMONDOR SIMULATION 'sim_seed1992_input_nodes_n30_s14_cb0.csv' (seed 1992)</t>
  </si>
  <si>
    <t>Line 1249:  KOMONDOR SIMULATION 'sim_seed1992_input_nodes_n30_s15_cb0.csv' (seed 1992)</t>
  </si>
  <si>
    <t>Line 1257:  KOMONDOR SIMULATION 'sim_seed1992_input_nodes_n30_s16_cb0.csv' (seed 1992)</t>
  </si>
  <si>
    <t>Line 1265:  KOMONDOR SIMULATION 'sim_seed1992_input_nodes_n30_s17_cb0.csv' (seed 1992)</t>
  </si>
  <si>
    <t>Line 1273:  KOMONDOR SIMULATION 'sim_seed1992_input_nodes_n30_s18_cb0.csv' (seed 1992)</t>
  </si>
  <si>
    <t>Line 1281:  KOMONDOR SIMULATION 'sim_seed1992_input_nodes_n30_s19_cb0.csv' (seed 1992)</t>
  </si>
  <si>
    <t>Line 1289:  KOMONDOR SIMULATION 'sim_seed1992_input_nodes_n30_s1_cb0.csv' (seed 1992)</t>
  </si>
  <si>
    <t>Line 1297:  KOMONDOR SIMULATION 'sim_seed1992_input_nodes_n30_s20_cb0.csv' (seed 1992)</t>
  </si>
  <si>
    <t>Line 1305:  KOMONDOR SIMULATION 'sim_seed1992_input_nodes_n30_s21_cb0.csv' (seed 1992)</t>
  </si>
  <si>
    <t>Line 1313:  KOMONDOR SIMULATION 'sim_seed1992_input_nodes_n30_s22_cb0.csv' (seed 1992)</t>
  </si>
  <si>
    <t>Line 1321:  KOMONDOR SIMULATION 'sim_seed1992_input_nodes_n30_s23_cb0.csv' (seed 1992)</t>
  </si>
  <si>
    <t>Line 1329:  KOMONDOR SIMULATION 'sim_seed1992_input_nodes_n30_s24_cb0.csv' (seed 1992)</t>
  </si>
  <si>
    <t>Line 1337:  KOMONDOR SIMULATION 'sim_seed1992_input_nodes_n30_s25_cb0.csv' (seed 1992)</t>
  </si>
  <si>
    <t>Line 1345:  KOMONDOR SIMULATION 'sim_seed1992_input_nodes_n30_s26_cb0.csv' (seed 1992)</t>
  </si>
  <si>
    <t>Line 1353:  KOMONDOR SIMULATION 'sim_seed1992_input_nodes_n30_s27_cb0.csv' (seed 1992)</t>
  </si>
  <si>
    <t>Line 1361:  KOMONDOR SIMULATION 'sim_seed1992_input_nodes_n30_s28_cb0.csv' (seed 1992)</t>
  </si>
  <si>
    <t>Line 1369:  KOMONDOR SIMULATION 'sim_seed1992_input_nodes_n30_s29_cb0.csv' (seed 1992)</t>
  </si>
  <si>
    <t>Line 1377:  KOMONDOR SIMULATION 'sim_seed1992_input_nodes_n30_s2_cb0.csv' (seed 1992)</t>
  </si>
  <si>
    <t>Line 1385:  KOMONDOR SIMULATION 'sim_seed1992_input_nodes_n30_s30_cb0.csv' (seed 1992)</t>
  </si>
  <si>
    <t>Line 1393:  KOMONDOR SIMULATION 'sim_seed1992_input_nodes_n30_s31_cb0.csv' (seed 1992)</t>
  </si>
  <si>
    <t>Line 1401:  KOMONDOR SIMULATION 'sim_seed1992_input_nodes_n30_s32_cb0.csv' (seed 1992)</t>
  </si>
  <si>
    <t>Line 1409:  KOMONDOR SIMULATION 'sim_seed1992_input_nodes_n30_s33_cb0.csv' (seed 1992)</t>
  </si>
  <si>
    <t>Line 1417:  KOMONDOR SIMULATION 'sim_seed1992_input_nodes_n30_s34_cb0.csv' (seed 1992)</t>
  </si>
  <si>
    <t>Line 1425:  KOMONDOR SIMULATION 'sim_seed1992_input_nodes_n30_s35_cb0.csv' (seed 1992)</t>
  </si>
  <si>
    <t>Line 1433:  KOMONDOR SIMULATION 'sim_seed1992_input_nodes_n30_s36_cb0.csv' (seed 1992)</t>
  </si>
  <si>
    <t>Line 1441:  KOMONDOR SIMULATION 'sim_seed1992_input_nodes_n30_s37_cb0.csv' (seed 1992)</t>
  </si>
  <si>
    <t>Line 1449:  KOMONDOR SIMULATION 'sim_seed1992_input_nodes_n30_s38_cb0.csv' (seed 1992)</t>
  </si>
  <si>
    <t>Line 1457:  KOMONDOR SIMULATION 'sim_seed1992_input_nodes_n30_s39_cb0.csv' (seed 1992)</t>
  </si>
  <si>
    <t>Line 1465:  KOMONDOR SIMULATION 'sim_seed1992_input_nodes_n30_s3_cb0.csv' (seed 1992)</t>
  </si>
  <si>
    <t>Line 1473:  KOMONDOR SIMULATION 'sim_seed1992_input_nodes_n30_s40_cb0.csv' (seed 1992)</t>
  </si>
  <si>
    <t>Line 1481:  KOMONDOR SIMULATION 'sim_seed1992_input_nodes_n30_s41_cb0.csv' (seed 1992)</t>
  </si>
  <si>
    <t>Line 1489:  KOMONDOR SIMULATION 'sim_seed1992_input_nodes_n30_s42_cb0.csv' (seed 1992)</t>
  </si>
  <si>
    <t>Line 1497:  KOMONDOR SIMULATION 'sim_seed1992_input_nodes_n30_s43_cb0.csv' (seed 1992)</t>
  </si>
  <si>
    <t>Line 1505:  KOMONDOR SIMULATION 'sim_seed1992_input_nodes_n30_s44_cb0.csv' (seed 1992)</t>
  </si>
  <si>
    <t>Line 1513:  KOMONDOR SIMULATION 'sim_seed1992_input_nodes_n30_s45_cb0.csv' (seed 1992)</t>
  </si>
  <si>
    <t>Line 1521:  KOMONDOR SIMULATION 'sim_seed1992_input_nodes_n30_s46_cb0.csv' (seed 1992)</t>
  </si>
  <si>
    <t>Line 1529:  KOMONDOR SIMULATION 'sim_seed1992_input_nodes_n30_s47_cb0.csv' (seed 1992)</t>
  </si>
  <si>
    <t>Line 1537:  KOMONDOR SIMULATION 'sim_seed1992_input_nodes_n30_s48_cb0.csv' (seed 1992)</t>
  </si>
  <si>
    <t>Line 1545:  KOMONDOR SIMULATION 'sim_seed1992_input_nodes_n30_s49_cb0.csv' (seed 1992)</t>
  </si>
  <si>
    <t>Line 1553:  KOMONDOR SIMULATION 'sim_seed1992_input_nodes_n30_s4_cb0.csv' (seed 1992)</t>
  </si>
  <si>
    <t>Line 1561:  KOMONDOR SIMULATION 'sim_seed1992_input_nodes_n30_s5_cb0.csv' (seed 1992)</t>
  </si>
  <si>
    <t>Line 1569:  KOMONDOR SIMULATION 'sim_seed1992_input_nodes_n30_s6_cb0.csv' (seed 1992)</t>
  </si>
  <si>
    <t>Line 1577:  KOMONDOR SIMULATION 'sim_seed1992_input_nodes_n30_s7_cb0.csv' (seed 1992)</t>
  </si>
  <si>
    <t>Line 1585:  KOMONDOR SIMULATION 'sim_seed1992_input_nodes_n30_s8_cb0.csv' (seed 1992)</t>
  </si>
  <si>
    <t>Line 1593:  KOMONDOR SIMULATION 'sim_seed1992_input_nodes_n30_s9_cb0.csv' (seed 1992)</t>
  </si>
  <si>
    <t>Line 1601:  KOMONDOR SIMULATION 'sim_seed1992_input_nodes_n40_s0_cb0.csv' (seed 1992)</t>
  </si>
  <si>
    <t>Line 1609:  KOMONDOR SIMULATION 'sim_seed1992_input_nodes_n40_s10_cb0.csv' (seed 1992)</t>
  </si>
  <si>
    <t>Line 1617:  KOMONDOR SIMULATION 'sim_seed1992_input_nodes_n40_s11_cb0.csv' (seed 1992)</t>
  </si>
  <si>
    <t>Line 1625:  KOMONDOR SIMULATION 'sim_seed1992_input_nodes_n40_s12_cb0.csv' (seed 1992)</t>
  </si>
  <si>
    <t>Line 1633:  KOMONDOR SIMULATION 'sim_seed1992_input_nodes_n40_s13_cb0.csv' (seed 1992)</t>
  </si>
  <si>
    <t>Line 1641:  KOMONDOR SIMULATION 'sim_seed1992_input_nodes_n40_s14_cb0.csv' (seed 1992)</t>
  </si>
  <si>
    <t>Line 1649:  KOMONDOR SIMULATION 'sim_seed1992_input_nodes_n40_s15_cb0.csv' (seed 1992)</t>
  </si>
  <si>
    <t>Line 1657:  KOMONDOR SIMULATION 'sim_seed1992_input_nodes_n40_s16_cb0.csv' (seed 1992)</t>
  </si>
  <si>
    <t>Line 1665:  KOMONDOR SIMULATION 'sim_seed1992_input_nodes_n40_s17_cb0.csv' (seed 1992)</t>
  </si>
  <si>
    <t>Line 1673:  KOMONDOR SIMULATION 'sim_seed1992_input_nodes_n40_s18_cb0.csv' (seed 1992)</t>
  </si>
  <si>
    <t>Line 1681:  KOMONDOR SIMULATION 'sim_seed1992_input_nodes_n40_s19_cb0.csv' (seed 1992)</t>
  </si>
  <si>
    <t>Line 1689:  KOMONDOR SIMULATION 'sim_seed1992_input_nodes_n40_s1_cb0.csv' (seed 1992)</t>
  </si>
  <si>
    <t>Line 1697:  KOMONDOR SIMULATION 'sim_seed1992_input_nodes_n40_s20_cb0.csv' (seed 1992)</t>
  </si>
  <si>
    <t>Line 1705:  KOMONDOR SIMULATION 'sim_seed1992_input_nodes_n40_s21_cb0.csv' (seed 1992)</t>
  </si>
  <si>
    <t>Line 1713:  KOMONDOR SIMULATION 'sim_seed1992_input_nodes_n40_s22_cb0.csv' (seed 1992)</t>
  </si>
  <si>
    <t>Line 1721:  KOMONDOR SIMULATION 'sim_seed1992_input_nodes_n40_s23_cb0.csv' (seed 1992)</t>
  </si>
  <si>
    <t>Line 1729:  KOMONDOR SIMULATION 'sim_seed1992_input_nodes_n40_s24_cb0.csv' (seed 1992)</t>
  </si>
  <si>
    <t>Line 1737:  KOMONDOR SIMULATION 'sim_seed1992_input_nodes_n40_s25_cb0.csv' (seed 1992)</t>
  </si>
  <si>
    <t>Line 1745:  KOMONDOR SIMULATION 'sim_seed1992_input_nodes_n40_s26_cb0.csv' (seed 1992)</t>
  </si>
  <si>
    <t>Line 1753:  KOMONDOR SIMULATION 'sim_seed1992_input_nodes_n40_s27_cb0.csv' (seed 1992)</t>
  </si>
  <si>
    <t>Line 1761:  KOMONDOR SIMULATION 'sim_seed1992_input_nodes_n40_s28_cb0.csv' (seed 1992)</t>
  </si>
  <si>
    <t>Line 1769:  KOMONDOR SIMULATION 'sim_seed1992_input_nodes_n40_s29_cb0.csv' (seed 1992)</t>
  </si>
  <si>
    <t>Line 1777:  KOMONDOR SIMULATION 'sim_seed1992_input_nodes_n40_s2_cb0.csv' (seed 1992)</t>
  </si>
  <si>
    <t>Line 1785:  KOMONDOR SIMULATION 'sim_seed1992_input_nodes_n40_s30_cb0.csv' (seed 1992)</t>
  </si>
  <si>
    <t>Line 1793:  KOMONDOR SIMULATION 'sim_seed1992_input_nodes_n40_s31_cb0.csv' (seed 1992)</t>
  </si>
  <si>
    <t>Line 1801:  KOMONDOR SIMULATION 'sim_seed1992_input_nodes_n40_s32_cb0.csv' (seed 1992)</t>
  </si>
  <si>
    <t>Line 1809:  KOMONDOR SIMULATION 'sim_seed1992_input_nodes_n40_s33_cb0.csv' (seed 1992)</t>
  </si>
  <si>
    <t>Line 1817:  KOMONDOR SIMULATION 'sim_seed1992_input_nodes_n40_s34_cb0.csv' (seed 1992)</t>
  </si>
  <si>
    <t>Line 1825:  KOMONDOR SIMULATION 'sim_seed1992_input_nodes_n40_s35_cb0.csv' (seed 1992)</t>
  </si>
  <si>
    <t>Line 1833:  KOMONDOR SIMULATION 'sim_seed1992_input_nodes_n40_s36_cb0.csv' (seed 1992)</t>
  </si>
  <si>
    <t>Line 1841:  KOMONDOR SIMULATION 'sim_seed1992_input_nodes_n40_s37_cb0.csv' (seed 1992)</t>
  </si>
  <si>
    <t>Line 1849:  KOMONDOR SIMULATION 'sim_seed1992_input_nodes_n40_s38_cb0.csv' (seed 1992)</t>
  </si>
  <si>
    <t>Line 1857:  KOMONDOR SIMULATION 'sim_seed1992_input_nodes_n40_s39_cb0.csv' (seed 1992)</t>
  </si>
  <si>
    <t>Line 1865:  KOMONDOR SIMULATION 'sim_seed1992_input_nodes_n40_s3_cb0.csv' (seed 1992)</t>
  </si>
  <si>
    <t>Line 1873:  KOMONDOR SIMULATION 'sim_seed1992_input_nodes_n40_s40_cb0.csv' (seed 1992)</t>
  </si>
  <si>
    <t>Line 1881:  KOMONDOR SIMULATION 'sim_seed1992_input_nodes_n40_s41_cb0.csv' (seed 1992)</t>
  </si>
  <si>
    <t>Line 1889:  KOMONDOR SIMULATION 'sim_seed1992_input_nodes_n40_s42_cb0.csv' (seed 1992)</t>
  </si>
  <si>
    <t>Line 1897:  KOMONDOR SIMULATION 'sim_seed1992_input_nodes_n40_s43_cb0.csv' (seed 1992)</t>
  </si>
  <si>
    <t>Line 1905:  KOMONDOR SIMULATION 'sim_seed1992_input_nodes_n40_s44_cb0.csv' (seed 1992)</t>
  </si>
  <si>
    <t>Line 1913:  KOMONDOR SIMULATION 'sim_seed1992_input_nodes_n40_s45_cb0.csv' (seed 1992)</t>
  </si>
  <si>
    <t>Line 1921:  KOMONDOR SIMULATION 'sim_seed1992_input_nodes_n40_s46_cb0.csv' (seed 1992)</t>
  </si>
  <si>
    <t>Line 1929:  KOMONDOR SIMULATION 'sim_seed1992_input_nodes_n40_s47_cb0.csv' (seed 1992)</t>
  </si>
  <si>
    <t>Line 1937:  KOMONDOR SIMULATION 'sim_seed1992_input_nodes_n40_s48_cb0.csv' (seed 1992)</t>
  </si>
  <si>
    <t>Line 1945:  KOMONDOR SIMULATION 'sim_seed1992_input_nodes_n40_s49_cb0.csv' (seed 1992)</t>
  </si>
  <si>
    <t>Line 1953:  KOMONDOR SIMULATION 'sim_seed1992_input_nodes_n40_s4_cb0.csv' (seed 1992)</t>
  </si>
  <si>
    <t>Line 1961:  KOMONDOR SIMULATION 'sim_seed1992_input_nodes_n40_s5_cb0.csv' (seed 1992)</t>
  </si>
  <si>
    <t>Line 1969:  KOMONDOR SIMULATION 'sim_seed1992_input_nodes_n40_s6_cb0.csv' (seed 1992)</t>
  </si>
  <si>
    <t>Line 1977:  KOMONDOR SIMULATION 'sim_seed1992_input_nodes_n40_s7_cb0.csv' (seed 1992)</t>
  </si>
  <si>
    <t>Line 1985:  KOMONDOR SIMULATION 'sim_seed1992_input_nodes_n40_s8_cb0.csv' (seed 1992)</t>
  </si>
  <si>
    <t>Line 1993:  KOMONDOR SIMULATION 'sim_seed1992_input_nodes_n40_s9_cb0.csv' (seed 1992)</t>
  </si>
  <si>
    <t>JFI</t>
  </si>
  <si>
    <t>Prop. fairness</t>
  </si>
  <si>
    <t>Ix WLAN min through.</t>
  </si>
  <si>
    <t>Min through. [Mbps]</t>
  </si>
  <si>
    <t>STD through</t>
  </si>
  <si>
    <t>Av. Min through.</t>
  </si>
  <si>
    <t>Av. Through.</t>
  </si>
  <si>
    <t>1de56c02db118b61af7e597f3a4213952d405b1f</t>
  </si>
  <si>
    <t>20 sec</t>
  </si>
  <si>
    <t>Line 3:  KOMONDOR SIMULATION 'sim_seed1992_input_nodes_n10_s0_cb2.csv' (seed 1992)</t>
  </si>
  <si>
    <t>Line 11:  KOMONDOR SIMULATION 'sim_seed1992_input_nodes_n10_s10_cb2.csv' (seed 1992)</t>
  </si>
  <si>
    <t>Line 19:  KOMONDOR SIMULATION 'sim_seed1992_input_nodes_n10_s11_cb2.csv' (seed 1992)</t>
  </si>
  <si>
    <t>Line 27:  KOMONDOR SIMULATION 'sim_seed1992_input_nodes_n10_s12_cb2.csv' (seed 1992)</t>
  </si>
  <si>
    <t>Line 35:  KOMONDOR SIMULATION 'sim_seed1992_input_nodes_n10_s13_cb2.csv' (seed 1992)</t>
  </si>
  <si>
    <t>Line 43:  KOMONDOR SIMULATION 'sim_seed1992_input_nodes_n10_s14_cb2.csv' (seed 1992)</t>
  </si>
  <si>
    <t>Line 51:  KOMONDOR SIMULATION 'sim_seed1992_input_nodes_n10_s15_cb2.csv' (seed 1992)</t>
  </si>
  <si>
    <t>Line 59:  KOMONDOR SIMULATION 'sim_seed1992_input_nodes_n10_s16_cb2.csv' (seed 1992)</t>
  </si>
  <si>
    <t>Line 67:  KOMONDOR SIMULATION 'sim_seed1992_input_nodes_n10_s17_cb2.csv' (seed 1992)</t>
  </si>
  <si>
    <t>Line 75:  KOMONDOR SIMULATION 'sim_seed1992_input_nodes_n10_s18_cb2.csv' (seed 1992)</t>
  </si>
  <si>
    <t>Line 83:  KOMONDOR SIMULATION 'sim_seed1992_input_nodes_n10_s19_cb2.csv' (seed 1992)</t>
  </si>
  <si>
    <t>Line 91:  KOMONDOR SIMULATION 'sim_seed1992_input_nodes_n10_s1_cb2.csv' (seed 1992)</t>
  </si>
  <si>
    <t>Line 99:  KOMONDOR SIMULATION 'sim_seed1992_input_nodes_n10_s20_cb2.csv' (seed 1992)</t>
  </si>
  <si>
    <t>Line 107:  KOMONDOR SIMULATION 'sim_seed1992_input_nodes_n10_s21_cb2.csv' (seed 1992)</t>
  </si>
  <si>
    <t>Line 115:  KOMONDOR SIMULATION 'sim_seed1992_input_nodes_n10_s22_cb2.csv' (seed 1992)</t>
  </si>
  <si>
    <t>Line 123:  KOMONDOR SIMULATION 'sim_seed1992_input_nodes_n10_s23_cb2.csv' (seed 1992)</t>
  </si>
  <si>
    <t>Line 131:  KOMONDOR SIMULATION 'sim_seed1992_input_nodes_n10_s24_cb2.csv' (seed 1992)</t>
  </si>
  <si>
    <t>Line 139:  KOMONDOR SIMULATION 'sim_seed1992_input_nodes_n10_s25_cb2.csv' (seed 1992)</t>
  </si>
  <si>
    <t>Line 147:  KOMONDOR SIMULATION 'sim_seed1992_input_nodes_n10_s26_cb2.csv' (seed 1992)</t>
  </si>
  <si>
    <t>Line 155:  KOMONDOR SIMULATION 'sim_seed1992_input_nodes_n10_s27_cb2.csv' (seed 1992)</t>
  </si>
  <si>
    <t>Line 163:  KOMONDOR SIMULATION 'sim_seed1992_input_nodes_n10_s28_cb2.csv' (seed 1992)</t>
  </si>
  <si>
    <t>Line 171:  KOMONDOR SIMULATION 'sim_seed1992_input_nodes_n10_s29_cb2.csv' (seed 1992)</t>
  </si>
  <si>
    <t>Line 179:  KOMONDOR SIMULATION 'sim_seed1992_input_nodes_n10_s2_cb2.csv' (seed 1992)</t>
  </si>
  <si>
    <t>Line 187:  KOMONDOR SIMULATION 'sim_seed1992_input_nodes_n10_s30_cb2.csv' (seed 1992)</t>
  </si>
  <si>
    <t>Line 195:  KOMONDOR SIMULATION 'sim_seed1992_input_nodes_n10_s31_cb2.csv' (seed 1992)</t>
  </si>
  <si>
    <t>Line 203:  KOMONDOR SIMULATION 'sim_seed1992_input_nodes_n10_s32_cb2.csv' (seed 1992)</t>
  </si>
  <si>
    <t>Line 211:  KOMONDOR SIMULATION 'sim_seed1992_input_nodes_n10_s33_cb2.csv' (seed 1992)</t>
  </si>
  <si>
    <t>Line 219:  KOMONDOR SIMULATION 'sim_seed1992_input_nodes_n10_s34_cb2.csv' (seed 1992)</t>
  </si>
  <si>
    <t>Line 227:  KOMONDOR SIMULATION 'sim_seed1992_input_nodes_n10_s35_cb2.csv' (seed 1992)</t>
  </si>
  <si>
    <t>Line 235:  KOMONDOR SIMULATION 'sim_seed1992_input_nodes_n10_s36_cb2.csv' (seed 1992)</t>
  </si>
  <si>
    <t>Line 243:  KOMONDOR SIMULATION 'sim_seed1992_input_nodes_n10_s37_cb2.csv' (seed 1992)</t>
  </si>
  <si>
    <t>Line 251:  KOMONDOR SIMULATION 'sim_seed1992_input_nodes_n10_s38_cb2.csv' (seed 1992)</t>
  </si>
  <si>
    <t>Line 259:  KOMONDOR SIMULATION 'sim_seed1992_input_nodes_n10_s39_cb2.csv' (seed 1992)</t>
  </si>
  <si>
    <t>Line 267:  KOMONDOR SIMULATION 'sim_seed1992_input_nodes_n10_s3_cb2.csv' (seed 1992)</t>
  </si>
  <si>
    <t>Line 275:  KOMONDOR SIMULATION 'sim_seed1992_input_nodes_n10_s40_cb2.csv' (seed 1992)</t>
  </si>
  <si>
    <t>Line 283:  KOMONDOR SIMULATION 'sim_seed1992_input_nodes_n10_s41_cb2.csv' (seed 1992)</t>
  </si>
  <si>
    <t>Line 291:  KOMONDOR SIMULATION 'sim_seed1992_input_nodes_n10_s42_cb2.csv' (seed 1992)</t>
  </si>
  <si>
    <t>Line 299:  KOMONDOR SIMULATION 'sim_seed1992_input_nodes_n10_s43_cb2.csv' (seed 1992)</t>
  </si>
  <si>
    <t>Line 307:  KOMONDOR SIMULATION 'sim_seed1992_input_nodes_n10_s44_cb2.csv' (seed 1992)</t>
  </si>
  <si>
    <t>Line 315:  KOMONDOR SIMULATION 'sim_seed1992_input_nodes_n10_s45_cb2.csv' (seed 1992)</t>
  </si>
  <si>
    <t>Line 323:  KOMONDOR SIMULATION 'sim_seed1992_input_nodes_n10_s46_cb2.csv' (seed 1992)</t>
  </si>
  <si>
    <t>Line 331:  KOMONDOR SIMULATION 'sim_seed1992_input_nodes_n10_s47_cb2.csv' (seed 1992)</t>
  </si>
  <si>
    <t>Line 339:  KOMONDOR SIMULATION 'sim_seed1992_input_nodes_n10_s48_cb2.csv' (seed 1992)</t>
  </si>
  <si>
    <t>Line 347:  KOMONDOR SIMULATION 'sim_seed1992_input_nodes_n10_s49_cb2.csv' (seed 1992)</t>
  </si>
  <si>
    <t>Line 355:  KOMONDOR SIMULATION 'sim_seed1992_input_nodes_n10_s4_cb2.csv' (seed 1992)</t>
  </si>
  <si>
    <t>Line 363:  KOMONDOR SIMULATION 'sim_seed1992_input_nodes_n10_s5_cb2.csv' (seed 1992)</t>
  </si>
  <si>
    <t>Line 371:  KOMONDOR SIMULATION 'sim_seed1992_input_nodes_n10_s6_cb2.csv' (seed 1992)</t>
  </si>
  <si>
    <t>Line 379:  KOMONDOR SIMULATION 'sim_seed1992_input_nodes_n10_s7_cb2.csv' (seed 1992)</t>
  </si>
  <si>
    <t>Line 387:  KOMONDOR SIMULATION 'sim_seed1992_input_nodes_n10_s8_cb2.csv' (seed 1992)</t>
  </si>
  <si>
    <t>Line 395:  KOMONDOR SIMULATION 'sim_seed1992_input_nodes_n10_s9_cb2.csv' (seed 1992)</t>
  </si>
  <si>
    <t>Line 403:  KOMONDOR SIMULATION 'sim_seed1992_input_nodes_n20_s0_cb2.csv' (seed 1992)</t>
  </si>
  <si>
    <t>Line 411:  KOMONDOR SIMULATION 'sim_seed1992_input_nodes_n20_s10_cb2.csv' (seed 1992)</t>
  </si>
  <si>
    <t>Line 419:  KOMONDOR SIMULATION 'sim_seed1992_input_nodes_n20_s11_cb2.csv' (seed 1992)</t>
  </si>
  <si>
    <t>Line 427:  KOMONDOR SIMULATION 'sim_seed1992_input_nodes_n20_s12_cb2.csv' (seed 1992)</t>
  </si>
  <si>
    <t>Line 435:  KOMONDOR SIMULATION 'sim_seed1992_input_nodes_n20_s13_cb2.csv' (seed 1992)</t>
  </si>
  <si>
    <t>Line 443:  KOMONDOR SIMULATION 'sim_seed1992_input_nodes_n20_s14_cb2.csv' (seed 1992)</t>
  </si>
  <si>
    <t>Line 451:  KOMONDOR SIMULATION 'sim_seed1992_input_nodes_n20_s15_cb2.csv' (seed 1992)</t>
  </si>
  <si>
    <t>Line 459:  KOMONDOR SIMULATION 'sim_seed1992_input_nodes_n20_s16_cb2.csv' (seed 1992)</t>
  </si>
  <si>
    <t>Line 467:  KOMONDOR SIMULATION 'sim_seed1992_input_nodes_n20_s17_cb2.csv' (seed 1992)</t>
  </si>
  <si>
    <t>Line 475:  KOMONDOR SIMULATION 'sim_seed1992_input_nodes_n20_s18_cb2.csv' (seed 1992)</t>
  </si>
  <si>
    <t>Line 483:  KOMONDOR SIMULATION 'sim_seed1992_input_nodes_n20_s19_cb2.csv' (seed 1992)</t>
  </si>
  <si>
    <t>Line 491:  KOMONDOR SIMULATION 'sim_seed1992_input_nodes_n20_s1_cb2.csv' (seed 1992)</t>
  </si>
  <si>
    <t>Line 499:  KOMONDOR SIMULATION 'sim_seed1992_input_nodes_n20_s20_cb2.csv' (seed 1992)</t>
  </si>
  <si>
    <t>Line 507:  KOMONDOR SIMULATION 'sim_seed1992_input_nodes_n20_s21_cb2.csv' (seed 1992)</t>
  </si>
  <si>
    <t>Line 515:  KOMONDOR SIMULATION 'sim_seed1992_input_nodes_n20_s22_cb2.csv' (seed 1992)</t>
  </si>
  <si>
    <t>Line 523:  KOMONDOR SIMULATION 'sim_seed1992_input_nodes_n20_s23_cb2.csv' (seed 1992)</t>
  </si>
  <si>
    <t>Line 531:  KOMONDOR SIMULATION 'sim_seed1992_input_nodes_n20_s24_cb2.csv' (seed 1992)</t>
  </si>
  <si>
    <t>Line 539:  KOMONDOR SIMULATION 'sim_seed1992_input_nodes_n20_s25_cb2.csv' (seed 1992)</t>
  </si>
  <si>
    <t>Line 547:  KOMONDOR SIMULATION 'sim_seed1992_input_nodes_n20_s26_cb2.csv' (seed 1992)</t>
  </si>
  <si>
    <t>Line 555:  KOMONDOR SIMULATION 'sim_seed1992_input_nodes_n20_s27_cb2.csv' (seed 1992)</t>
  </si>
  <si>
    <t>Line 563:  KOMONDOR SIMULATION 'sim_seed1992_input_nodes_n20_s28_cb2.csv' (seed 1992)</t>
  </si>
  <si>
    <t>Line 571:  KOMONDOR SIMULATION 'sim_seed1992_input_nodes_n20_s29_cb2.csv' (seed 1992)</t>
  </si>
  <si>
    <t>Line 579:  KOMONDOR SIMULATION 'sim_seed1992_input_nodes_n20_s2_cb2.csv' (seed 1992)</t>
  </si>
  <si>
    <t>Line 587:  KOMONDOR SIMULATION 'sim_seed1992_input_nodes_n20_s30_cb2.csv' (seed 1992)</t>
  </si>
  <si>
    <t>Line 595:  KOMONDOR SIMULATION 'sim_seed1992_input_nodes_n20_s31_cb2.csv' (seed 1992)</t>
  </si>
  <si>
    <t>Line 603:  KOMONDOR SIMULATION 'sim_seed1992_input_nodes_n20_s32_cb2.csv' (seed 1992)</t>
  </si>
  <si>
    <t>Line 611:  KOMONDOR SIMULATION 'sim_seed1992_input_nodes_n20_s33_cb2.csv' (seed 1992)</t>
  </si>
  <si>
    <t>Line 619:  KOMONDOR SIMULATION 'sim_seed1992_input_nodes_n20_s34_cb2.csv' (seed 1992)</t>
  </si>
  <si>
    <t>Line 627:  KOMONDOR SIMULATION 'sim_seed1992_input_nodes_n20_s35_cb2.csv' (seed 1992)</t>
  </si>
  <si>
    <t>Line 635:  KOMONDOR SIMULATION 'sim_seed1992_input_nodes_n20_s36_cb2.csv' (seed 1992)</t>
  </si>
  <si>
    <t>Line 643:  KOMONDOR SIMULATION 'sim_seed1992_input_nodes_n20_s37_cb2.csv' (seed 1992)</t>
  </si>
  <si>
    <t>Line 651:  KOMONDOR SIMULATION 'sim_seed1992_input_nodes_n20_s38_cb2.csv' (seed 1992)</t>
  </si>
  <si>
    <t>Line 659:  KOMONDOR SIMULATION 'sim_seed1992_input_nodes_n20_s39_cb2.csv' (seed 1992)</t>
  </si>
  <si>
    <t>Line 667:  KOMONDOR SIMULATION 'sim_seed1992_input_nodes_n20_s3_cb2.csv' (seed 1992)</t>
  </si>
  <si>
    <t>Line 675:  KOMONDOR SIMULATION 'sim_seed1992_input_nodes_n20_s40_cb2.csv' (seed 1992)</t>
  </si>
  <si>
    <t>Line 683:  KOMONDOR SIMULATION 'sim_seed1992_input_nodes_n20_s41_cb2.csv' (seed 1992)</t>
  </si>
  <si>
    <t>Line 691:  KOMONDOR SIMULATION 'sim_seed1992_input_nodes_n20_s42_cb2.csv' (seed 1992)</t>
  </si>
  <si>
    <t>Line 699:  KOMONDOR SIMULATION 'sim_seed1992_input_nodes_n20_s43_cb2.csv' (seed 1992)</t>
  </si>
  <si>
    <t>Line 707:  KOMONDOR SIMULATION 'sim_seed1992_input_nodes_n20_s44_cb2.csv' (seed 1992)</t>
  </si>
  <si>
    <t>Line 715:  KOMONDOR SIMULATION 'sim_seed1992_input_nodes_n20_s45_cb2.csv' (seed 1992)</t>
  </si>
  <si>
    <t>Line 723:  KOMONDOR SIMULATION 'sim_seed1992_input_nodes_n20_s46_cb2.csv' (seed 1992)</t>
  </si>
  <si>
    <t>Line 731:  KOMONDOR SIMULATION 'sim_seed1992_input_nodes_n20_s47_cb2.csv' (seed 1992)</t>
  </si>
  <si>
    <t>Line 739:  KOMONDOR SIMULATION 'sim_seed1992_input_nodes_n20_s48_cb2.csv' (seed 1992)</t>
  </si>
  <si>
    <t>Line 747:  KOMONDOR SIMULATION 'sim_seed1992_input_nodes_n20_s49_cb2.csv' (seed 1992)</t>
  </si>
  <si>
    <t>Line 755:  KOMONDOR SIMULATION 'sim_seed1992_input_nodes_n20_s4_cb2.csv' (seed 1992)</t>
  </si>
  <si>
    <t>Line 763:  KOMONDOR SIMULATION 'sim_seed1992_input_nodes_n20_s5_cb2.csv' (seed 1992)</t>
  </si>
  <si>
    <t>Line 771:  KOMONDOR SIMULATION 'sim_seed1992_input_nodes_n20_s6_cb2.csv' (seed 1992)</t>
  </si>
  <si>
    <t>Line 779:  KOMONDOR SIMULATION 'sim_seed1992_input_nodes_n20_s7_cb2.csv' (seed 1992)</t>
  </si>
  <si>
    <t>Line 787:  KOMONDOR SIMULATION 'sim_seed1992_input_nodes_n20_s8_cb2.csv' (seed 1992)</t>
  </si>
  <si>
    <t>Line 795:  KOMONDOR SIMULATION 'sim_seed1992_input_nodes_n20_s9_cb2.csv' (seed 1992)</t>
  </si>
  <si>
    <t>Line 803:  KOMONDOR SIMULATION 'sim_seed1992_input_nodes_n2_s0_cb2.csv' (seed 1992)</t>
  </si>
  <si>
    <t>Line 811:  KOMONDOR SIMULATION 'sim_seed1992_input_nodes_n2_s10_cb2.csv' (seed 1992)</t>
  </si>
  <si>
    <t>Line 819:  KOMONDOR SIMULATION 'sim_seed1992_input_nodes_n2_s11_cb2.csv' (seed 1992)</t>
  </si>
  <si>
    <t>Line 827:  KOMONDOR SIMULATION 'sim_seed1992_input_nodes_n2_s12_cb2.csv' (seed 1992)</t>
  </si>
  <si>
    <t>Line 835:  KOMONDOR SIMULATION 'sim_seed1992_input_nodes_n2_s13_cb2.csv' (seed 1992)</t>
  </si>
  <si>
    <t>Line 843:  KOMONDOR SIMULATION 'sim_seed1992_input_nodes_n2_s14_cb2.csv' (seed 1992)</t>
  </si>
  <si>
    <t>Line 851:  KOMONDOR SIMULATION 'sim_seed1992_input_nodes_n2_s15_cb2.csv' (seed 1992)</t>
  </si>
  <si>
    <t>Line 859:  KOMONDOR SIMULATION 'sim_seed1992_input_nodes_n2_s16_cb2.csv' (seed 1992)</t>
  </si>
  <si>
    <t>Line 867:  KOMONDOR SIMULATION 'sim_seed1992_input_nodes_n2_s17_cb2.csv' (seed 1992)</t>
  </si>
  <si>
    <t>Line 875:  KOMONDOR SIMULATION 'sim_seed1992_input_nodes_n2_s18_cb2.csv' (seed 1992)</t>
  </si>
  <si>
    <t>Line 883:  KOMONDOR SIMULATION 'sim_seed1992_input_nodes_n2_s19_cb2.csv' (seed 1992)</t>
  </si>
  <si>
    <t>Line 891:  KOMONDOR SIMULATION 'sim_seed1992_input_nodes_n2_s1_cb2.csv' (seed 1992)</t>
  </si>
  <si>
    <t>Line 899:  KOMONDOR SIMULATION 'sim_seed1992_input_nodes_n2_s20_cb2.csv' (seed 1992)</t>
  </si>
  <si>
    <t>Line 907:  KOMONDOR SIMULATION 'sim_seed1992_input_nodes_n2_s21_cb2.csv' (seed 1992)</t>
  </si>
  <si>
    <t>Line 915:  KOMONDOR SIMULATION 'sim_seed1992_input_nodes_n2_s22_cb2.csv' (seed 1992)</t>
  </si>
  <si>
    <t>Line 923:  KOMONDOR SIMULATION 'sim_seed1992_input_nodes_n2_s23_cb2.csv' (seed 1992)</t>
  </si>
  <si>
    <t>Line 931:  KOMONDOR SIMULATION 'sim_seed1992_input_nodes_n2_s24_cb2.csv' (seed 1992)</t>
  </si>
  <si>
    <t>Line 939:  KOMONDOR SIMULATION 'sim_seed1992_input_nodes_n2_s25_cb2.csv' (seed 1992)</t>
  </si>
  <si>
    <t>Line 947:  KOMONDOR SIMULATION 'sim_seed1992_input_nodes_n2_s26_cb2.csv' (seed 1992)</t>
  </si>
  <si>
    <t>Line 955:  KOMONDOR SIMULATION 'sim_seed1992_input_nodes_n2_s27_cb2.csv' (seed 1992)</t>
  </si>
  <si>
    <t>Line 963:  KOMONDOR SIMULATION 'sim_seed1992_input_nodes_n2_s28_cb2.csv' (seed 1992)</t>
  </si>
  <si>
    <t>Line 971:  KOMONDOR SIMULATION 'sim_seed1992_input_nodes_n2_s29_cb2.csv' (seed 1992)</t>
  </si>
  <si>
    <t>Line 979:  KOMONDOR SIMULATION 'sim_seed1992_input_nodes_n2_s2_cb2.csv' (seed 1992)</t>
  </si>
  <si>
    <t>Line 987:  KOMONDOR SIMULATION 'sim_seed1992_input_nodes_n2_s30_cb2.csv' (seed 1992)</t>
  </si>
  <si>
    <t>Line 995:  KOMONDOR SIMULATION 'sim_seed1992_input_nodes_n2_s31_cb2.csv' (seed 1992)</t>
  </si>
  <si>
    <t>Line 1003:  KOMONDOR SIMULATION 'sim_seed1992_input_nodes_n2_s32_cb2.csv' (seed 1992)</t>
  </si>
  <si>
    <t>Line 1011:  KOMONDOR SIMULATION 'sim_seed1992_input_nodes_n2_s33_cb2.csv' (seed 1992)</t>
  </si>
  <si>
    <t>Line 1019:  KOMONDOR SIMULATION 'sim_seed1992_input_nodes_n2_s34_cb2.csv' (seed 1992)</t>
  </si>
  <si>
    <t>Line 1027:  KOMONDOR SIMULATION 'sim_seed1992_input_nodes_n2_s35_cb2.csv' (seed 1992)</t>
  </si>
  <si>
    <t>Line 1035:  KOMONDOR SIMULATION 'sim_seed1992_input_nodes_n2_s36_cb2.csv' (seed 1992)</t>
  </si>
  <si>
    <t>Line 1043:  KOMONDOR SIMULATION 'sim_seed1992_input_nodes_n2_s37_cb2.csv' (seed 1992)</t>
  </si>
  <si>
    <t>Line 1051:  KOMONDOR SIMULATION 'sim_seed1992_input_nodes_n2_s38_cb2.csv' (seed 1992)</t>
  </si>
  <si>
    <t>Line 1059:  KOMONDOR SIMULATION 'sim_seed1992_input_nodes_n2_s39_cb2.csv' (seed 1992)</t>
  </si>
  <si>
    <t>Line 1067:  KOMONDOR SIMULATION 'sim_seed1992_input_nodes_n2_s3_cb2.csv' (seed 1992)</t>
  </si>
  <si>
    <t>Line 1075:  KOMONDOR SIMULATION 'sim_seed1992_input_nodes_n2_s40_cb2.csv' (seed 1992)</t>
  </si>
  <si>
    <t>Line 1083:  KOMONDOR SIMULATION 'sim_seed1992_input_nodes_n2_s41_cb2.csv' (seed 1992)</t>
  </si>
  <si>
    <t>Line 1091:  KOMONDOR SIMULATION 'sim_seed1992_input_nodes_n2_s42_cb2.csv' (seed 1992)</t>
  </si>
  <si>
    <t>Line 1099:  KOMONDOR SIMULATION 'sim_seed1992_input_nodes_n2_s43_cb2.csv' (seed 1992)</t>
  </si>
  <si>
    <t>Line 1107:  KOMONDOR SIMULATION 'sim_seed1992_input_nodes_n2_s44_cb2.csv' (seed 1992)</t>
  </si>
  <si>
    <t>Line 1115:  KOMONDOR SIMULATION 'sim_seed1992_input_nodes_n2_s45_cb2.csv' (seed 1992)</t>
  </si>
  <si>
    <t>Line 1123:  KOMONDOR SIMULATION 'sim_seed1992_input_nodes_n2_s46_cb2.csv' (seed 1992)</t>
  </si>
  <si>
    <t>Line 1131:  KOMONDOR SIMULATION 'sim_seed1992_input_nodes_n2_s47_cb2.csv' (seed 1992)</t>
  </si>
  <si>
    <t>Line 1139:  KOMONDOR SIMULATION 'sim_seed1992_input_nodes_n2_s48_cb2.csv' (seed 1992)</t>
  </si>
  <si>
    <t>Line 1147:  KOMONDOR SIMULATION 'sim_seed1992_input_nodes_n2_s49_cb2.csv' (seed 1992)</t>
  </si>
  <si>
    <t>Line 1155:  KOMONDOR SIMULATION 'sim_seed1992_input_nodes_n2_s4_cb2.csv' (seed 1992)</t>
  </si>
  <si>
    <t>Line 1163:  KOMONDOR SIMULATION 'sim_seed1992_input_nodes_n2_s5_cb2.csv' (seed 1992)</t>
  </si>
  <si>
    <t>Line 1171:  KOMONDOR SIMULATION 'sim_seed1992_input_nodes_n2_s6_cb2.csv' (seed 1992)</t>
  </si>
  <si>
    <t>Line 1179:  KOMONDOR SIMULATION 'sim_seed1992_input_nodes_n2_s7_cb2.csv' (seed 1992)</t>
  </si>
  <si>
    <t>Line 1187:  KOMONDOR SIMULATION 'sim_seed1992_input_nodes_n2_s8_cb2.csv' (seed 1992)</t>
  </si>
  <si>
    <t>Line 1195:  KOMONDOR SIMULATION 'sim_seed1992_input_nodes_n2_s9_cb2.csv' (seed 1992)</t>
  </si>
  <si>
    <t>Line 1203:  KOMONDOR SIMULATION 'sim_seed1992_input_nodes_n30_s0_cb2.csv' (seed 1992)</t>
  </si>
  <si>
    <t>Line 1211:  KOMONDOR SIMULATION 'sim_seed1992_input_nodes_n30_s10_cb2.csv' (seed 1992)</t>
  </si>
  <si>
    <t>Line 1219:  KOMONDOR SIMULATION 'sim_seed1992_input_nodes_n30_s11_cb2.csv' (seed 1992)</t>
  </si>
  <si>
    <t>Line 1227:  KOMONDOR SIMULATION 'sim_seed1992_input_nodes_n30_s12_cb2.csv' (seed 1992)</t>
  </si>
  <si>
    <t>Line 1235:  KOMONDOR SIMULATION 'sim_seed1992_input_nodes_n30_s13_cb2.csv' (seed 1992)</t>
  </si>
  <si>
    <t>Line 1243:  KOMONDOR SIMULATION 'sim_seed1992_input_nodes_n30_s14_cb2.csv' (seed 1992)</t>
  </si>
  <si>
    <t>Line 1251:  KOMONDOR SIMULATION 'sim_seed1992_input_nodes_n30_s15_cb2.csv' (seed 1992)</t>
  </si>
  <si>
    <t>Line 1259:  KOMONDOR SIMULATION 'sim_seed1992_input_nodes_n30_s16_cb2.csv' (seed 1992)</t>
  </si>
  <si>
    <t>Line 1267:  KOMONDOR SIMULATION 'sim_seed1992_input_nodes_n30_s17_cb2.csv' (seed 1992)</t>
  </si>
  <si>
    <t>Line 1275:  KOMONDOR SIMULATION 'sim_seed1992_input_nodes_n30_s18_cb2.csv' (seed 1992)</t>
  </si>
  <si>
    <t>Line 1283:  KOMONDOR SIMULATION 'sim_seed1992_input_nodes_n30_s19_cb2.csv' (seed 1992)</t>
  </si>
  <si>
    <t>Line 1291:  KOMONDOR SIMULATION 'sim_seed1992_input_nodes_n30_s1_cb2.csv' (seed 1992)</t>
  </si>
  <si>
    <t>Line 1299:  KOMONDOR SIMULATION 'sim_seed1992_input_nodes_n30_s20_cb2.csv' (seed 1992)</t>
  </si>
  <si>
    <t>Line 1307:  KOMONDOR SIMULATION 'sim_seed1992_input_nodes_n30_s21_cb2.csv' (seed 1992)</t>
  </si>
  <si>
    <t>Line 1315:  KOMONDOR SIMULATION 'sim_seed1992_input_nodes_n30_s22_cb2.csv' (seed 1992)</t>
  </si>
  <si>
    <t>Line 1323:  KOMONDOR SIMULATION 'sim_seed1992_input_nodes_n30_s23_cb2.csv' (seed 1992)</t>
  </si>
  <si>
    <t>Line 1331:  KOMONDOR SIMULATION 'sim_seed1992_input_nodes_n30_s24_cb2.csv' (seed 1992)</t>
  </si>
  <si>
    <t>Line 1339:  KOMONDOR SIMULATION 'sim_seed1992_input_nodes_n30_s25_cb2.csv' (seed 1992)</t>
  </si>
  <si>
    <t>Line 1347:  KOMONDOR SIMULATION 'sim_seed1992_input_nodes_n30_s26_cb2.csv' (seed 1992)</t>
  </si>
  <si>
    <t>Line 1355:  KOMONDOR SIMULATION 'sim_seed1992_input_nodes_n30_s27_cb2.csv' (seed 1992)</t>
  </si>
  <si>
    <t>Line 1363:  KOMONDOR SIMULATION 'sim_seed1992_input_nodes_n30_s28_cb2.csv' (seed 1992)</t>
  </si>
  <si>
    <t>Line 1371:  KOMONDOR SIMULATION 'sim_seed1992_input_nodes_n30_s29_cb2.csv' (seed 1992)</t>
  </si>
  <si>
    <t>Line 1379:  KOMONDOR SIMULATION 'sim_seed1992_input_nodes_n30_s2_cb2.csv' (seed 1992)</t>
  </si>
  <si>
    <t>Line 1387:  KOMONDOR SIMULATION 'sim_seed1992_input_nodes_n30_s30_cb2.csv' (seed 1992)</t>
  </si>
  <si>
    <t>Line 1395:  KOMONDOR SIMULATION 'sim_seed1992_input_nodes_n30_s31_cb2.csv' (seed 1992)</t>
  </si>
  <si>
    <t>Line 1403:  KOMONDOR SIMULATION 'sim_seed1992_input_nodes_n30_s32_cb2.csv' (seed 1992)</t>
  </si>
  <si>
    <t>Line 1411:  KOMONDOR SIMULATION 'sim_seed1992_input_nodes_n30_s33_cb2.csv' (seed 1992)</t>
  </si>
  <si>
    <t>Line 1419:  KOMONDOR SIMULATION 'sim_seed1992_input_nodes_n30_s34_cb2.csv' (seed 1992)</t>
  </si>
  <si>
    <t>Line 1427:  KOMONDOR SIMULATION 'sim_seed1992_input_nodes_n30_s35_cb2.csv' (seed 1992)</t>
  </si>
  <si>
    <t>Line 1435:  KOMONDOR SIMULATION 'sim_seed1992_input_nodes_n30_s36_cb2.csv' (seed 1992)</t>
  </si>
  <si>
    <t>Line 1443:  KOMONDOR SIMULATION 'sim_seed1992_input_nodes_n30_s37_cb2.csv' (seed 1992)</t>
  </si>
  <si>
    <t>Line 1451:  KOMONDOR SIMULATION 'sim_seed1992_input_nodes_n30_s38_cb2.csv' (seed 1992)</t>
  </si>
  <si>
    <t>Line 1459:  KOMONDOR SIMULATION 'sim_seed1992_input_nodes_n30_s39_cb2.csv' (seed 1992)</t>
  </si>
  <si>
    <t>Line 1467:  KOMONDOR SIMULATION 'sim_seed1992_input_nodes_n30_s3_cb2.csv' (seed 1992)</t>
  </si>
  <si>
    <t>Line 1475:  KOMONDOR SIMULATION 'sim_seed1992_input_nodes_n30_s40_cb2.csv' (seed 1992)</t>
  </si>
  <si>
    <t>Line 1483:  KOMONDOR SIMULATION 'sim_seed1992_input_nodes_n30_s41_cb2.csv' (seed 1992)</t>
  </si>
  <si>
    <t>Line 1491:  KOMONDOR SIMULATION 'sim_seed1992_input_nodes_n30_s42_cb2.csv' (seed 1992)</t>
  </si>
  <si>
    <t>Line 1499:  KOMONDOR SIMULATION 'sim_seed1992_input_nodes_n30_s43_cb2.csv' (seed 1992)</t>
  </si>
  <si>
    <t>Line 1507:  KOMONDOR SIMULATION 'sim_seed1992_input_nodes_n30_s44_cb2.csv' (seed 1992)</t>
  </si>
  <si>
    <t>Line 1515:  KOMONDOR SIMULATION 'sim_seed1992_input_nodes_n30_s45_cb2.csv' (seed 1992)</t>
  </si>
  <si>
    <t>Line 1523:  KOMONDOR SIMULATION 'sim_seed1992_input_nodes_n30_s46_cb2.csv' (seed 1992)</t>
  </si>
  <si>
    <t>Line 1531:  KOMONDOR SIMULATION 'sim_seed1992_input_nodes_n30_s47_cb2.csv' (seed 1992)</t>
  </si>
  <si>
    <t>Line 1539:  KOMONDOR SIMULATION 'sim_seed1992_input_nodes_n30_s48_cb2.csv' (seed 1992)</t>
  </si>
  <si>
    <t>Line 1547:  KOMONDOR SIMULATION 'sim_seed1992_input_nodes_n30_s49_cb2.csv' (seed 1992)</t>
  </si>
  <si>
    <t>Line 1555:  KOMONDOR SIMULATION 'sim_seed1992_input_nodes_n30_s4_cb2.csv' (seed 1992)</t>
  </si>
  <si>
    <t>Line 1563:  KOMONDOR SIMULATION 'sim_seed1992_input_nodes_n30_s5_cb2.csv' (seed 1992)</t>
  </si>
  <si>
    <t>Line 1571:  KOMONDOR SIMULATION 'sim_seed1992_input_nodes_n30_s6_cb2.csv' (seed 1992)</t>
  </si>
  <si>
    <t>Line 1579:  KOMONDOR SIMULATION 'sim_seed1992_input_nodes_n30_s7_cb2.csv' (seed 1992)</t>
  </si>
  <si>
    <t>Line 1587:  KOMONDOR SIMULATION 'sim_seed1992_input_nodes_n30_s8_cb2.csv' (seed 1992)</t>
  </si>
  <si>
    <t>Line 1595:  KOMONDOR SIMULATION 'sim_seed1992_input_nodes_n30_s9_cb2.csv' (seed 1992)</t>
  </si>
  <si>
    <t>Line 1603:  KOMONDOR SIMULATION 'sim_seed1992_input_nodes_n40_s0_cb2.csv' (seed 1992)</t>
  </si>
  <si>
    <t>Line 1611:  KOMONDOR SIMULATION 'sim_seed1992_input_nodes_n40_s10_cb2.csv' (seed 1992)</t>
  </si>
  <si>
    <t>Line 1619:  KOMONDOR SIMULATION 'sim_seed1992_input_nodes_n40_s11_cb2.csv' (seed 1992)</t>
  </si>
  <si>
    <t>Line 1627:  KOMONDOR SIMULATION 'sim_seed1992_input_nodes_n40_s12_cb2.csv' (seed 1992)</t>
  </si>
  <si>
    <t>Line 1635:  KOMONDOR SIMULATION 'sim_seed1992_input_nodes_n40_s13_cb2.csv' (seed 1992)</t>
  </si>
  <si>
    <t>Line 1643:  KOMONDOR SIMULATION 'sim_seed1992_input_nodes_n40_s14_cb2.csv' (seed 1992)</t>
  </si>
  <si>
    <t>Line 1651:  KOMONDOR SIMULATION 'sim_seed1992_input_nodes_n40_s15_cb2.csv' (seed 1992)</t>
  </si>
  <si>
    <t>Line 1659:  KOMONDOR SIMULATION 'sim_seed1992_input_nodes_n40_s16_cb2.csv' (seed 1992)</t>
  </si>
  <si>
    <t>Line 1667:  KOMONDOR SIMULATION 'sim_seed1992_input_nodes_n40_s17_cb2.csv' (seed 1992)</t>
  </si>
  <si>
    <t>Line 1675:  KOMONDOR SIMULATION 'sim_seed1992_input_nodes_n40_s18_cb2.csv' (seed 1992)</t>
  </si>
  <si>
    <t>Line 1683:  KOMONDOR SIMULATION 'sim_seed1992_input_nodes_n40_s19_cb2.csv' (seed 1992)</t>
  </si>
  <si>
    <t>Line 1691:  KOMONDOR SIMULATION 'sim_seed1992_input_nodes_n40_s1_cb2.csv' (seed 1992)</t>
  </si>
  <si>
    <t>Line 1699:  KOMONDOR SIMULATION 'sim_seed1992_input_nodes_n40_s20_cb2.csv' (seed 1992)</t>
  </si>
  <si>
    <t>Line 1707:  KOMONDOR SIMULATION 'sim_seed1992_input_nodes_n40_s21_cb2.csv' (seed 1992)</t>
  </si>
  <si>
    <t>Line 1715:  KOMONDOR SIMULATION 'sim_seed1992_input_nodes_n40_s22_cb2.csv' (seed 1992)</t>
  </si>
  <si>
    <t>Line 1723:  KOMONDOR SIMULATION 'sim_seed1992_input_nodes_n40_s23_cb2.csv' (seed 1992)</t>
  </si>
  <si>
    <t>Line 1731:  KOMONDOR SIMULATION 'sim_seed1992_input_nodes_n40_s24_cb2.csv' (seed 1992)</t>
  </si>
  <si>
    <t>Line 1739:  KOMONDOR SIMULATION 'sim_seed1992_input_nodes_n40_s25_cb2.csv' (seed 1992)</t>
  </si>
  <si>
    <t>Line 1747:  KOMONDOR SIMULATION 'sim_seed1992_input_nodes_n40_s26_cb2.csv' (seed 1992)</t>
  </si>
  <si>
    <t>Line 1755:  KOMONDOR SIMULATION 'sim_seed1992_input_nodes_n40_s27_cb2.csv' (seed 1992)</t>
  </si>
  <si>
    <t>Line 1763:  KOMONDOR SIMULATION 'sim_seed1992_input_nodes_n40_s28_cb2.csv' (seed 1992)</t>
  </si>
  <si>
    <t>Line 1771:  KOMONDOR SIMULATION 'sim_seed1992_input_nodes_n40_s29_cb2.csv' (seed 1992)</t>
  </si>
  <si>
    <t>Line 1779:  KOMONDOR SIMULATION 'sim_seed1992_input_nodes_n40_s2_cb2.csv' (seed 1992)</t>
  </si>
  <si>
    <t>Line 1787:  KOMONDOR SIMULATION 'sim_seed1992_input_nodes_n40_s30_cb2.csv' (seed 1992)</t>
  </si>
  <si>
    <t>Line 1795:  KOMONDOR SIMULATION 'sim_seed1992_input_nodes_n40_s31_cb2.csv' (seed 1992)</t>
  </si>
  <si>
    <t>Line 1803:  KOMONDOR SIMULATION 'sim_seed1992_input_nodes_n40_s32_cb2.csv' (seed 1992)</t>
  </si>
  <si>
    <t>Line 1811:  KOMONDOR SIMULATION 'sim_seed1992_input_nodes_n40_s33_cb2.csv' (seed 1992)</t>
  </si>
  <si>
    <t>Line 1819:  KOMONDOR SIMULATION 'sim_seed1992_input_nodes_n40_s34_cb2.csv' (seed 1992)</t>
  </si>
  <si>
    <t>Line 1827:  KOMONDOR SIMULATION 'sim_seed1992_input_nodes_n40_s35_cb2.csv' (seed 1992)</t>
  </si>
  <si>
    <t>Line 1835:  KOMONDOR SIMULATION 'sim_seed1992_input_nodes_n40_s36_cb2.csv' (seed 1992)</t>
  </si>
  <si>
    <t>Line 1843:  KOMONDOR SIMULATION 'sim_seed1992_input_nodes_n40_s37_cb2.csv' (seed 1992)</t>
  </si>
  <si>
    <t>Line 1851:  KOMONDOR SIMULATION 'sim_seed1992_input_nodes_n40_s38_cb2.csv' (seed 1992)</t>
  </si>
  <si>
    <t>Line 1859:  KOMONDOR SIMULATION 'sim_seed1992_input_nodes_n40_s39_cb2.csv' (seed 1992)</t>
  </si>
  <si>
    <t>Line 1867:  KOMONDOR SIMULATION 'sim_seed1992_input_nodes_n40_s3_cb2.csv' (seed 1992)</t>
  </si>
  <si>
    <t>Line 1875:  KOMONDOR SIMULATION 'sim_seed1992_input_nodes_n40_s40_cb2.csv' (seed 1992)</t>
  </si>
  <si>
    <t>Line 1883:  KOMONDOR SIMULATION 'sim_seed1992_input_nodes_n40_s41_cb2.csv' (seed 1992)</t>
  </si>
  <si>
    <t>Line 1891:  KOMONDOR SIMULATION 'sim_seed1992_input_nodes_n40_s42_cb2.csv' (seed 1992)</t>
  </si>
  <si>
    <t>Line 1899:  KOMONDOR SIMULATION 'sim_seed1992_input_nodes_n40_s43_cb2.csv' (seed 1992)</t>
  </si>
  <si>
    <t>Line 1907:  KOMONDOR SIMULATION 'sim_seed1992_input_nodes_n40_s44_cb2.csv' (seed 1992)</t>
  </si>
  <si>
    <t>Line 1915:  KOMONDOR SIMULATION 'sim_seed1992_input_nodes_n40_s45_cb2.csv' (seed 1992)</t>
  </si>
  <si>
    <t>Line 1923:  KOMONDOR SIMULATION 'sim_seed1992_input_nodes_n40_s46_cb2.csv' (seed 1992)</t>
  </si>
  <si>
    <t>Line 1931:  KOMONDOR SIMULATION 'sim_seed1992_input_nodes_n40_s47_cb2.csv' (seed 1992)</t>
  </si>
  <si>
    <t>Line 1939:  KOMONDOR SIMULATION 'sim_seed1992_input_nodes_n40_s48_cb2.csv' (seed 1992)</t>
  </si>
  <si>
    <t>Line 1947:  KOMONDOR SIMULATION 'sim_seed1992_input_nodes_n40_s49_cb2.csv' (seed 1992)</t>
  </si>
  <si>
    <t>Line 1955:  KOMONDOR SIMULATION 'sim_seed1992_input_nodes_n40_s4_cb2.csv' (seed 1992)</t>
  </si>
  <si>
    <t>Line 1963:  KOMONDOR SIMULATION 'sim_seed1992_input_nodes_n40_s5_cb2.csv' (seed 1992)</t>
  </si>
  <si>
    <t>Line 1971:  KOMONDOR SIMULATION 'sim_seed1992_input_nodes_n40_s6_cb2.csv' (seed 1992)</t>
  </si>
  <si>
    <t>Line 1979:  KOMONDOR SIMULATION 'sim_seed1992_input_nodes_n40_s7_cb2.csv' (seed 1992)</t>
  </si>
  <si>
    <t>Line 1987:  KOMONDOR SIMULATION 'sim_seed1992_input_nodes_n40_s8_cb2.csv' (seed 1992)</t>
  </si>
  <si>
    <t>Line 1995:  KOMONDOR SIMULATION 'sim_seed1992_input_nodes_n40_s9_cb2.csv' (seed 1992)</t>
  </si>
  <si>
    <t>Line 2003:  KOMONDOR SIMULATION 'sim_seed1992_input_nodes_n5_s0_cb2.csv' (seed 1992)</t>
  </si>
  <si>
    <t>Line 2011:  KOMONDOR SIMULATION 'sim_seed1992_input_nodes_n5_s10_cb2.csv' (seed 1992)</t>
  </si>
  <si>
    <t>Line 2019:  KOMONDOR SIMULATION 'sim_seed1992_input_nodes_n5_s11_cb2.csv' (seed 1992)</t>
  </si>
  <si>
    <t>Line 2027:  KOMONDOR SIMULATION 'sim_seed1992_input_nodes_n5_s12_cb2.csv' (seed 1992)</t>
  </si>
  <si>
    <t>Line 2035:  KOMONDOR SIMULATION 'sim_seed1992_input_nodes_n5_s13_cb2.csv' (seed 1992)</t>
  </si>
  <si>
    <t>Line 2043:  KOMONDOR SIMULATION 'sim_seed1992_input_nodes_n5_s14_cb2.csv' (seed 1992)</t>
  </si>
  <si>
    <t>Line 2051:  KOMONDOR SIMULATION 'sim_seed1992_input_nodes_n5_s15_cb2.csv' (seed 1992)</t>
  </si>
  <si>
    <t>Line 2059:  KOMONDOR SIMULATION 'sim_seed1992_input_nodes_n5_s16_cb2.csv' (seed 1992)</t>
  </si>
  <si>
    <t>Line 2067:  KOMONDOR SIMULATION 'sim_seed1992_input_nodes_n5_s17_cb2.csv' (seed 1992)</t>
  </si>
  <si>
    <t>Line 2075:  KOMONDOR SIMULATION 'sim_seed1992_input_nodes_n5_s18_cb2.csv' (seed 1992)</t>
  </si>
  <si>
    <t>Line 2083:  KOMONDOR SIMULATION 'sim_seed1992_input_nodes_n5_s19_cb2.csv' (seed 1992)</t>
  </si>
  <si>
    <t>Line 2091:  KOMONDOR SIMULATION 'sim_seed1992_input_nodes_n5_s1_cb2.csv' (seed 1992)</t>
  </si>
  <si>
    <t>Line 2099:  KOMONDOR SIMULATION 'sim_seed1992_input_nodes_n5_s20_cb2.csv' (seed 1992)</t>
  </si>
  <si>
    <t>Line 2107:  KOMONDOR SIMULATION 'sim_seed1992_input_nodes_n5_s21_cb2.csv' (seed 1992)</t>
  </si>
  <si>
    <t>Line 2115:  KOMONDOR SIMULATION 'sim_seed1992_input_nodes_n5_s22_cb2.csv' (seed 1992)</t>
  </si>
  <si>
    <t>Line 2123:  KOMONDOR SIMULATION 'sim_seed1992_input_nodes_n5_s23_cb2.csv' (seed 1992)</t>
  </si>
  <si>
    <t>Line 2131:  KOMONDOR SIMULATION 'sim_seed1992_input_nodes_n5_s24_cb2.csv' (seed 1992)</t>
  </si>
  <si>
    <t>Line 2139:  KOMONDOR SIMULATION 'sim_seed1992_input_nodes_n5_s25_cb2.csv' (seed 1992)</t>
  </si>
  <si>
    <t>Line 2147:  KOMONDOR SIMULATION 'sim_seed1992_input_nodes_n5_s26_cb2.csv' (seed 1992)</t>
  </si>
  <si>
    <t>Line 2155:  KOMONDOR SIMULATION 'sim_seed1992_input_nodes_n5_s27_cb2.csv' (seed 1992)</t>
  </si>
  <si>
    <t>Line 2163:  KOMONDOR SIMULATION 'sim_seed1992_input_nodes_n5_s28_cb2.csv' (seed 1992)</t>
  </si>
  <si>
    <t>Line 2171:  KOMONDOR SIMULATION 'sim_seed1992_input_nodes_n5_s29_cb2.csv' (seed 1992)</t>
  </si>
  <si>
    <t>Line 2179:  KOMONDOR SIMULATION 'sim_seed1992_input_nodes_n5_s2_cb2.csv' (seed 1992)</t>
  </si>
  <si>
    <t>Line 2187:  KOMONDOR SIMULATION 'sim_seed1992_input_nodes_n5_s30_cb2.csv' (seed 1992)</t>
  </si>
  <si>
    <t>Line 2195:  KOMONDOR SIMULATION 'sim_seed1992_input_nodes_n5_s31_cb2.csv' (seed 1992)</t>
  </si>
  <si>
    <t>Line 2203:  KOMONDOR SIMULATION 'sim_seed1992_input_nodes_n5_s32_cb2.csv' (seed 1992)</t>
  </si>
  <si>
    <t>Line 2211:  KOMONDOR SIMULATION 'sim_seed1992_input_nodes_n5_s33_cb2.csv' (seed 1992)</t>
  </si>
  <si>
    <t>Line 2219:  KOMONDOR SIMULATION 'sim_seed1992_input_nodes_n5_s34_cb2.csv' (seed 1992)</t>
  </si>
  <si>
    <t>Line 2227:  KOMONDOR SIMULATION 'sim_seed1992_input_nodes_n5_s35_cb2.csv' (seed 1992)</t>
  </si>
  <si>
    <t>Line 2235:  KOMONDOR SIMULATION 'sim_seed1992_input_nodes_n5_s36_cb2.csv' (seed 1992)</t>
  </si>
  <si>
    <t>Line 2243:  KOMONDOR SIMULATION 'sim_seed1992_input_nodes_n5_s37_cb2.csv' (seed 1992)</t>
  </si>
  <si>
    <t>Line 2251:  KOMONDOR SIMULATION 'sim_seed1992_input_nodes_n5_s38_cb2.csv' (seed 1992)</t>
  </si>
  <si>
    <t>Line 2259:  KOMONDOR SIMULATION 'sim_seed1992_input_nodes_n5_s39_cb2.csv' (seed 1992)</t>
  </si>
  <si>
    <t>Line 2267:  KOMONDOR SIMULATION 'sim_seed1992_input_nodes_n5_s3_cb2.csv' (seed 1992)</t>
  </si>
  <si>
    <t>Line 2275:  KOMONDOR SIMULATION 'sim_seed1992_input_nodes_n5_s40_cb2.csv' (seed 1992)</t>
  </si>
  <si>
    <t>Line 2283:  KOMONDOR SIMULATION 'sim_seed1992_input_nodes_n5_s41_cb2.csv' (seed 1992)</t>
  </si>
  <si>
    <t>Line 2291:  KOMONDOR SIMULATION 'sim_seed1992_input_nodes_n5_s42_cb2.csv' (seed 1992)</t>
  </si>
  <si>
    <t>Line 2299:  KOMONDOR SIMULATION 'sim_seed1992_input_nodes_n5_s43_cb2.csv' (seed 1992)</t>
  </si>
  <si>
    <t>Line 2307:  KOMONDOR SIMULATION 'sim_seed1992_input_nodes_n5_s44_cb2.csv' (seed 1992)</t>
  </si>
  <si>
    <t>Line 2315:  KOMONDOR SIMULATION 'sim_seed1992_input_nodes_n5_s45_cb2.csv' (seed 1992)</t>
  </si>
  <si>
    <t>Line 2323:  KOMONDOR SIMULATION 'sim_seed1992_input_nodes_n5_s46_cb2.csv' (seed 1992)</t>
  </si>
  <si>
    <t>Line 2331:  KOMONDOR SIMULATION 'sim_seed1992_input_nodes_n5_s47_cb2.csv' (seed 1992)</t>
  </si>
  <si>
    <t>Line 2339:  KOMONDOR SIMULATION 'sim_seed1992_input_nodes_n5_s48_cb2.csv' (seed 1992)</t>
  </si>
  <si>
    <t>Line 2347:  KOMONDOR SIMULATION 'sim_seed1992_input_nodes_n5_s49_cb2.csv' (seed 1992)</t>
  </si>
  <si>
    <t>Line 2355:  KOMONDOR SIMULATION 'sim_seed1992_input_nodes_n5_s4_cb2.csv' (seed 1992)</t>
  </si>
  <si>
    <t>Line 2363:  KOMONDOR SIMULATION 'sim_seed1992_input_nodes_n5_s5_cb2.csv' (seed 1992)</t>
  </si>
  <si>
    <t>Line 2371:  KOMONDOR SIMULATION 'sim_seed1992_input_nodes_n5_s6_cb2.csv' (seed 1992)</t>
  </si>
  <si>
    <t>Line 2379:  KOMONDOR SIMULATION 'sim_seed1992_input_nodes_n5_s7_cb2.csv' (seed 1992)</t>
  </si>
  <si>
    <t>Line 2387:  KOMONDOR SIMULATION 'sim_seed1992_input_nodes_n5_s8_cb2.csv' (seed 1992)</t>
  </si>
  <si>
    <t>Line 2395:  KOMONDOR SIMULATION 'sim_seed1992_input_nodes_n5_s9_cb2.csv' (seed 1992)</t>
  </si>
  <si>
    <t>Line 5:  KOMONDOR SIMULATION 'sim_seed1992_input_nodes_n10_s0_cb4.csv' (seed 1992)</t>
  </si>
  <si>
    <t>Line 13:  KOMONDOR SIMULATION 'sim_seed1992_input_nodes_n10_s10_cb4.csv' (seed 1992)</t>
  </si>
  <si>
    <t>Line 21:  KOMONDOR SIMULATION 'sim_seed1992_input_nodes_n10_s11_cb4.csv' (seed 1992)</t>
  </si>
  <si>
    <t>Line 29:  KOMONDOR SIMULATION 'sim_seed1992_input_nodes_n10_s12_cb4.csv' (seed 1992)</t>
  </si>
  <si>
    <t>Line 37:  KOMONDOR SIMULATION 'sim_seed1992_input_nodes_n10_s13_cb4.csv' (seed 1992)</t>
  </si>
  <si>
    <t>Line 45:  KOMONDOR SIMULATION 'sim_seed1992_input_nodes_n10_s14_cb4.csv' (seed 1992)</t>
  </si>
  <si>
    <t>Line 53:  KOMONDOR SIMULATION 'sim_seed1992_input_nodes_n10_s15_cb4.csv' (seed 1992)</t>
  </si>
  <si>
    <t>Line 61:  KOMONDOR SIMULATION 'sim_seed1992_input_nodes_n10_s16_cb4.csv' (seed 1992)</t>
  </si>
  <si>
    <t>Line 69:  KOMONDOR SIMULATION 'sim_seed1992_input_nodes_n10_s17_cb4.csv' (seed 1992)</t>
  </si>
  <si>
    <t>Line 77:  KOMONDOR SIMULATION 'sim_seed1992_input_nodes_n10_s18_cb4.csv' (seed 1992)</t>
  </si>
  <si>
    <t>Line 85:  KOMONDOR SIMULATION 'sim_seed1992_input_nodes_n10_s19_cb4.csv' (seed 1992)</t>
  </si>
  <si>
    <t>Line 93:  KOMONDOR SIMULATION 'sim_seed1992_input_nodes_n10_s1_cb4.csv' (seed 1992)</t>
  </si>
  <si>
    <t>Line 101:  KOMONDOR SIMULATION 'sim_seed1992_input_nodes_n10_s20_cb4.csv' (seed 1992)</t>
  </si>
  <si>
    <t>Line 109:  KOMONDOR SIMULATION 'sim_seed1992_input_nodes_n10_s21_cb4.csv' (seed 1992)</t>
  </si>
  <si>
    <t>Line 117:  KOMONDOR SIMULATION 'sim_seed1992_input_nodes_n10_s22_cb4.csv' (seed 1992)</t>
  </si>
  <si>
    <t>Line 125:  KOMONDOR SIMULATION 'sim_seed1992_input_nodes_n10_s23_cb4.csv' (seed 1992)</t>
  </si>
  <si>
    <t>Line 133:  KOMONDOR SIMULATION 'sim_seed1992_input_nodes_n10_s24_cb4.csv' (seed 1992)</t>
  </si>
  <si>
    <t>Line 141:  KOMONDOR SIMULATION 'sim_seed1992_input_nodes_n10_s25_cb4.csv' (seed 1992)</t>
  </si>
  <si>
    <t>Line 149:  KOMONDOR SIMULATION 'sim_seed1992_input_nodes_n10_s26_cb4.csv' (seed 1992)</t>
  </si>
  <si>
    <t>Line 157:  KOMONDOR SIMULATION 'sim_seed1992_input_nodes_n10_s27_cb4.csv' (seed 1992)</t>
  </si>
  <si>
    <t>Line 165:  KOMONDOR SIMULATION 'sim_seed1992_input_nodes_n10_s28_cb4.csv' (seed 1992)</t>
  </si>
  <si>
    <t>Line 173:  KOMONDOR SIMULATION 'sim_seed1992_input_nodes_n10_s29_cb4.csv' (seed 1992)</t>
  </si>
  <si>
    <t>Line 181:  KOMONDOR SIMULATION 'sim_seed1992_input_nodes_n10_s2_cb4.csv' (seed 1992)</t>
  </si>
  <si>
    <t>Line 189:  KOMONDOR SIMULATION 'sim_seed1992_input_nodes_n10_s30_cb4.csv' (seed 1992)</t>
  </si>
  <si>
    <t>Line 197:  KOMONDOR SIMULATION 'sim_seed1992_input_nodes_n10_s31_cb4.csv' (seed 1992)</t>
  </si>
  <si>
    <t>Line 205:  KOMONDOR SIMULATION 'sim_seed1992_input_nodes_n10_s32_cb4.csv' (seed 1992)</t>
  </si>
  <si>
    <t>Line 213:  KOMONDOR SIMULATION 'sim_seed1992_input_nodes_n10_s33_cb4.csv' (seed 1992)</t>
  </si>
  <si>
    <t>Line 221:  KOMONDOR SIMULATION 'sim_seed1992_input_nodes_n10_s34_cb4.csv' (seed 1992)</t>
  </si>
  <si>
    <t>Line 229:  KOMONDOR SIMULATION 'sim_seed1992_input_nodes_n10_s35_cb4.csv' (seed 1992)</t>
  </si>
  <si>
    <t>Line 237:  KOMONDOR SIMULATION 'sim_seed1992_input_nodes_n10_s36_cb4.csv' (seed 1992)</t>
  </si>
  <si>
    <t>Line 245:  KOMONDOR SIMULATION 'sim_seed1992_input_nodes_n10_s37_cb4.csv' (seed 1992)</t>
  </si>
  <si>
    <t>Line 253:  KOMONDOR SIMULATION 'sim_seed1992_input_nodes_n10_s38_cb4.csv' (seed 1992)</t>
  </si>
  <si>
    <t>Line 261:  KOMONDOR SIMULATION 'sim_seed1992_input_nodes_n10_s39_cb4.csv' (seed 1992)</t>
  </si>
  <si>
    <t>Line 269:  KOMONDOR SIMULATION 'sim_seed1992_input_nodes_n10_s3_cb4.csv' (seed 1992)</t>
  </si>
  <si>
    <t>Line 277:  KOMONDOR SIMULATION 'sim_seed1992_input_nodes_n10_s40_cb4.csv' (seed 1992)</t>
  </si>
  <si>
    <t>Line 285:  KOMONDOR SIMULATION 'sim_seed1992_input_nodes_n10_s41_cb4.csv' (seed 1992)</t>
  </si>
  <si>
    <t>Line 293:  KOMONDOR SIMULATION 'sim_seed1992_input_nodes_n10_s42_cb4.csv' (seed 1992)</t>
  </si>
  <si>
    <t>Line 301:  KOMONDOR SIMULATION 'sim_seed1992_input_nodes_n10_s43_cb4.csv' (seed 1992)</t>
  </si>
  <si>
    <t>Line 309:  KOMONDOR SIMULATION 'sim_seed1992_input_nodes_n10_s44_cb4.csv' (seed 1992)</t>
  </si>
  <si>
    <t>Line 317:  KOMONDOR SIMULATION 'sim_seed1992_input_nodes_n10_s45_cb4.csv' (seed 1992)</t>
  </si>
  <si>
    <t>Line 325:  KOMONDOR SIMULATION 'sim_seed1992_input_nodes_n10_s46_cb4.csv' (seed 1992)</t>
  </si>
  <si>
    <t>Line 333:  KOMONDOR SIMULATION 'sim_seed1992_input_nodes_n10_s47_cb4.csv' (seed 1992)</t>
  </si>
  <si>
    <t>Line 341:  KOMONDOR SIMULATION 'sim_seed1992_input_nodes_n10_s48_cb4.csv' (seed 1992)</t>
  </si>
  <si>
    <t>Line 349:  KOMONDOR SIMULATION 'sim_seed1992_input_nodes_n10_s49_cb4.csv' (seed 1992)</t>
  </si>
  <si>
    <t>Line 357:  KOMONDOR SIMULATION 'sim_seed1992_input_nodes_n10_s4_cb4.csv' (seed 1992)</t>
  </si>
  <si>
    <t>Line 365:  KOMONDOR SIMULATION 'sim_seed1992_input_nodes_n10_s5_cb4.csv' (seed 1992)</t>
  </si>
  <si>
    <t>Line 373:  KOMONDOR SIMULATION 'sim_seed1992_input_nodes_n10_s6_cb4.csv' (seed 1992)</t>
  </si>
  <si>
    <t>Line 381:  KOMONDOR SIMULATION 'sim_seed1992_input_nodes_n10_s7_cb4.csv' (seed 1992)</t>
  </si>
  <si>
    <t>Line 389:  KOMONDOR SIMULATION 'sim_seed1992_input_nodes_n10_s8_cb4.csv' (seed 1992)</t>
  </si>
  <si>
    <t>Line 397:  KOMONDOR SIMULATION 'sim_seed1992_input_nodes_n10_s9_cb4.csv' (seed 1992)</t>
  </si>
  <si>
    <t>Line 405:  KOMONDOR SIMULATION 'sim_seed1992_input_nodes_n20_s0_cb4.csv' (seed 1992)</t>
  </si>
  <si>
    <t>Line 413:  KOMONDOR SIMULATION 'sim_seed1992_input_nodes_n20_s10_cb4.csv' (seed 1992)</t>
  </si>
  <si>
    <t>Line 421:  KOMONDOR SIMULATION 'sim_seed1992_input_nodes_n20_s11_cb4.csv' (seed 1992)</t>
  </si>
  <si>
    <t>Line 429:  KOMONDOR SIMULATION 'sim_seed1992_input_nodes_n20_s12_cb4.csv' (seed 1992)</t>
  </si>
  <si>
    <t>Line 437:  KOMONDOR SIMULATION 'sim_seed1992_input_nodes_n20_s13_cb4.csv' (seed 1992)</t>
  </si>
  <si>
    <t>Line 445:  KOMONDOR SIMULATION 'sim_seed1992_input_nodes_n20_s14_cb4.csv' (seed 1992)</t>
  </si>
  <si>
    <t>Line 453:  KOMONDOR SIMULATION 'sim_seed1992_input_nodes_n20_s15_cb4.csv' (seed 1992)</t>
  </si>
  <si>
    <t>Line 461:  KOMONDOR SIMULATION 'sim_seed1992_input_nodes_n20_s16_cb4.csv' (seed 1992)</t>
  </si>
  <si>
    <t>Line 469:  KOMONDOR SIMULATION 'sim_seed1992_input_nodes_n20_s17_cb4.csv' (seed 1992)</t>
  </si>
  <si>
    <t>Line 477:  KOMONDOR SIMULATION 'sim_seed1992_input_nodes_n20_s18_cb4.csv' (seed 1992)</t>
  </si>
  <si>
    <t>Line 485:  KOMONDOR SIMULATION 'sim_seed1992_input_nodes_n20_s19_cb4.csv' (seed 1992)</t>
  </si>
  <si>
    <t>Line 493:  KOMONDOR SIMULATION 'sim_seed1992_input_nodes_n20_s1_cb4.csv' (seed 1992)</t>
  </si>
  <si>
    <t>Line 501:  KOMONDOR SIMULATION 'sim_seed1992_input_nodes_n20_s20_cb4.csv' (seed 1992)</t>
  </si>
  <si>
    <t>Line 509:  KOMONDOR SIMULATION 'sim_seed1992_input_nodes_n20_s21_cb4.csv' (seed 1992)</t>
  </si>
  <si>
    <t>Line 517:  KOMONDOR SIMULATION 'sim_seed1992_input_nodes_n20_s22_cb4.csv' (seed 1992)</t>
  </si>
  <si>
    <t>Line 525:  KOMONDOR SIMULATION 'sim_seed1992_input_nodes_n20_s23_cb4.csv' (seed 1992)</t>
  </si>
  <si>
    <t>Line 533:  KOMONDOR SIMULATION 'sim_seed1992_input_nodes_n20_s24_cb4.csv' (seed 1992)</t>
  </si>
  <si>
    <t>Line 541:  KOMONDOR SIMULATION 'sim_seed1992_input_nodes_n20_s25_cb4.csv' (seed 1992)</t>
  </si>
  <si>
    <t>Line 549:  KOMONDOR SIMULATION 'sim_seed1992_input_nodes_n20_s26_cb4.csv' (seed 1992)</t>
  </si>
  <si>
    <t>Line 557:  KOMONDOR SIMULATION 'sim_seed1992_input_nodes_n20_s27_cb4.csv' (seed 1992)</t>
  </si>
  <si>
    <t>Line 565:  KOMONDOR SIMULATION 'sim_seed1992_input_nodes_n20_s28_cb4.csv' (seed 1992)</t>
  </si>
  <si>
    <t>Line 573:  KOMONDOR SIMULATION 'sim_seed1992_input_nodes_n20_s29_cb4.csv' (seed 1992)</t>
  </si>
  <si>
    <t>Line 581:  KOMONDOR SIMULATION 'sim_seed1992_input_nodes_n20_s2_cb4.csv' (seed 1992)</t>
  </si>
  <si>
    <t>Line 589:  KOMONDOR SIMULATION 'sim_seed1992_input_nodes_n20_s30_cb4.csv' (seed 1992)</t>
  </si>
  <si>
    <t>Line 597:  KOMONDOR SIMULATION 'sim_seed1992_input_nodes_n20_s31_cb4.csv' (seed 1992)</t>
  </si>
  <si>
    <t>Line 605:  KOMONDOR SIMULATION 'sim_seed1992_input_nodes_n20_s32_cb4.csv' (seed 1992)</t>
  </si>
  <si>
    <t>Line 613:  KOMONDOR SIMULATION 'sim_seed1992_input_nodes_n20_s33_cb4.csv' (seed 1992)</t>
  </si>
  <si>
    <t>Line 621:  KOMONDOR SIMULATION 'sim_seed1992_input_nodes_n20_s34_cb4.csv' (seed 1992)</t>
  </si>
  <si>
    <t>Line 629:  KOMONDOR SIMULATION 'sim_seed1992_input_nodes_n20_s35_cb4.csv' (seed 1992)</t>
  </si>
  <si>
    <t>Line 637:  KOMONDOR SIMULATION 'sim_seed1992_input_nodes_n20_s36_cb4.csv' (seed 1992)</t>
  </si>
  <si>
    <t>Line 645:  KOMONDOR SIMULATION 'sim_seed1992_input_nodes_n20_s37_cb4.csv' (seed 1992)</t>
  </si>
  <si>
    <t>Line 653:  KOMONDOR SIMULATION 'sim_seed1992_input_nodes_n20_s38_cb4.csv' (seed 1992)</t>
  </si>
  <si>
    <t>Line 661:  KOMONDOR SIMULATION 'sim_seed1992_input_nodes_n20_s39_cb4.csv' (seed 1992)</t>
  </si>
  <si>
    <t>Line 669:  KOMONDOR SIMULATION 'sim_seed1992_input_nodes_n20_s3_cb4.csv' (seed 1992)</t>
  </si>
  <si>
    <t>Line 677:  KOMONDOR SIMULATION 'sim_seed1992_input_nodes_n20_s40_cb4.csv' (seed 1992)</t>
  </si>
  <si>
    <t>Line 685:  KOMONDOR SIMULATION 'sim_seed1992_input_nodes_n20_s41_cb4.csv' (seed 1992)</t>
  </si>
  <si>
    <t>Line 693:  KOMONDOR SIMULATION 'sim_seed1992_input_nodes_n20_s42_cb4.csv' (seed 1992)</t>
  </si>
  <si>
    <t>Line 701:  KOMONDOR SIMULATION 'sim_seed1992_input_nodes_n20_s43_cb4.csv' (seed 1992)</t>
  </si>
  <si>
    <t>Line 709:  KOMONDOR SIMULATION 'sim_seed1992_input_nodes_n20_s44_cb4.csv' (seed 1992)</t>
  </si>
  <si>
    <t>Line 717:  KOMONDOR SIMULATION 'sim_seed1992_input_nodes_n20_s45_cb4.csv' (seed 1992)</t>
  </si>
  <si>
    <t>Line 725:  KOMONDOR SIMULATION 'sim_seed1992_input_nodes_n20_s46_cb4.csv' (seed 1992)</t>
  </si>
  <si>
    <t>Line 733:  KOMONDOR SIMULATION 'sim_seed1992_input_nodes_n20_s47_cb4.csv' (seed 1992)</t>
  </si>
  <si>
    <t>Line 741:  KOMONDOR SIMULATION 'sim_seed1992_input_nodes_n20_s48_cb4.csv' (seed 1992)</t>
  </si>
  <si>
    <t>Line 749:  KOMONDOR SIMULATION 'sim_seed1992_input_nodes_n20_s49_cb4.csv' (seed 1992)</t>
  </si>
  <si>
    <t>Line 757:  KOMONDOR SIMULATION 'sim_seed1992_input_nodes_n20_s4_cb4.csv' (seed 1992)</t>
  </si>
  <si>
    <t>Line 765:  KOMONDOR SIMULATION 'sim_seed1992_input_nodes_n20_s5_cb4.csv' (seed 1992)</t>
  </si>
  <si>
    <t>Line 773:  KOMONDOR SIMULATION 'sim_seed1992_input_nodes_n20_s6_cb4.csv' (seed 1992)</t>
  </si>
  <si>
    <t>Line 781:  KOMONDOR SIMULATION 'sim_seed1992_input_nodes_n20_s7_cb4.csv' (seed 1992)</t>
  </si>
  <si>
    <t>Line 789:  KOMONDOR SIMULATION 'sim_seed1992_input_nodes_n20_s8_cb4.csv' (seed 1992)</t>
  </si>
  <si>
    <t>Line 797:  KOMONDOR SIMULATION 'sim_seed1992_input_nodes_n20_s9_cb4.csv' (seed 1992)</t>
  </si>
  <si>
    <t>Line 805:  KOMONDOR SIMULATION 'sim_seed1992_input_nodes_n2_s0_cb4.csv' (seed 1992)</t>
  </si>
  <si>
    <t>Line 813:  KOMONDOR SIMULATION 'sim_seed1992_input_nodes_n2_s10_cb4.csv' (seed 1992)</t>
  </si>
  <si>
    <t>Line 821:  KOMONDOR SIMULATION 'sim_seed1992_input_nodes_n2_s11_cb4.csv' (seed 1992)</t>
  </si>
  <si>
    <t>Line 829:  KOMONDOR SIMULATION 'sim_seed1992_input_nodes_n2_s12_cb4.csv' (seed 1992)</t>
  </si>
  <si>
    <t>Line 837:  KOMONDOR SIMULATION 'sim_seed1992_input_nodes_n2_s13_cb4.csv' (seed 1992)</t>
  </si>
  <si>
    <t>Line 845:  KOMONDOR SIMULATION 'sim_seed1992_input_nodes_n2_s14_cb4.csv' (seed 1992)</t>
  </si>
  <si>
    <t>Line 853:  KOMONDOR SIMULATION 'sim_seed1992_input_nodes_n2_s15_cb4.csv' (seed 1992)</t>
  </si>
  <si>
    <t>Line 861:  KOMONDOR SIMULATION 'sim_seed1992_input_nodes_n2_s16_cb4.csv' (seed 1992)</t>
  </si>
  <si>
    <t>Line 869:  KOMONDOR SIMULATION 'sim_seed1992_input_nodes_n2_s17_cb4.csv' (seed 1992)</t>
  </si>
  <si>
    <t>Line 877:  KOMONDOR SIMULATION 'sim_seed1992_input_nodes_n2_s18_cb4.csv' (seed 1992)</t>
  </si>
  <si>
    <t>Line 885:  KOMONDOR SIMULATION 'sim_seed1992_input_nodes_n2_s19_cb4.csv' (seed 1992)</t>
  </si>
  <si>
    <t>Line 893:  KOMONDOR SIMULATION 'sim_seed1992_input_nodes_n2_s1_cb4.csv' (seed 1992)</t>
  </si>
  <si>
    <t>Line 901:  KOMONDOR SIMULATION 'sim_seed1992_input_nodes_n2_s20_cb4.csv' (seed 1992)</t>
  </si>
  <si>
    <t>Line 909:  KOMONDOR SIMULATION 'sim_seed1992_input_nodes_n2_s21_cb4.csv' (seed 1992)</t>
  </si>
  <si>
    <t>Line 917:  KOMONDOR SIMULATION 'sim_seed1992_input_nodes_n2_s22_cb4.csv' (seed 1992)</t>
  </si>
  <si>
    <t>Line 925:  KOMONDOR SIMULATION 'sim_seed1992_input_nodes_n2_s23_cb4.csv' (seed 1992)</t>
  </si>
  <si>
    <t>Line 933:  KOMONDOR SIMULATION 'sim_seed1992_input_nodes_n2_s24_cb4.csv' (seed 1992)</t>
  </si>
  <si>
    <t>Line 941:  KOMONDOR SIMULATION 'sim_seed1992_input_nodes_n2_s25_cb4.csv' (seed 1992)</t>
  </si>
  <si>
    <t>Line 949:  KOMONDOR SIMULATION 'sim_seed1992_input_nodes_n2_s26_cb4.csv' (seed 1992)</t>
  </si>
  <si>
    <t>Line 957:  KOMONDOR SIMULATION 'sim_seed1992_input_nodes_n2_s27_cb4.csv' (seed 1992)</t>
  </si>
  <si>
    <t>Line 965:  KOMONDOR SIMULATION 'sim_seed1992_input_nodes_n2_s28_cb4.csv' (seed 1992)</t>
  </si>
  <si>
    <t>Line 973:  KOMONDOR SIMULATION 'sim_seed1992_input_nodes_n2_s29_cb4.csv' (seed 1992)</t>
  </si>
  <si>
    <t>Line 981:  KOMONDOR SIMULATION 'sim_seed1992_input_nodes_n2_s2_cb4.csv' (seed 1992)</t>
  </si>
  <si>
    <t>Line 989:  KOMONDOR SIMULATION 'sim_seed1992_input_nodes_n2_s30_cb4.csv' (seed 1992)</t>
  </si>
  <si>
    <t>Line 997:  KOMONDOR SIMULATION 'sim_seed1992_input_nodes_n2_s31_cb4.csv' (seed 1992)</t>
  </si>
  <si>
    <t>Line 1005:  KOMONDOR SIMULATION 'sim_seed1992_input_nodes_n2_s32_cb4.csv' (seed 1992)</t>
  </si>
  <si>
    <t>Line 1013:  KOMONDOR SIMULATION 'sim_seed1992_input_nodes_n2_s33_cb4.csv' (seed 1992)</t>
  </si>
  <si>
    <t>Line 1021:  KOMONDOR SIMULATION 'sim_seed1992_input_nodes_n2_s34_cb4.csv' (seed 1992)</t>
  </si>
  <si>
    <t>Line 1029:  KOMONDOR SIMULATION 'sim_seed1992_input_nodes_n2_s35_cb4.csv' (seed 1992)</t>
  </si>
  <si>
    <t>Line 1037:  KOMONDOR SIMULATION 'sim_seed1992_input_nodes_n2_s36_cb4.csv' (seed 1992)</t>
  </si>
  <si>
    <t>Line 1045:  KOMONDOR SIMULATION 'sim_seed1992_input_nodes_n2_s37_cb4.csv' (seed 1992)</t>
  </si>
  <si>
    <t>Line 1053:  KOMONDOR SIMULATION 'sim_seed1992_input_nodes_n2_s38_cb4.csv' (seed 1992)</t>
  </si>
  <si>
    <t>Line 1061:  KOMONDOR SIMULATION 'sim_seed1992_input_nodes_n2_s39_cb4.csv' (seed 1992)</t>
  </si>
  <si>
    <t>Line 1069:  KOMONDOR SIMULATION 'sim_seed1992_input_nodes_n2_s3_cb4.csv' (seed 1992)</t>
  </si>
  <si>
    <t>Line 1077:  KOMONDOR SIMULATION 'sim_seed1992_input_nodes_n2_s40_cb4.csv' (seed 1992)</t>
  </si>
  <si>
    <t>Line 1085:  KOMONDOR SIMULATION 'sim_seed1992_input_nodes_n2_s41_cb4.csv' (seed 1992)</t>
  </si>
  <si>
    <t>Line 1093:  KOMONDOR SIMULATION 'sim_seed1992_input_nodes_n2_s42_cb4.csv' (seed 1992)</t>
  </si>
  <si>
    <t>Line 1101:  KOMONDOR SIMULATION 'sim_seed1992_input_nodes_n2_s43_cb4.csv' (seed 1992)</t>
  </si>
  <si>
    <t>Line 1109:  KOMONDOR SIMULATION 'sim_seed1992_input_nodes_n2_s44_cb4.csv' (seed 1992)</t>
  </si>
  <si>
    <t>Line 1117:  KOMONDOR SIMULATION 'sim_seed1992_input_nodes_n2_s45_cb4.csv' (seed 1992)</t>
  </si>
  <si>
    <t>Line 1125:  KOMONDOR SIMULATION 'sim_seed1992_input_nodes_n2_s46_cb4.csv' (seed 1992)</t>
  </si>
  <si>
    <t>Line 1133:  KOMONDOR SIMULATION 'sim_seed1992_input_nodes_n2_s47_cb4.csv' (seed 1992)</t>
  </si>
  <si>
    <t>Line 1141:  KOMONDOR SIMULATION 'sim_seed1992_input_nodes_n2_s48_cb4.csv' (seed 1992)</t>
  </si>
  <si>
    <t>Line 1149:  KOMONDOR SIMULATION 'sim_seed1992_input_nodes_n2_s49_cb4.csv' (seed 1992)</t>
  </si>
  <si>
    <t>Line 1157:  KOMONDOR SIMULATION 'sim_seed1992_input_nodes_n2_s4_cb4.csv' (seed 1992)</t>
  </si>
  <si>
    <t>Line 1165:  KOMONDOR SIMULATION 'sim_seed1992_input_nodes_n2_s5_cb4.csv' (seed 1992)</t>
  </si>
  <si>
    <t>Line 1173:  KOMONDOR SIMULATION 'sim_seed1992_input_nodes_n2_s6_cb4.csv' (seed 1992)</t>
  </si>
  <si>
    <t>Line 1181:  KOMONDOR SIMULATION 'sim_seed1992_input_nodes_n2_s7_cb4.csv' (seed 1992)</t>
  </si>
  <si>
    <t>Line 1189:  KOMONDOR SIMULATION 'sim_seed1992_input_nodes_n2_s8_cb4.csv' (seed 1992)</t>
  </si>
  <si>
    <t>Line 1197:  KOMONDOR SIMULATION 'sim_seed1992_input_nodes_n2_s9_cb4.csv' (seed 1992)</t>
  </si>
  <si>
    <t>Line 1205:  KOMONDOR SIMULATION 'sim_seed1992_input_nodes_n30_s0_cb4.csv' (seed 1992)</t>
  </si>
  <si>
    <t>Line 1213:  KOMONDOR SIMULATION 'sim_seed1992_input_nodes_n30_s10_cb4.csv' (seed 1992)</t>
  </si>
  <si>
    <t>Line 1221:  KOMONDOR SIMULATION 'sim_seed1992_input_nodes_n30_s11_cb4.csv' (seed 1992)</t>
  </si>
  <si>
    <t>Line 1229:  KOMONDOR SIMULATION 'sim_seed1992_input_nodes_n30_s12_cb4.csv' (seed 1992)</t>
  </si>
  <si>
    <t>Line 1237:  KOMONDOR SIMULATION 'sim_seed1992_input_nodes_n30_s13_cb4.csv' (seed 1992)</t>
  </si>
  <si>
    <t>Line 1245:  KOMONDOR SIMULATION 'sim_seed1992_input_nodes_n30_s14_cb4.csv' (seed 1992)</t>
  </si>
  <si>
    <t>Line 1253:  KOMONDOR SIMULATION 'sim_seed1992_input_nodes_n30_s15_cb4.csv' (seed 1992)</t>
  </si>
  <si>
    <t>Line 1261:  KOMONDOR SIMULATION 'sim_seed1992_input_nodes_n30_s16_cb4.csv' (seed 1992)</t>
  </si>
  <si>
    <t>Line 1269:  KOMONDOR SIMULATION 'sim_seed1992_input_nodes_n30_s17_cb4.csv' (seed 1992)</t>
  </si>
  <si>
    <t>Line 1277:  KOMONDOR SIMULATION 'sim_seed1992_input_nodes_n30_s18_cb4.csv' (seed 1992)</t>
  </si>
  <si>
    <t>Line 1285:  KOMONDOR SIMULATION 'sim_seed1992_input_nodes_n30_s19_cb4.csv' (seed 1992)</t>
  </si>
  <si>
    <t>Line 1293:  KOMONDOR SIMULATION 'sim_seed1992_input_nodes_n30_s1_cb4.csv' (seed 1992)</t>
  </si>
  <si>
    <t>Line 1301:  KOMONDOR SIMULATION 'sim_seed1992_input_nodes_n30_s20_cb4.csv' (seed 1992)</t>
  </si>
  <si>
    <t>Line 1309:  KOMONDOR SIMULATION 'sim_seed1992_input_nodes_n30_s21_cb4.csv' (seed 1992)</t>
  </si>
  <si>
    <t>Line 1317:  KOMONDOR SIMULATION 'sim_seed1992_input_nodes_n30_s22_cb4.csv' (seed 1992)</t>
  </si>
  <si>
    <t>Line 1325:  KOMONDOR SIMULATION 'sim_seed1992_input_nodes_n30_s23_cb4.csv' (seed 1992)</t>
  </si>
  <si>
    <t>Line 1333:  KOMONDOR SIMULATION 'sim_seed1992_input_nodes_n30_s24_cb4.csv' (seed 1992)</t>
  </si>
  <si>
    <t>Line 1341:  KOMONDOR SIMULATION 'sim_seed1992_input_nodes_n30_s25_cb4.csv' (seed 1992)</t>
  </si>
  <si>
    <t>Line 1349:  KOMONDOR SIMULATION 'sim_seed1992_input_nodes_n30_s26_cb4.csv' (seed 1992)</t>
  </si>
  <si>
    <t>Line 1357:  KOMONDOR SIMULATION 'sim_seed1992_input_nodes_n30_s27_cb4.csv' (seed 1992)</t>
  </si>
  <si>
    <t>Line 1365:  KOMONDOR SIMULATION 'sim_seed1992_input_nodes_n30_s28_cb4.csv' (seed 1992)</t>
  </si>
  <si>
    <t>Line 1373:  KOMONDOR SIMULATION 'sim_seed1992_input_nodes_n30_s29_cb4.csv' (seed 1992)</t>
  </si>
  <si>
    <t>Line 1381:  KOMONDOR SIMULATION 'sim_seed1992_input_nodes_n30_s2_cb4.csv' (seed 1992)</t>
  </si>
  <si>
    <t>Line 1389:  KOMONDOR SIMULATION 'sim_seed1992_input_nodes_n30_s30_cb4.csv' (seed 1992)</t>
  </si>
  <si>
    <t>Line 1397:  KOMONDOR SIMULATION 'sim_seed1992_input_nodes_n30_s31_cb4.csv' (seed 1992)</t>
  </si>
  <si>
    <t>Line 1405:  KOMONDOR SIMULATION 'sim_seed1992_input_nodes_n30_s32_cb4.csv' (seed 1992)</t>
  </si>
  <si>
    <t>Line 1413:  KOMONDOR SIMULATION 'sim_seed1992_input_nodes_n30_s33_cb4.csv' (seed 1992)</t>
  </si>
  <si>
    <t>Line 1421:  KOMONDOR SIMULATION 'sim_seed1992_input_nodes_n30_s34_cb4.csv' (seed 1992)</t>
  </si>
  <si>
    <t>Line 1429:  KOMONDOR SIMULATION 'sim_seed1992_input_nodes_n30_s35_cb4.csv' (seed 1992)</t>
  </si>
  <si>
    <t>Line 1437:  KOMONDOR SIMULATION 'sim_seed1992_input_nodes_n30_s36_cb4.csv' (seed 1992)</t>
  </si>
  <si>
    <t>Line 1445:  KOMONDOR SIMULATION 'sim_seed1992_input_nodes_n30_s37_cb4.csv' (seed 1992)</t>
  </si>
  <si>
    <t>Line 1453:  KOMONDOR SIMULATION 'sim_seed1992_input_nodes_n30_s38_cb4.csv' (seed 1992)</t>
  </si>
  <si>
    <t>Line 1461:  KOMONDOR SIMULATION 'sim_seed1992_input_nodes_n30_s39_cb4.csv' (seed 1992)</t>
  </si>
  <si>
    <t>Line 1469:  KOMONDOR SIMULATION 'sim_seed1992_input_nodes_n30_s3_cb4.csv' (seed 1992)</t>
  </si>
  <si>
    <t>Line 1477:  KOMONDOR SIMULATION 'sim_seed1992_input_nodes_n30_s40_cb4.csv' (seed 1992)</t>
  </si>
  <si>
    <t>Line 1485:  KOMONDOR SIMULATION 'sim_seed1992_input_nodes_n30_s41_cb4.csv' (seed 1992)</t>
  </si>
  <si>
    <t>Line 1493:  KOMONDOR SIMULATION 'sim_seed1992_input_nodes_n30_s42_cb4.csv' (seed 1992)</t>
  </si>
  <si>
    <t>Line 1501:  KOMONDOR SIMULATION 'sim_seed1992_input_nodes_n30_s43_cb4.csv' (seed 1992)</t>
  </si>
  <si>
    <t>Line 1509:  KOMONDOR SIMULATION 'sim_seed1992_input_nodes_n30_s44_cb4.csv' (seed 1992)</t>
  </si>
  <si>
    <t>Line 1517:  KOMONDOR SIMULATION 'sim_seed1992_input_nodes_n30_s45_cb4.csv' (seed 1992)</t>
  </si>
  <si>
    <t>Line 1525:  KOMONDOR SIMULATION 'sim_seed1992_input_nodes_n30_s46_cb4.csv' (seed 1992)</t>
  </si>
  <si>
    <t>Line 1533:  KOMONDOR SIMULATION 'sim_seed1992_input_nodes_n30_s47_cb4.csv' (seed 1992)</t>
  </si>
  <si>
    <t>Line 1541:  KOMONDOR SIMULATION 'sim_seed1992_input_nodes_n30_s48_cb4.csv' (seed 1992)</t>
  </si>
  <si>
    <t>Line 1549:  KOMONDOR SIMULATION 'sim_seed1992_input_nodes_n30_s49_cb4.csv' (seed 1992)</t>
  </si>
  <si>
    <t>Line 1557:  KOMONDOR SIMULATION 'sim_seed1992_input_nodes_n30_s4_cb4.csv' (seed 1992)</t>
  </si>
  <si>
    <t>Line 1565:  KOMONDOR SIMULATION 'sim_seed1992_input_nodes_n30_s5_cb4.csv' (seed 1992)</t>
  </si>
  <si>
    <t>Line 1573:  KOMONDOR SIMULATION 'sim_seed1992_input_nodes_n30_s6_cb4.csv' (seed 1992)</t>
  </si>
  <si>
    <t>Line 1581:  KOMONDOR SIMULATION 'sim_seed1992_input_nodes_n30_s7_cb4.csv' (seed 1992)</t>
  </si>
  <si>
    <t>Line 1589:  KOMONDOR SIMULATION 'sim_seed1992_input_nodes_n30_s8_cb4.csv' (seed 1992)</t>
  </si>
  <si>
    <t>Line 1597:  KOMONDOR SIMULATION 'sim_seed1992_input_nodes_n30_s9_cb4.csv' (seed 1992)</t>
  </si>
  <si>
    <t>Line 1605:  KOMONDOR SIMULATION 'sim_seed1992_input_nodes_n40_s0_cb4.csv' (seed 1992)</t>
  </si>
  <si>
    <t>Line 1613:  KOMONDOR SIMULATION 'sim_seed1992_input_nodes_n40_s10_cb4.csv' (seed 1992)</t>
  </si>
  <si>
    <t>Line 1621:  KOMONDOR SIMULATION 'sim_seed1992_input_nodes_n40_s11_cb4.csv' (seed 1992)</t>
  </si>
  <si>
    <t>Line 1629:  KOMONDOR SIMULATION 'sim_seed1992_input_nodes_n40_s12_cb4.csv' (seed 1992)</t>
  </si>
  <si>
    <t>Line 1637:  KOMONDOR SIMULATION 'sim_seed1992_input_nodes_n40_s13_cb4.csv' (seed 1992)</t>
  </si>
  <si>
    <t>Line 1645:  KOMONDOR SIMULATION 'sim_seed1992_input_nodes_n40_s14_cb4.csv' (seed 1992)</t>
  </si>
  <si>
    <t>Line 1653:  KOMONDOR SIMULATION 'sim_seed1992_input_nodes_n40_s15_cb4.csv' (seed 1992)</t>
  </si>
  <si>
    <t>Line 1661:  KOMONDOR SIMULATION 'sim_seed1992_input_nodes_n40_s16_cb4.csv' (seed 1992)</t>
  </si>
  <si>
    <t>Line 1669:  KOMONDOR SIMULATION 'sim_seed1992_input_nodes_n40_s17_cb4.csv' (seed 1992)</t>
  </si>
  <si>
    <t>Line 1677:  KOMONDOR SIMULATION 'sim_seed1992_input_nodes_n40_s18_cb4.csv' (seed 1992)</t>
  </si>
  <si>
    <t>Line 1685:  KOMONDOR SIMULATION 'sim_seed1992_input_nodes_n40_s19_cb4.csv' (seed 1992)</t>
  </si>
  <si>
    <t>Line 1693:  KOMONDOR SIMULATION 'sim_seed1992_input_nodes_n40_s1_cb4.csv' (seed 1992)</t>
  </si>
  <si>
    <t>Line 1701:  KOMONDOR SIMULATION 'sim_seed1992_input_nodes_n40_s20_cb4.csv' (seed 1992)</t>
  </si>
  <si>
    <t>Line 1709:  KOMONDOR SIMULATION 'sim_seed1992_input_nodes_n40_s21_cb4.csv' (seed 1992)</t>
  </si>
  <si>
    <t>Line 1717:  KOMONDOR SIMULATION 'sim_seed1992_input_nodes_n40_s22_cb4.csv' (seed 1992)</t>
  </si>
  <si>
    <t>Line 1725:  KOMONDOR SIMULATION 'sim_seed1992_input_nodes_n40_s23_cb4.csv' (seed 1992)</t>
  </si>
  <si>
    <t>Line 1733:  KOMONDOR SIMULATION 'sim_seed1992_input_nodes_n40_s24_cb4.csv' (seed 1992)</t>
  </si>
  <si>
    <t>Line 1741:  KOMONDOR SIMULATION 'sim_seed1992_input_nodes_n40_s25_cb4.csv' (seed 1992)</t>
  </si>
  <si>
    <t>Line 1749:  KOMONDOR SIMULATION 'sim_seed1992_input_nodes_n40_s26_cb4.csv' (seed 1992)</t>
  </si>
  <si>
    <t>Line 1757:  KOMONDOR SIMULATION 'sim_seed1992_input_nodes_n40_s27_cb4.csv' (seed 1992)</t>
  </si>
  <si>
    <t>Line 1765:  KOMONDOR SIMULATION 'sim_seed1992_input_nodes_n40_s28_cb4.csv' (seed 1992)</t>
  </si>
  <si>
    <t>Line 1773:  KOMONDOR SIMULATION 'sim_seed1992_input_nodes_n40_s29_cb4.csv' (seed 1992)</t>
  </si>
  <si>
    <t>Line 1781:  KOMONDOR SIMULATION 'sim_seed1992_input_nodes_n40_s2_cb4.csv' (seed 1992)</t>
  </si>
  <si>
    <t>Line 1789:  KOMONDOR SIMULATION 'sim_seed1992_input_nodes_n40_s30_cb4.csv' (seed 1992)</t>
  </si>
  <si>
    <t>Line 1797:  KOMONDOR SIMULATION 'sim_seed1992_input_nodes_n40_s31_cb4.csv' (seed 1992)</t>
  </si>
  <si>
    <t>Line 1805:  KOMONDOR SIMULATION 'sim_seed1992_input_nodes_n40_s32_cb4.csv' (seed 1992)</t>
  </si>
  <si>
    <t>Line 1813:  KOMONDOR SIMULATION 'sim_seed1992_input_nodes_n40_s33_cb4.csv' (seed 1992)</t>
  </si>
  <si>
    <t>Line 1821:  KOMONDOR SIMULATION 'sim_seed1992_input_nodes_n40_s34_cb4.csv' (seed 1992)</t>
  </si>
  <si>
    <t>Line 1829:  KOMONDOR SIMULATION 'sim_seed1992_input_nodes_n40_s35_cb4.csv' (seed 1992)</t>
  </si>
  <si>
    <t>Line 1837:  KOMONDOR SIMULATION 'sim_seed1992_input_nodes_n40_s36_cb4.csv' (seed 1992)</t>
  </si>
  <si>
    <t>Line 1845:  KOMONDOR SIMULATION 'sim_seed1992_input_nodes_n40_s37_cb4.csv' (seed 1992)</t>
  </si>
  <si>
    <t>Line 1853:  KOMONDOR SIMULATION 'sim_seed1992_input_nodes_n40_s38_cb4.csv' (seed 1992)</t>
  </si>
  <si>
    <t>Line 1861:  KOMONDOR SIMULATION 'sim_seed1992_input_nodes_n40_s39_cb4.csv' (seed 1992)</t>
  </si>
  <si>
    <t>Line 1869:  KOMONDOR SIMULATION 'sim_seed1992_input_nodes_n40_s3_cb4.csv' (seed 1992)</t>
  </si>
  <si>
    <t>Line 1877:  KOMONDOR SIMULATION 'sim_seed1992_input_nodes_n40_s40_cb4.csv' (seed 1992)</t>
  </si>
  <si>
    <t>Line 1885:  KOMONDOR SIMULATION 'sim_seed1992_input_nodes_n40_s41_cb4.csv' (seed 1992)</t>
  </si>
  <si>
    <t>Line 1893:  KOMONDOR SIMULATION 'sim_seed1992_input_nodes_n40_s42_cb4.csv' (seed 1992)</t>
  </si>
  <si>
    <t>Line 1901:  KOMONDOR SIMULATION 'sim_seed1992_input_nodes_n40_s43_cb4.csv' (seed 1992)</t>
  </si>
  <si>
    <t>Line 1909:  KOMONDOR SIMULATION 'sim_seed1992_input_nodes_n40_s44_cb4.csv' (seed 1992)</t>
  </si>
  <si>
    <t>Line 1917:  KOMONDOR SIMULATION 'sim_seed1992_input_nodes_n40_s45_cb4.csv' (seed 1992)</t>
  </si>
  <si>
    <t>Line 1925:  KOMONDOR SIMULATION 'sim_seed1992_input_nodes_n40_s46_cb4.csv' (seed 1992)</t>
  </si>
  <si>
    <t>Line 1933:  KOMONDOR SIMULATION 'sim_seed1992_input_nodes_n40_s47_cb4.csv' (seed 1992)</t>
  </si>
  <si>
    <t>Line 1941:  KOMONDOR SIMULATION 'sim_seed1992_input_nodes_n40_s48_cb4.csv' (seed 1992)</t>
  </si>
  <si>
    <t>Line 1949:  KOMONDOR SIMULATION 'sim_seed1992_input_nodes_n40_s49_cb4.csv' (seed 1992)</t>
  </si>
  <si>
    <t>Line 1957:  KOMONDOR SIMULATION 'sim_seed1992_input_nodes_n40_s4_cb4.csv' (seed 1992)</t>
  </si>
  <si>
    <t>Line 1965:  KOMONDOR SIMULATION 'sim_seed1992_input_nodes_n40_s5_cb4.csv' (seed 1992)</t>
  </si>
  <si>
    <t>Line 1973:  KOMONDOR SIMULATION 'sim_seed1992_input_nodes_n40_s6_cb4.csv' (seed 1992)</t>
  </si>
  <si>
    <t>Line 1981:  KOMONDOR SIMULATION 'sim_seed1992_input_nodes_n40_s7_cb4.csv' (seed 1992)</t>
  </si>
  <si>
    <t>Line 1989:  KOMONDOR SIMULATION 'sim_seed1992_input_nodes_n40_s8_cb4.csv' (seed 1992)</t>
  </si>
  <si>
    <t>Line 1997:  KOMONDOR SIMULATION 'sim_seed1992_input_nodes_n40_s9_cb4.csv' (seed 1992)</t>
  </si>
  <si>
    <t>Line 2005:  KOMONDOR SIMULATION 'sim_seed1992_input_nodes_n5_s0_cb4.csv' (seed 1992)</t>
  </si>
  <si>
    <t>Line 2013:  KOMONDOR SIMULATION 'sim_seed1992_input_nodes_n5_s10_cb4.csv' (seed 1992)</t>
  </si>
  <si>
    <t>Line 2021:  KOMONDOR SIMULATION 'sim_seed1992_input_nodes_n5_s11_cb4.csv' (seed 1992)</t>
  </si>
  <si>
    <t>Line 2029:  KOMONDOR SIMULATION 'sim_seed1992_input_nodes_n5_s12_cb4.csv' (seed 1992)</t>
  </si>
  <si>
    <t>Line 2037:  KOMONDOR SIMULATION 'sim_seed1992_input_nodes_n5_s13_cb4.csv' (seed 1992)</t>
  </si>
  <si>
    <t>Line 2045:  KOMONDOR SIMULATION 'sim_seed1992_input_nodes_n5_s14_cb4.csv' (seed 1992)</t>
  </si>
  <si>
    <t>Line 2053:  KOMONDOR SIMULATION 'sim_seed1992_input_nodes_n5_s15_cb4.csv' (seed 1992)</t>
  </si>
  <si>
    <t>Line 2061:  KOMONDOR SIMULATION 'sim_seed1992_input_nodes_n5_s16_cb4.csv' (seed 1992)</t>
  </si>
  <si>
    <t>Line 2069:  KOMONDOR SIMULATION 'sim_seed1992_input_nodes_n5_s17_cb4.csv' (seed 1992)</t>
  </si>
  <si>
    <t>Line 2077:  KOMONDOR SIMULATION 'sim_seed1992_input_nodes_n5_s18_cb4.csv' (seed 1992)</t>
  </si>
  <si>
    <t>Line 2085:  KOMONDOR SIMULATION 'sim_seed1992_input_nodes_n5_s19_cb4.csv' (seed 1992)</t>
  </si>
  <si>
    <t>Line 2093:  KOMONDOR SIMULATION 'sim_seed1992_input_nodes_n5_s1_cb4.csv' (seed 1992)</t>
  </si>
  <si>
    <t>Line 2101:  KOMONDOR SIMULATION 'sim_seed1992_input_nodes_n5_s20_cb4.csv' (seed 1992)</t>
  </si>
  <si>
    <t>Line 2109:  KOMONDOR SIMULATION 'sim_seed1992_input_nodes_n5_s21_cb4.csv' (seed 1992)</t>
  </si>
  <si>
    <t>Line 2117:  KOMONDOR SIMULATION 'sim_seed1992_input_nodes_n5_s22_cb4.csv' (seed 1992)</t>
  </si>
  <si>
    <t>Line 2125:  KOMONDOR SIMULATION 'sim_seed1992_input_nodes_n5_s23_cb4.csv' (seed 1992)</t>
  </si>
  <si>
    <t>Line 2133:  KOMONDOR SIMULATION 'sim_seed1992_input_nodes_n5_s24_cb4.csv' (seed 1992)</t>
  </si>
  <si>
    <t>Line 2141:  KOMONDOR SIMULATION 'sim_seed1992_input_nodes_n5_s25_cb4.csv' (seed 1992)</t>
  </si>
  <si>
    <t>Line 2149:  KOMONDOR SIMULATION 'sim_seed1992_input_nodes_n5_s26_cb4.csv' (seed 1992)</t>
  </si>
  <si>
    <t>Line 2157:  KOMONDOR SIMULATION 'sim_seed1992_input_nodes_n5_s27_cb4.csv' (seed 1992)</t>
  </si>
  <si>
    <t>Line 2165:  KOMONDOR SIMULATION 'sim_seed1992_input_nodes_n5_s28_cb4.csv' (seed 1992)</t>
  </si>
  <si>
    <t>Line 2173:  KOMONDOR SIMULATION 'sim_seed1992_input_nodes_n5_s29_cb4.csv' (seed 1992)</t>
  </si>
  <si>
    <t>Line 2181:  KOMONDOR SIMULATION 'sim_seed1992_input_nodes_n5_s2_cb4.csv' (seed 1992)</t>
  </si>
  <si>
    <t>Line 2189:  KOMONDOR SIMULATION 'sim_seed1992_input_nodes_n5_s30_cb4.csv' (seed 1992)</t>
  </si>
  <si>
    <t>Line 2197:  KOMONDOR SIMULATION 'sim_seed1992_input_nodes_n5_s31_cb4.csv' (seed 1992)</t>
  </si>
  <si>
    <t>Line 2205:  KOMONDOR SIMULATION 'sim_seed1992_input_nodes_n5_s32_cb4.csv' (seed 1992)</t>
  </si>
  <si>
    <t>Line 2213:  KOMONDOR SIMULATION 'sim_seed1992_input_nodes_n5_s33_cb4.csv' (seed 1992)</t>
  </si>
  <si>
    <t>Line 2221:  KOMONDOR SIMULATION 'sim_seed1992_input_nodes_n5_s34_cb4.csv' (seed 1992)</t>
  </si>
  <si>
    <t>Line 2229:  KOMONDOR SIMULATION 'sim_seed1992_input_nodes_n5_s35_cb4.csv' (seed 1992)</t>
  </si>
  <si>
    <t>Line 2237:  KOMONDOR SIMULATION 'sim_seed1992_input_nodes_n5_s36_cb4.csv' (seed 1992)</t>
  </si>
  <si>
    <t>Line 2245:  KOMONDOR SIMULATION 'sim_seed1992_input_nodes_n5_s37_cb4.csv' (seed 1992)</t>
  </si>
  <si>
    <t>Line 2253:  KOMONDOR SIMULATION 'sim_seed1992_input_nodes_n5_s38_cb4.csv' (seed 1992)</t>
  </si>
  <si>
    <t>Line 2261:  KOMONDOR SIMULATION 'sim_seed1992_input_nodes_n5_s39_cb4.csv' (seed 1992)</t>
  </si>
  <si>
    <t>Line 2269:  KOMONDOR SIMULATION 'sim_seed1992_input_nodes_n5_s3_cb4.csv' (seed 1992)</t>
  </si>
  <si>
    <t>Line 2277:  KOMONDOR SIMULATION 'sim_seed1992_input_nodes_n5_s40_cb4.csv' (seed 1992)</t>
  </si>
  <si>
    <t>Line 2285:  KOMONDOR SIMULATION 'sim_seed1992_input_nodes_n5_s41_cb4.csv' (seed 1992)</t>
  </si>
  <si>
    <t>Line 2293:  KOMONDOR SIMULATION 'sim_seed1992_input_nodes_n5_s42_cb4.csv' (seed 1992)</t>
  </si>
  <si>
    <t>Line 2301:  KOMONDOR SIMULATION 'sim_seed1992_input_nodes_n5_s43_cb4.csv' (seed 1992)</t>
  </si>
  <si>
    <t>Line 2309:  KOMONDOR SIMULATION 'sim_seed1992_input_nodes_n5_s44_cb4.csv' (seed 1992)</t>
  </si>
  <si>
    <t>Line 2317:  KOMONDOR SIMULATION 'sim_seed1992_input_nodes_n5_s45_cb4.csv' (seed 1992)</t>
  </si>
  <si>
    <t>Line 2325:  KOMONDOR SIMULATION 'sim_seed1992_input_nodes_n5_s46_cb4.csv' (seed 1992)</t>
  </si>
  <si>
    <t>Line 2333:  KOMONDOR SIMULATION 'sim_seed1992_input_nodes_n5_s47_cb4.csv' (seed 1992)</t>
  </si>
  <si>
    <t>Line 2341:  KOMONDOR SIMULATION 'sim_seed1992_input_nodes_n5_s48_cb4.csv' (seed 1992)</t>
  </si>
  <si>
    <t>Line 2349:  KOMONDOR SIMULATION 'sim_seed1992_input_nodes_n5_s49_cb4.csv' (seed 1992)</t>
  </si>
  <si>
    <t>Line 2357:  KOMONDOR SIMULATION 'sim_seed1992_input_nodes_n5_s4_cb4.csv' (seed 1992)</t>
  </si>
  <si>
    <t>Line 2365:  KOMONDOR SIMULATION 'sim_seed1992_input_nodes_n5_s5_cb4.csv' (seed 1992)</t>
  </si>
  <si>
    <t>Line 2373:  KOMONDOR SIMULATION 'sim_seed1992_input_nodes_n5_s6_cb4.csv' (seed 1992)</t>
  </si>
  <si>
    <t>Line 2381:  KOMONDOR SIMULATION 'sim_seed1992_input_nodes_n5_s7_cb4.csv' (seed 1992)</t>
  </si>
  <si>
    <t>Line 2389:  KOMONDOR SIMULATION 'sim_seed1992_input_nodes_n5_s8_cb4.csv' (seed 1992)</t>
  </si>
  <si>
    <t>Line 2397:  KOMONDOR SIMULATION 'sim_seed1992_input_nodes_n5_s9_cb4.csv' (seed 1992)</t>
  </si>
  <si>
    <t>Scenarios</t>
  </si>
  <si>
    <t>50 scenarios per N value</t>
  </si>
  <si>
    <t>Line 7:  KOMONDOR SIMULATION 'sim_seed1992_input_nodes_n10_s0_cb6.csv' (seed 1992)</t>
  </si>
  <si>
    <t>Line 15:  KOMONDOR SIMULATION 'sim_seed1992_input_nodes_n10_s10_cb6.csv' (seed 1992)</t>
  </si>
  <si>
    <t>Line 23:  KOMONDOR SIMULATION 'sim_seed1992_input_nodes_n10_s11_cb6.csv' (seed 1992)</t>
  </si>
  <si>
    <t>Line 31:  KOMONDOR SIMULATION 'sim_seed1992_input_nodes_n10_s12_cb6.csv' (seed 1992)</t>
  </si>
  <si>
    <t>Line 39:  KOMONDOR SIMULATION 'sim_seed1992_input_nodes_n10_s13_cb6.csv' (seed 1992)</t>
  </si>
  <si>
    <t>Line 47:  KOMONDOR SIMULATION 'sim_seed1992_input_nodes_n10_s14_cb6.csv' (seed 1992)</t>
  </si>
  <si>
    <t>Line 55:  KOMONDOR SIMULATION 'sim_seed1992_input_nodes_n10_s15_cb6.csv' (seed 1992)</t>
  </si>
  <si>
    <t>Line 63:  KOMONDOR SIMULATION 'sim_seed1992_input_nodes_n10_s16_cb6.csv' (seed 1992)</t>
  </si>
  <si>
    <t>Line 71:  KOMONDOR SIMULATION 'sim_seed1992_input_nodes_n10_s17_cb6.csv' (seed 1992)</t>
  </si>
  <si>
    <t>Line 79:  KOMONDOR SIMULATION 'sim_seed1992_input_nodes_n10_s18_cb6.csv' (seed 1992)</t>
  </si>
  <si>
    <t>Line 87:  KOMONDOR SIMULATION 'sim_seed1992_input_nodes_n10_s19_cb6.csv' (seed 1992)</t>
  </si>
  <si>
    <t>Line 95:  KOMONDOR SIMULATION 'sim_seed1992_input_nodes_n10_s1_cb6.csv' (seed 1992)</t>
  </si>
  <si>
    <t>Line 103:  KOMONDOR SIMULATION 'sim_seed1992_input_nodes_n10_s20_cb6.csv' (seed 1992)</t>
  </si>
  <si>
    <t>Line 111:  KOMONDOR SIMULATION 'sim_seed1992_input_nodes_n10_s21_cb6.csv' (seed 1992)</t>
  </si>
  <si>
    <t>Line 119:  KOMONDOR SIMULATION 'sim_seed1992_input_nodes_n10_s22_cb6.csv' (seed 1992)</t>
  </si>
  <si>
    <t>Line 127:  KOMONDOR SIMULATION 'sim_seed1992_input_nodes_n10_s23_cb6.csv' (seed 1992)</t>
  </si>
  <si>
    <t>Line 135:  KOMONDOR SIMULATION 'sim_seed1992_input_nodes_n10_s24_cb6.csv' (seed 1992)</t>
  </si>
  <si>
    <t>Line 143:  KOMONDOR SIMULATION 'sim_seed1992_input_nodes_n10_s25_cb6.csv' (seed 1992)</t>
  </si>
  <si>
    <t>Line 151:  KOMONDOR SIMULATION 'sim_seed1992_input_nodes_n10_s26_cb6.csv' (seed 1992)</t>
  </si>
  <si>
    <t>Line 159:  KOMONDOR SIMULATION 'sim_seed1992_input_nodes_n10_s27_cb6.csv' (seed 1992)</t>
  </si>
  <si>
    <t>Line 167:  KOMONDOR SIMULATION 'sim_seed1992_input_nodes_n10_s28_cb6.csv' (seed 1992)</t>
  </si>
  <si>
    <t>Line 175:  KOMONDOR SIMULATION 'sim_seed1992_input_nodes_n10_s29_cb6.csv' (seed 1992)</t>
  </si>
  <si>
    <t>Line 183:  KOMONDOR SIMULATION 'sim_seed1992_input_nodes_n10_s2_cb6.csv' (seed 1992)</t>
  </si>
  <si>
    <t>Line 191:  KOMONDOR SIMULATION 'sim_seed1992_input_nodes_n10_s30_cb6.csv' (seed 1992)</t>
  </si>
  <si>
    <t>Line 199:  KOMONDOR SIMULATION 'sim_seed1992_input_nodes_n10_s31_cb6.csv' (seed 1992)</t>
  </si>
  <si>
    <t>Line 207:  KOMONDOR SIMULATION 'sim_seed1992_input_nodes_n10_s32_cb6.csv' (seed 1992)</t>
  </si>
  <si>
    <t>Line 215:  KOMONDOR SIMULATION 'sim_seed1992_input_nodes_n10_s33_cb6.csv' (seed 1992)</t>
  </si>
  <si>
    <t>Line 223:  KOMONDOR SIMULATION 'sim_seed1992_input_nodes_n10_s34_cb6.csv' (seed 1992)</t>
  </si>
  <si>
    <t>Line 231:  KOMONDOR SIMULATION 'sim_seed1992_input_nodes_n10_s35_cb6.csv' (seed 1992)</t>
  </si>
  <si>
    <t>Line 239:  KOMONDOR SIMULATION 'sim_seed1992_input_nodes_n10_s36_cb6.csv' (seed 1992)</t>
  </si>
  <si>
    <t>Line 247:  KOMONDOR SIMULATION 'sim_seed1992_input_nodes_n10_s37_cb6.csv' (seed 1992)</t>
  </si>
  <si>
    <t>Line 255:  KOMONDOR SIMULATION 'sim_seed1992_input_nodes_n10_s38_cb6.csv' (seed 1992)</t>
  </si>
  <si>
    <t>Line 263:  KOMONDOR SIMULATION 'sim_seed1992_input_nodes_n10_s39_cb6.csv' (seed 1992)</t>
  </si>
  <si>
    <t>Line 271:  KOMONDOR SIMULATION 'sim_seed1992_input_nodes_n10_s3_cb6.csv' (seed 1992)</t>
  </si>
  <si>
    <t>Line 279:  KOMONDOR SIMULATION 'sim_seed1992_input_nodes_n10_s40_cb6.csv' (seed 1992)</t>
  </si>
  <si>
    <t>Line 287:  KOMONDOR SIMULATION 'sim_seed1992_input_nodes_n10_s41_cb6.csv' (seed 1992)</t>
  </si>
  <si>
    <t>Line 295:  KOMONDOR SIMULATION 'sim_seed1992_input_nodes_n10_s42_cb6.csv' (seed 1992)</t>
  </si>
  <si>
    <t>Line 303:  KOMONDOR SIMULATION 'sim_seed1992_input_nodes_n10_s43_cb6.csv' (seed 1992)</t>
  </si>
  <si>
    <t>Line 311:  KOMONDOR SIMULATION 'sim_seed1992_input_nodes_n10_s44_cb6.csv' (seed 1992)</t>
  </si>
  <si>
    <t>Line 319:  KOMONDOR SIMULATION 'sim_seed1992_input_nodes_n10_s45_cb6.csv' (seed 1992)</t>
  </si>
  <si>
    <t>Line 327:  KOMONDOR SIMULATION 'sim_seed1992_input_nodes_n10_s46_cb6.csv' (seed 1992)</t>
  </si>
  <si>
    <t>Line 335:  KOMONDOR SIMULATION 'sim_seed1992_input_nodes_n10_s47_cb6.csv' (seed 1992)</t>
  </si>
  <si>
    <t>Line 343:  KOMONDOR SIMULATION 'sim_seed1992_input_nodes_n10_s48_cb6.csv' (seed 1992)</t>
  </si>
  <si>
    <t>Line 351:  KOMONDOR SIMULATION 'sim_seed1992_input_nodes_n10_s49_cb6.csv' (seed 1992)</t>
  </si>
  <si>
    <t>Line 359:  KOMONDOR SIMULATION 'sim_seed1992_input_nodes_n10_s4_cb6.csv' (seed 1992)</t>
  </si>
  <si>
    <t>Line 367:  KOMONDOR SIMULATION 'sim_seed1992_input_nodes_n10_s5_cb6.csv' (seed 1992)</t>
  </si>
  <si>
    <t>Line 375:  KOMONDOR SIMULATION 'sim_seed1992_input_nodes_n10_s6_cb6.csv' (seed 1992)</t>
  </si>
  <si>
    <t>Line 383:  KOMONDOR SIMULATION 'sim_seed1992_input_nodes_n10_s7_cb6.csv' (seed 1992)</t>
  </si>
  <si>
    <t>Line 391:  KOMONDOR SIMULATION 'sim_seed1992_input_nodes_n10_s8_cb6.csv' (seed 1992)</t>
  </si>
  <si>
    <t>Line 399:  KOMONDOR SIMULATION 'sim_seed1992_input_nodes_n10_s9_cb6.csv' (seed 1992)</t>
  </si>
  <si>
    <t>Line 407:  KOMONDOR SIMULATION 'sim_seed1992_input_nodes_n20_s0_cb6.csv' (seed 1992)</t>
  </si>
  <si>
    <t>Line 415:  KOMONDOR SIMULATION 'sim_seed1992_input_nodes_n20_s10_cb6.csv' (seed 1992)</t>
  </si>
  <si>
    <t>Line 423:  KOMONDOR SIMULATION 'sim_seed1992_input_nodes_n20_s11_cb6.csv' (seed 1992)</t>
  </si>
  <si>
    <t>Line 431:  KOMONDOR SIMULATION 'sim_seed1992_input_nodes_n20_s12_cb6.csv' (seed 1992)</t>
  </si>
  <si>
    <t>Line 439:  KOMONDOR SIMULATION 'sim_seed1992_input_nodes_n20_s13_cb6.csv' (seed 1992)</t>
  </si>
  <si>
    <t>Line 447:  KOMONDOR SIMULATION 'sim_seed1992_input_nodes_n20_s14_cb6.csv' (seed 1992)</t>
  </si>
  <si>
    <t>Line 455:  KOMONDOR SIMULATION 'sim_seed1992_input_nodes_n20_s15_cb6.csv' (seed 1992)</t>
  </si>
  <si>
    <t>Line 463:  KOMONDOR SIMULATION 'sim_seed1992_input_nodes_n20_s16_cb6.csv' (seed 1992)</t>
  </si>
  <si>
    <t>Line 471:  KOMONDOR SIMULATION 'sim_seed1992_input_nodes_n20_s17_cb6.csv' (seed 1992)</t>
  </si>
  <si>
    <t>Line 479:  KOMONDOR SIMULATION 'sim_seed1992_input_nodes_n20_s18_cb6.csv' (seed 1992)</t>
  </si>
  <si>
    <t>Line 487:  KOMONDOR SIMULATION 'sim_seed1992_input_nodes_n20_s19_cb6.csv' (seed 1992)</t>
  </si>
  <si>
    <t>Line 495:  KOMONDOR SIMULATION 'sim_seed1992_input_nodes_n20_s1_cb6.csv' (seed 1992)</t>
  </si>
  <si>
    <t>Line 503:  KOMONDOR SIMULATION 'sim_seed1992_input_nodes_n20_s20_cb6.csv' (seed 1992)</t>
  </si>
  <si>
    <t>Line 511:  KOMONDOR SIMULATION 'sim_seed1992_input_nodes_n20_s21_cb6.csv' (seed 1992)</t>
  </si>
  <si>
    <t>Line 519:  KOMONDOR SIMULATION 'sim_seed1992_input_nodes_n20_s22_cb6.csv' (seed 1992)</t>
  </si>
  <si>
    <t>Line 527:  KOMONDOR SIMULATION 'sim_seed1992_input_nodes_n20_s23_cb6.csv' (seed 1992)</t>
  </si>
  <si>
    <t>Line 535:  KOMONDOR SIMULATION 'sim_seed1992_input_nodes_n20_s24_cb6.csv' (seed 1992)</t>
  </si>
  <si>
    <t>Line 543:  KOMONDOR SIMULATION 'sim_seed1992_input_nodes_n20_s25_cb6.csv' (seed 1992)</t>
  </si>
  <si>
    <t>Line 551:  KOMONDOR SIMULATION 'sim_seed1992_input_nodes_n20_s26_cb6.csv' (seed 1992)</t>
  </si>
  <si>
    <t>Line 559:  KOMONDOR SIMULATION 'sim_seed1992_input_nodes_n20_s27_cb6.csv' (seed 1992)</t>
  </si>
  <si>
    <t>Line 567:  KOMONDOR SIMULATION 'sim_seed1992_input_nodes_n20_s28_cb6.csv' (seed 1992)</t>
  </si>
  <si>
    <t>Line 575:  KOMONDOR SIMULATION 'sim_seed1992_input_nodes_n20_s29_cb6.csv' (seed 1992)</t>
  </si>
  <si>
    <t>Line 583:  KOMONDOR SIMULATION 'sim_seed1992_input_nodes_n20_s2_cb6.csv' (seed 1992)</t>
  </si>
  <si>
    <t>Line 591:  KOMONDOR SIMULATION 'sim_seed1992_input_nodes_n20_s30_cb6.csv' (seed 1992)</t>
  </si>
  <si>
    <t>Line 599:  KOMONDOR SIMULATION 'sim_seed1992_input_nodes_n20_s31_cb6.csv' (seed 1992)</t>
  </si>
  <si>
    <t>Line 607:  KOMONDOR SIMULATION 'sim_seed1992_input_nodes_n20_s32_cb6.csv' (seed 1992)</t>
  </si>
  <si>
    <t>Line 615:  KOMONDOR SIMULATION 'sim_seed1992_input_nodes_n20_s33_cb6.csv' (seed 1992)</t>
  </si>
  <si>
    <t>Line 623:  KOMONDOR SIMULATION 'sim_seed1992_input_nodes_n20_s34_cb6.csv' (seed 1992)</t>
  </si>
  <si>
    <t>Line 631:  KOMONDOR SIMULATION 'sim_seed1992_input_nodes_n20_s35_cb6.csv' (seed 1992)</t>
  </si>
  <si>
    <t>Line 639:  KOMONDOR SIMULATION 'sim_seed1992_input_nodes_n20_s36_cb6.csv' (seed 1992)</t>
  </si>
  <si>
    <t>Line 647:  KOMONDOR SIMULATION 'sim_seed1992_input_nodes_n20_s37_cb6.csv' (seed 1992)</t>
  </si>
  <si>
    <t>Line 655:  KOMONDOR SIMULATION 'sim_seed1992_input_nodes_n20_s38_cb6.csv' (seed 1992)</t>
  </si>
  <si>
    <t>Line 663:  KOMONDOR SIMULATION 'sim_seed1992_input_nodes_n20_s39_cb6.csv' (seed 1992)</t>
  </si>
  <si>
    <t>Line 671:  KOMONDOR SIMULATION 'sim_seed1992_input_nodes_n20_s3_cb6.csv' (seed 1992)</t>
  </si>
  <si>
    <t>Line 679:  KOMONDOR SIMULATION 'sim_seed1992_input_nodes_n20_s40_cb6.csv' (seed 1992)</t>
  </si>
  <si>
    <t>Line 687:  KOMONDOR SIMULATION 'sim_seed1992_input_nodes_n20_s41_cb6.csv' (seed 1992)</t>
  </si>
  <si>
    <t>Line 695:  KOMONDOR SIMULATION 'sim_seed1992_input_nodes_n20_s42_cb6.csv' (seed 1992)</t>
  </si>
  <si>
    <t>Line 703:  KOMONDOR SIMULATION 'sim_seed1992_input_nodes_n20_s43_cb6.csv' (seed 1992)</t>
  </si>
  <si>
    <t>Line 711:  KOMONDOR SIMULATION 'sim_seed1992_input_nodes_n20_s44_cb6.csv' (seed 1992)</t>
  </si>
  <si>
    <t>Line 719:  KOMONDOR SIMULATION 'sim_seed1992_input_nodes_n20_s45_cb6.csv' (seed 1992)</t>
  </si>
  <si>
    <t>Line 727:  KOMONDOR SIMULATION 'sim_seed1992_input_nodes_n20_s46_cb6.csv' (seed 1992)</t>
  </si>
  <si>
    <t>Line 735:  KOMONDOR SIMULATION 'sim_seed1992_input_nodes_n20_s47_cb6.csv' (seed 1992)</t>
  </si>
  <si>
    <t>Line 743:  KOMONDOR SIMULATION 'sim_seed1992_input_nodes_n20_s48_cb6.csv' (seed 1992)</t>
  </si>
  <si>
    <t>Line 751:  KOMONDOR SIMULATION 'sim_seed1992_input_nodes_n20_s49_cb6.csv' (seed 1992)</t>
  </si>
  <si>
    <t>Line 759:  KOMONDOR SIMULATION 'sim_seed1992_input_nodes_n20_s4_cb6.csv' (seed 1992)</t>
  </si>
  <si>
    <t>Line 767:  KOMONDOR SIMULATION 'sim_seed1992_input_nodes_n20_s5_cb6.csv' (seed 1992)</t>
  </si>
  <si>
    <t>Line 775:  KOMONDOR SIMULATION 'sim_seed1992_input_nodes_n20_s6_cb6.csv' (seed 1992)</t>
  </si>
  <si>
    <t>Line 783:  KOMONDOR SIMULATION 'sim_seed1992_input_nodes_n20_s7_cb6.csv' (seed 1992)</t>
  </si>
  <si>
    <t>Line 791:  KOMONDOR SIMULATION 'sim_seed1992_input_nodes_n20_s8_cb6.csv' (seed 1992)</t>
  </si>
  <si>
    <t>Line 799:  KOMONDOR SIMULATION 'sim_seed1992_input_nodes_n20_s9_cb6.csv' (seed 1992)</t>
  </si>
  <si>
    <t>Line 807:  KOMONDOR SIMULATION 'sim_seed1992_input_nodes_n2_s0_cb6.csv' (seed 1992)</t>
  </si>
  <si>
    <t>Line 815:  KOMONDOR SIMULATION 'sim_seed1992_input_nodes_n2_s10_cb6.csv' (seed 1992)</t>
  </si>
  <si>
    <t>Line 823:  KOMONDOR SIMULATION 'sim_seed1992_input_nodes_n2_s11_cb6.csv' (seed 1992)</t>
  </si>
  <si>
    <t>Line 831:  KOMONDOR SIMULATION 'sim_seed1992_input_nodes_n2_s12_cb6.csv' (seed 1992)</t>
  </si>
  <si>
    <t>Line 839:  KOMONDOR SIMULATION 'sim_seed1992_input_nodes_n2_s13_cb6.csv' (seed 1992)</t>
  </si>
  <si>
    <t>Line 847:  KOMONDOR SIMULATION 'sim_seed1992_input_nodes_n2_s14_cb6.csv' (seed 1992)</t>
  </si>
  <si>
    <t>Line 855:  KOMONDOR SIMULATION 'sim_seed1992_input_nodes_n2_s15_cb6.csv' (seed 1992)</t>
  </si>
  <si>
    <t>Line 863:  KOMONDOR SIMULATION 'sim_seed1992_input_nodes_n2_s16_cb6.csv' (seed 1992)</t>
  </si>
  <si>
    <t>Line 871:  KOMONDOR SIMULATION 'sim_seed1992_input_nodes_n2_s17_cb6.csv' (seed 1992)</t>
  </si>
  <si>
    <t>Line 879:  KOMONDOR SIMULATION 'sim_seed1992_input_nodes_n2_s18_cb6.csv' (seed 1992)</t>
  </si>
  <si>
    <t>Line 887:  KOMONDOR SIMULATION 'sim_seed1992_input_nodes_n2_s19_cb6.csv' (seed 1992)</t>
  </si>
  <si>
    <t>Line 895:  KOMONDOR SIMULATION 'sim_seed1992_input_nodes_n2_s1_cb6.csv' (seed 1992)</t>
  </si>
  <si>
    <t>Line 903:  KOMONDOR SIMULATION 'sim_seed1992_input_nodes_n2_s20_cb6.csv' (seed 1992)</t>
  </si>
  <si>
    <t>Line 911:  KOMONDOR SIMULATION 'sim_seed1992_input_nodes_n2_s21_cb6.csv' (seed 1992)</t>
  </si>
  <si>
    <t>Line 919:  KOMONDOR SIMULATION 'sim_seed1992_input_nodes_n2_s22_cb6.csv' (seed 1992)</t>
  </si>
  <si>
    <t>Line 927:  KOMONDOR SIMULATION 'sim_seed1992_input_nodes_n2_s23_cb6.csv' (seed 1992)</t>
  </si>
  <si>
    <t>Line 935:  KOMONDOR SIMULATION 'sim_seed1992_input_nodes_n2_s24_cb6.csv' (seed 1992)</t>
  </si>
  <si>
    <t>Line 943:  KOMONDOR SIMULATION 'sim_seed1992_input_nodes_n2_s25_cb6.csv' (seed 1992)</t>
  </si>
  <si>
    <t>Line 951:  KOMONDOR SIMULATION 'sim_seed1992_input_nodes_n2_s26_cb6.csv' (seed 1992)</t>
  </si>
  <si>
    <t>Line 959:  KOMONDOR SIMULATION 'sim_seed1992_input_nodes_n2_s27_cb6.csv' (seed 1992)</t>
  </si>
  <si>
    <t>Line 967:  KOMONDOR SIMULATION 'sim_seed1992_input_nodes_n2_s28_cb6.csv' (seed 1992)</t>
  </si>
  <si>
    <t>Line 975:  KOMONDOR SIMULATION 'sim_seed1992_input_nodes_n2_s29_cb6.csv' (seed 1992)</t>
  </si>
  <si>
    <t>Line 983:  KOMONDOR SIMULATION 'sim_seed1992_input_nodes_n2_s2_cb6.csv' (seed 1992)</t>
  </si>
  <si>
    <t>Line 991:  KOMONDOR SIMULATION 'sim_seed1992_input_nodes_n2_s30_cb6.csv' (seed 1992)</t>
  </si>
  <si>
    <t>Line 999:  KOMONDOR SIMULATION 'sim_seed1992_input_nodes_n2_s31_cb6.csv' (seed 1992)</t>
  </si>
  <si>
    <t>Line 1007:  KOMONDOR SIMULATION 'sim_seed1992_input_nodes_n2_s32_cb6.csv' (seed 1992)</t>
  </si>
  <si>
    <t>Line 1015:  KOMONDOR SIMULATION 'sim_seed1992_input_nodes_n2_s33_cb6.csv' (seed 1992)</t>
  </si>
  <si>
    <t>Line 1023:  KOMONDOR SIMULATION 'sim_seed1992_input_nodes_n2_s34_cb6.csv' (seed 1992)</t>
  </si>
  <si>
    <t>Line 1031:  KOMONDOR SIMULATION 'sim_seed1992_input_nodes_n2_s35_cb6.csv' (seed 1992)</t>
  </si>
  <si>
    <t>Line 1039:  KOMONDOR SIMULATION 'sim_seed1992_input_nodes_n2_s36_cb6.csv' (seed 1992)</t>
  </si>
  <si>
    <t>Line 1047:  KOMONDOR SIMULATION 'sim_seed1992_input_nodes_n2_s37_cb6.csv' (seed 1992)</t>
  </si>
  <si>
    <t>Line 1055:  KOMONDOR SIMULATION 'sim_seed1992_input_nodes_n2_s38_cb6.csv' (seed 1992)</t>
  </si>
  <si>
    <t>Line 1063:  KOMONDOR SIMULATION 'sim_seed1992_input_nodes_n2_s39_cb6.csv' (seed 1992)</t>
  </si>
  <si>
    <t>Line 1071:  KOMONDOR SIMULATION 'sim_seed1992_input_nodes_n2_s3_cb6.csv' (seed 1992)</t>
  </si>
  <si>
    <t>Line 1079:  KOMONDOR SIMULATION 'sim_seed1992_input_nodes_n2_s40_cb6.csv' (seed 1992)</t>
  </si>
  <si>
    <t>Line 1087:  KOMONDOR SIMULATION 'sim_seed1992_input_nodes_n2_s41_cb6.csv' (seed 1992)</t>
  </si>
  <si>
    <t>Line 1095:  KOMONDOR SIMULATION 'sim_seed1992_input_nodes_n2_s42_cb6.csv' (seed 1992)</t>
  </si>
  <si>
    <t>Line 1103:  KOMONDOR SIMULATION 'sim_seed1992_input_nodes_n2_s43_cb6.csv' (seed 1992)</t>
  </si>
  <si>
    <t>Line 1111:  KOMONDOR SIMULATION 'sim_seed1992_input_nodes_n2_s44_cb6.csv' (seed 1992)</t>
  </si>
  <si>
    <t>Line 1119:  KOMONDOR SIMULATION 'sim_seed1992_input_nodes_n2_s45_cb6.csv' (seed 1992)</t>
  </si>
  <si>
    <t>Line 1127:  KOMONDOR SIMULATION 'sim_seed1992_input_nodes_n2_s46_cb6.csv' (seed 1992)</t>
  </si>
  <si>
    <t>Line 1135:  KOMONDOR SIMULATION 'sim_seed1992_input_nodes_n2_s47_cb6.csv' (seed 1992)</t>
  </si>
  <si>
    <t>Line 1143:  KOMONDOR SIMULATION 'sim_seed1992_input_nodes_n2_s48_cb6.csv' (seed 1992)</t>
  </si>
  <si>
    <t>Line 1151:  KOMONDOR SIMULATION 'sim_seed1992_input_nodes_n2_s49_cb6.csv' (seed 1992)</t>
  </si>
  <si>
    <t>Line 1159:  KOMONDOR SIMULATION 'sim_seed1992_input_nodes_n2_s4_cb6.csv' (seed 1992)</t>
  </si>
  <si>
    <t>Line 1167:  KOMONDOR SIMULATION 'sim_seed1992_input_nodes_n2_s5_cb6.csv' (seed 1992)</t>
  </si>
  <si>
    <t>Line 1175:  KOMONDOR SIMULATION 'sim_seed1992_input_nodes_n2_s6_cb6.csv' (seed 1992)</t>
  </si>
  <si>
    <t>Line 1183:  KOMONDOR SIMULATION 'sim_seed1992_input_nodes_n2_s7_cb6.csv' (seed 1992)</t>
  </si>
  <si>
    <t>Line 1191:  KOMONDOR SIMULATION 'sim_seed1992_input_nodes_n2_s8_cb6.csv' (seed 1992)</t>
  </si>
  <si>
    <t>Line 1199:  KOMONDOR SIMULATION 'sim_seed1992_input_nodes_n2_s9_cb6.csv' (seed 1992)</t>
  </si>
  <si>
    <t>Line 1207:  KOMONDOR SIMULATION 'sim_seed1992_input_nodes_n30_s0_cb6.csv' (seed 1992)</t>
  </si>
  <si>
    <t>Line 1215:  KOMONDOR SIMULATION 'sim_seed1992_input_nodes_n30_s10_cb6.csv' (seed 1992)</t>
  </si>
  <si>
    <t>Line 1223:  KOMONDOR SIMULATION 'sim_seed1992_input_nodes_n30_s11_cb6.csv' (seed 1992)</t>
  </si>
  <si>
    <t>Line 1231:  KOMONDOR SIMULATION 'sim_seed1992_input_nodes_n30_s12_cb6.csv' (seed 1992)</t>
  </si>
  <si>
    <t>Line 1239:  KOMONDOR SIMULATION 'sim_seed1992_input_nodes_n30_s13_cb6.csv' (seed 1992)</t>
  </si>
  <si>
    <t>Line 1247:  KOMONDOR SIMULATION 'sim_seed1992_input_nodes_n30_s14_cb6.csv' (seed 1992)</t>
  </si>
  <si>
    <t>Line 1255:  KOMONDOR SIMULATION 'sim_seed1992_input_nodes_n30_s15_cb6.csv' (seed 1992)</t>
  </si>
  <si>
    <t>Line 1263:  KOMONDOR SIMULATION 'sim_seed1992_input_nodes_n30_s16_cb6.csv' (seed 1992)</t>
  </si>
  <si>
    <t>Line 1271:  KOMONDOR SIMULATION 'sim_seed1992_input_nodes_n30_s17_cb6.csv' (seed 1992)</t>
  </si>
  <si>
    <t>Line 1279:  KOMONDOR SIMULATION 'sim_seed1992_input_nodes_n30_s18_cb6.csv' (seed 1992)</t>
  </si>
  <si>
    <t>Line 1287:  KOMONDOR SIMULATION 'sim_seed1992_input_nodes_n30_s19_cb6.csv' (seed 1992)</t>
  </si>
  <si>
    <t>Line 1295:  KOMONDOR SIMULATION 'sim_seed1992_input_nodes_n30_s1_cb6.csv' (seed 1992)</t>
  </si>
  <si>
    <t>Line 1303:  KOMONDOR SIMULATION 'sim_seed1992_input_nodes_n30_s20_cb6.csv' (seed 1992)</t>
  </si>
  <si>
    <t>Line 1311:  KOMONDOR SIMULATION 'sim_seed1992_input_nodes_n30_s21_cb6.csv' (seed 1992)</t>
  </si>
  <si>
    <t>Line 1319:  KOMONDOR SIMULATION 'sim_seed1992_input_nodes_n30_s22_cb6.csv' (seed 1992)</t>
  </si>
  <si>
    <t>Line 1327:  KOMONDOR SIMULATION 'sim_seed1992_input_nodes_n30_s23_cb6.csv' (seed 1992)</t>
  </si>
  <si>
    <t>Line 1335:  KOMONDOR SIMULATION 'sim_seed1992_input_nodes_n30_s24_cb6.csv' (seed 1992)</t>
  </si>
  <si>
    <t>Line 1343:  KOMONDOR SIMULATION 'sim_seed1992_input_nodes_n30_s25_cb6.csv' (seed 1992)</t>
  </si>
  <si>
    <t>Line 1351:  KOMONDOR SIMULATION 'sim_seed1992_input_nodes_n30_s26_cb6.csv' (seed 1992)</t>
  </si>
  <si>
    <t>Line 1359:  KOMONDOR SIMULATION 'sim_seed1992_input_nodes_n30_s27_cb6.csv' (seed 1992)</t>
  </si>
  <si>
    <t>Line 1367:  KOMONDOR SIMULATION 'sim_seed1992_input_nodes_n30_s28_cb6.csv' (seed 1992)</t>
  </si>
  <si>
    <t>Line 1375:  KOMONDOR SIMULATION 'sim_seed1992_input_nodes_n30_s29_cb6.csv' (seed 1992)</t>
  </si>
  <si>
    <t>Line 1383:  KOMONDOR SIMULATION 'sim_seed1992_input_nodes_n30_s2_cb6.csv' (seed 1992)</t>
  </si>
  <si>
    <t>Line 1391:  KOMONDOR SIMULATION 'sim_seed1992_input_nodes_n30_s30_cb6.csv' (seed 1992)</t>
  </si>
  <si>
    <t>Line 1399:  KOMONDOR SIMULATION 'sim_seed1992_input_nodes_n30_s31_cb6.csv' (seed 1992)</t>
  </si>
  <si>
    <t>Line 1407:  KOMONDOR SIMULATION 'sim_seed1992_input_nodes_n30_s32_cb6.csv' (seed 1992)</t>
  </si>
  <si>
    <t>Line 1415:  KOMONDOR SIMULATION 'sim_seed1992_input_nodes_n30_s33_cb6.csv' (seed 1992)</t>
  </si>
  <si>
    <t>Line 1423:  KOMONDOR SIMULATION 'sim_seed1992_input_nodes_n30_s34_cb6.csv' (seed 1992)</t>
  </si>
  <si>
    <t>Line 1431:  KOMONDOR SIMULATION 'sim_seed1992_input_nodes_n30_s35_cb6.csv' (seed 1992)</t>
  </si>
  <si>
    <t>Line 1439:  KOMONDOR SIMULATION 'sim_seed1992_input_nodes_n30_s36_cb6.csv' (seed 1992)</t>
  </si>
  <si>
    <t>Line 1447:  KOMONDOR SIMULATION 'sim_seed1992_input_nodes_n30_s37_cb6.csv' (seed 1992)</t>
  </si>
  <si>
    <t>Line 1455:  KOMONDOR SIMULATION 'sim_seed1992_input_nodes_n30_s38_cb6.csv' (seed 1992)</t>
  </si>
  <si>
    <t>Line 1463:  KOMONDOR SIMULATION 'sim_seed1992_input_nodes_n30_s39_cb6.csv' (seed 1992)</t>
  </si>
  <si>
    <t>Line 1471:  KOMONDOR SIMULATION 'sim_seed1992_input_nodes_n30_s3_cb6.csv' (seed 1992)</t>
  </si>
  <si>
    <t>Line 1479:  KOMONDOR SIMULATION 'sim_seed1992_input_nodes_n30_s40_cb6.csv' (seed 1992)</t>
  </si>
  <si>
    <t>Line 1487:  KOMONDOR SIMULATION 'sim_seed1992_input_nodes_n30_s41_cb6.csv' (seed 1992)</t>
  </si>
  <si>
    <t>Line 1495:  KOMONDOR SIMULATION 'sim_seed1992_input_nodes_n30_s42_cb6.csv' (seed 1992)</t>
  </si>
  <si>
    <t>Line 1503:  KOMONDOR SIMULATION 'sim_seed1992_input_nodes_n30_s43_cb6.csv' (seed 1992)</t>
  </si>
  <si>
    <t>Line 1511:  KOMONDOR SIMULATION 'sim_seed1992_input_nodes_n30_s44_cb6.csv' (seed 1992)</t>
  </si>
  <si>
    <t>Line 1519:  KOMONDOR SIMULATION 'sim_seed1992_input_nodes_n30_s45_cb6.csv' (seed 1992)</t>
  </si>
  <si>
    <t>Line 1527:  KOMONDOR SIMULATION 'sim_seed1992_input_nodes_n30_s46_cb6.csv' (seed 1992)</t>
  </si>
  <si>
    <t>Line 1535:  KOMONDOR SIMULATION 'sim_seed1992_input_nodes_n30_s47_cb6.csv' (seed 1992)</t>
  </si>
  <si>
    <t>Line 1543:  KOMONDOR SIMULATION 'sim_seed1992_input_nodes_n30_s48_cb6.csv' (seed 1992)</t>
  </si>
  <si>
    <t>Line 1551:  KOMONDOR SIMULATION 'sim_seed1992_input_nodes_n30_s49_cb6.csv' (seed 1992)</t>
  </si>
  <si>
    <t>Line 1559:  KOMONDOR SIMULATION 'sim_seed1992_input_nodes_n30_s4_cb6.csv' (seed 1992)</t>
  </si>
  <si>
    <t>Line 1567:  KOMONDOR SIMULATION 'sim_seed1992_input_nodes_n30_s5_cb6.csv' (seed 1992)</t>
  </si>
  <si>
    <t>Line 1575:  KOMONDOR SIMULATION 'sim_seed1992_input_nodes_n30_s6_cb6.csv' (seed 1992)</t>
  </si>
  <si>
    <t>Line 1583:  KOMONDOR SIMULATION 'sim_seed1992_input_nodes_n30_s7_cb6.csv' (seed 1992)</t>
  </si>
  <si>
    <t>Line 1591:  KOMONDOR SIMULATION 'sim_seed1992_input_nodes_n30_s8_cb6.csv' (seed 1992)</t>
  </si>
  <si>
    <t>Line 1599:  KOMONDOR SIMULATION 'sim_seed1992_input_nodes_n30_s9_cb6.csv' (seed 1992)</t>
  </si>
  <si>
    <t>Line 1607:  KOMONDOR SIMULATION 'sim_seed1992_input_nodes_n40_s0_cb6.csv' (seed 1992)</t>
  </si>
  <si>
    <t>Line 1615:  KOMONDOR SIMULATION 'sim_seed1992_input_nodes_n40_s10_cb6.csv' (seed 1992)</t>
  </si>
  <si>
    <t>Line 1623:  KOMONDOR SIMULATION 'sim_seed1992_input_nodes_n40_s11_cb6.csv' (seed 1992)</t>
  </si>
  <si>
    <t>Line 1631:  KOMONDOR SIMULATION 'sim_seed1992_input_nodes_n40_s12_cb6.csv' (seed 1992)</t>
  </si>
  <si>
    <t>Line 1639:  KOMONDOR SIMULATION 'sim_seed1992_input_nodes_n40_s13_cb6.csv' (seed 1992)</t>
  </si>
  <si>
    <t>Line 1647:  KOMONDOR SIMULATION 'sim_seed1992_input_nodes_n40_s14_cb6.csv' (seed 1992)</t>
  </si>
  <si>
    <t>Line 1655:  KOMONDOR SIMULATION 'sim_seed1992_input_nodes_n40_s15_cb6.csv' (seed 1992)</t>
  </si>
  <si>
    <t>Line 1663:  KOMONDOR SIMULATION 'sim_seed1992_input_nodes_n40_s16_cb6.csv' (seed 1992)</t>
  </si>
  <si>
    <t>Line 1671:  KOMONDOR SIMULATION 'sim_seed1992_input_nodes_n40_s17_cb6.csv' (seed 1992)</t>
  </si>
  <si>
    <t>Line 1679:  KOMONDOR SIMULATION 'sim_seed1992_input_nodes_n40_s18_cb6.csv' (seed 1992)</t>
  </si>
  <si>
    <t>Line 1687:  KOMONDOR SIMULATION 'sim_seed1992_input_nodes_n40_s19_cb6.csv' (seed 1992)</t>
  </si>
  <si>
    <t>Line 1695:  KOMONDOR SIMULATION 'sim_seed1992_input_nodes_n40_s1_cb6.csv' (seed 1992)</t>
  </si>
  <si>
    <t>Line 1703:  KOMONDOR SIMULATION 'sim_seed1992_input_nodes_n40_s20_cb6.csv' (seed 1992)</t>
  </si>
  <si>
    <t>Line 1711:  KOMONDOR SIMULATION 'sim_seed1992_input_nodes_n40_s21_cb6.csv' (seed 1992)</t>
  </si>
  <si>
    <t>Line 1719:  KOMONDOR SIMULATION 'sim_seed1992_input_nodes_n40_s22_cb6.csv' (seed 1992)</t>
  </si>
  <si>
    <t>Line 1727:  KOMONDOR SIMULATION 'sim_seed1992_input_nodes_n40_s23_cb6.csv' (seed 1992)</t>
  </si>
  <si>
    <t>Line 1735:  KOMONDOR SIMULATION 'sim_seed1992_input_nodes_n40_s24_cb6.csv' (seed 1992)</t>
  </si>
  <si>
    <t>Line 1743:  KOMONDOR SIMULATION 'sim_seed1992_input_nodes_n40_s25_cb6.csv' (seed 1992)</t>
  </si>
  <si>
    <t>Line 1751:  KOMONDOR SIMULATION 'sim_seed1992_input_nodes_n40_s26_cb6.csv' (seed 1992)</t>
  </si>
  <si>
    <t>Line 1759:  KOMONDOR SIMULATION 'sim_seed1992_input_nodes_n40_s27_cb6.csv' (seed 1992)</t>
  </si>
  <si>
    <t>Line 1767:  KOMONDOR SIMULATION 'sim_seed1992_input_nodes_n40_s28_cb6.csv' (seed 1992)</t>
  </si>
  <si>
    <t>Line 1775:  KOMONDOR SIMULATION 'sim_seed1992_input_nodes_n40_s29_cb6.csv' (seed 1992)</t>
  </si>
  <si>
    <t>Line 1783:  KOMONDOR SIMULATION 'sim_seed1992_input_nodes_n40_s2_cb6.csv' (seed 1992)</t>
  </si>
  <si>
    <t>Line 1791:  KOMONDOR SIMULATION 'sim_seed1992_input_nodes_n40_s30_cb6.csv' (seed 1992)</t>
  </si>
  <si>
    <t>Line 1799:  KOMONDOR SIMULATION 'sim_seed1992_input_nodes_n40_s31_cb6.csv' (seed 1992)</t>
  </si>
  <si>
    <t>Line 1807:  KOMONDOR SIMULATION 'sim_seed1992_input_nodes_n40_s32_cb6.csv' (seed 1992)</t>
  </si>
  <si>
    <t>Line 1815:  KOMONDOR SIMULATION 'sim_seed1992_input_nodes_n40_s33_cb6.csv' (seed 1992)</t>
  </si>
  <si>
    <t>Line 1823:  KOMONDOR SIMULATION 'sim_seed1992_input_nodes_n40_s34_cb6.csv' (seed 1992)</t>
  </si>
  <si>
    <t>Line 1831:  KOMONDOR SIMULATION 'sim_seed1992_input_nodes_n40_s35_cb6.csv' (seed 1992)</t>
  </si>
  <si>
    <t>Line 1839:  KOMONDOR SIMULATION 'sim_seed1992_input_nodes_n40_s36_cb6.csv' (seed 1992)</t>
  </si>
  <si>
    <t>Line 1847:  KOMONDOR SIMULATION 'sim_seed1992_input_nodes_n40_s37_cb6.csv' (seed 1992)</t>
  </si>
  <si>
    <t>Line 1855:  KOMONDOR SIMULATION 'sim_seed1992_input_nodes_n40_s38_cb6.csv' (seed 1992)</t>
  </si>
  <si>
    <t>Line 1863:  KOMONDOR SIMULATION 'sim_seed1992_input_nodes_n40_s39_cb6.csv' (seed 1992)</t>
  </si>
  <si>
    <t>Line 1871:  KOMONDOR SIMULATION 'sim_seed1992_input_nodes_n40_s3_cb6.csv' (seed 1992)</t>
  </si>
  <si>
    <t>Line 1879:  KOMONDOR SIMULATION 'sim_seed1992_input_nodes_n40_s40_cb6.csv' (seed 1992)</t>
  </si>
  <si>
    <t>Line 1887:  KOMONDOR SIMULATION 'sim_seed1992_input_nodes_n40_s41_cb6.csv' (seed 1992)</t>
  </si>
  <si>
    <t>Line 1895:  KOMONDOR SIMULATION 'sim_seed1992_input_nodes_n40_s42_cb6.csv' (seed 1992)</t>
  </si>
  <si>
    <t>Line 1903:  KOMONDOR SIMULATION 'sim_seed1992_input_nodes_n40_s43_cb6.csv' (seed 1992)</t>
  </si>
  <si>
    <t>Line 1911:  KOMONDOR SIMULATION 'sim_seed1992_input_nodes_n40_s44_cb6.csv' (seed 1992)</t>
  </si>
  <si>
    <t>Line 1919:  KOMONDOR SIMULATION 'sim_seed1992_input_nodes_n40_s45_cb6.csv' (seed 1992)</t>
  </si>
  <si>
    <t>Line 1927:  KOMONDOR SIMULATION 'sim_seed1992_input_nodes_n40_s46_cb6.csv' (seed 1992)</t>
  </si>
  <si>
    <t>Line 1935:  KOMONDOR SIMULATION 'sim_seed1992_input_nodes_n40_s47_cb6.csv' (seed 1992)</t>
  </si>
  <si>
    <t>Line 1943:  KOMONDOR SIMULATION 'sim_seed1992_input_nodes_n40_s48_cb6.csv' (seed 1992)</t>
  </si>
  <si>
    <t>Line 1951:  KOMONDOR SIMULATION 'sim_seed1992_input_nodes_n40_s49_cb6.csv' (seed 1992)</t>
  </si>
  <si>
    <t>Line 1959:  KOMONDOR SIMULATION 'sim_seed1992_input_nodes_n40_s4_cb6.csv' (seed 1992)</t>
  </si>
  <si>
    <t>Line 1967:  KOMONDOR SIMULATION 'sim_seed1992_input_nodes_n40_s5_cb6.csv' (seed 1992)</t>
  </si>
  <si>
    <t>Line 1975:  KOMONDOR SIMULATION 'sim_seed1992_input_nodes_n40_s6_cb6.csv' (seed 1992)</t>
  </si>
  <si>
    <t>Line 1983:  KOMONDOR SIMULATION 'sim_seed1992_input_nodes_n40_s7_cb6.csv' (seed 1992)</t>
  </si>
  <si>
    <t>Line 1991:  KOMONDOR SIMULATION 'sim_seed1992_input_nodes_n40_s8_cb6.csv' (seed 1992)</t>
  </si>
  <si>
    <t>Line 1999:  KOMONDOR SIMULATION 'sim_seed1992_input_nodes_n40_s9_cb6.csv' (seed 1992)</t>
  </si>
  <si>
    <t>Line 2007:  KOMONDOR SIMULATION 'sim_seed1992_input_nodes_n5_s0_cb6.csv' (seed 1992)</t>
  </si>
  <si>
    <t>Line 2015:  KOMONDOR SIMULATION 'sim_seed1992_input_nodes_n5_s10_cb6.csv' (seed 1992)</t>
  </si>
  <si>
    <t>Line 2023:  KOMONDOR SIMULATION 'sim_seed1992_input_nodes_n5_s11_cb6.csv' (seed 1992)</t>
  </si>
  <si>
    <t>Line 2031:  KOMONDOR SIMULATION 'sim_seed1992_input_nodes_n5_s12_cb6.csv' (seed 1992)</t>
  </si>
  <si>
    <t>Line 2039:  KOMONDOR SIMULATION 'sim_seed1992_input_nodes_n5_s13_cb6.csv' (seed 1992)</t>
  </si>
  <si>
    <t>Line 2047:  KOMONDOR SIMULATION 'sim_seed1992_input_nodes_n5_s14_cb6.csv' (seed 1992)</t>
  </si>
  <si>
    <t>Line 2055:  KOMONDOR SIMULATION 'sim_seed1992_input_nodes_n5_s15_cb6.csv' (seed 1992)</t>
  </si>
  <si>
    <t>Line 2063:  KOMONDOR SIMULATION 'sim_seed1992_input_nodes_n5_s16_cb6.csv' (seed 1992)</t>
  </si>
  <si>
    <t>Line 2071:  KOMONDOR SIMULATION 'sim_seed1992_input_nodes_n5_s17_cb6.csv' (seed 1992)</t>
  </si>
  <si>
    <t>Line 2079:  KOMONDOR SIMULATION 'sim_seed1992_input_nodes_n5_s18_cb6.csv' (seed 1992)</t>
  </si>
  <si>
    <t>Line 2087:  KOMONDOR SIMULATION 'sim_seed1992_input_nodes_n5_s19_cb6.csv' (seed 1992)</t>
  </si>
  <si>
    <t>Line 2095:  KOMONDOR SIMULATION 'sim_seed1992_input_nodes_n5_s1_cb6.csv' (seed 1992)</t>
  </si>
  <si>
    <t>Line 2103:  KOMONDOR SIMULATION 'sim_seed1992_input_nodes_n5_s20_cb6.csv' (seed 1992)</t>
  </si>
  <si>
    <t>Line 2111:  KOMONDOR SIMULATION 'sim_seed1992_input_nodes_n5_s21_cb6.csv' (seed 1992)</t>
  </si>
  <si>
    <t>Line 2119:  KOMONDOR SIMULATION 'sim_seed1992_input_nodes_n5_s22_cb6.csv' (seed 1992)</t>
  </si>
  <si>
    <t>Line 2127:  KOMONDOR SIMULATION 'sim_seed1992_input_nodes_n5_s23_cb6.csv' (seed 1992)</t>
  </si>
  <si>
    <t>Line 2135:  KOMONDOR SIMULATION 'sim_seed1992_input_nodes_n5_s24_cb6.csv' (seed 1992)</t>
  </si>
  <si>
    <t>Line 2143:  KOMONDOR SIMULATION 'sim_seed1992_input_nodes_n5_s25_cb6.csv' (seed 1992)</t>
  </si>
  <si>
    <t>Line 2151:  KOMONDOR SIMULATION 'sim_seed1992_input_nodes_n5_s26_cb6.csv' (seed 1992)</t>
  </si>
  <si>
    <t>Line 2159:  KOMONDOR SIMULATION 'sim_seed1992_input_nodes_n5_s27_cb6.csv' (seed 1992)</t>
  </si>
  <si>
    <t>Line 2167:  KOMONDOR SIMULATION 'sim_seed1992_input_nodes_n5_s28_cb6.csv' (seed 1992)</t>
  </si>
  <si>
    <t>Line 2175:  KOMONDOR SIMULATION 'sim_seed1992_input_nodes_n5_s29_cb6.csv' (seed 1992)</t>
  </si>
  <si>
    <t>Line 2183:  KOMONDOR SIMULATION 'sim_seed1992_input_nodes_n5_s2_cb6.csv' (seed 1992)</t>
  </si>
  <si>
    <t>Line 2191:  KOMONDOR SIMULATION 'sim_seed1992_input_nodes_n5_s30_cb6.csv' (seed 1992)</t>
  </si>
  <si>
    <t>Line 2199:  KOMONDOR SIMULATION 'sim_seed1992_input_nodes_n5_s31_cb6.csv' (seed 1992)</t>
  </si>
  <si>
    <t>Line 2207:  KOMONDOR SIMULATION 'sim_seed1992_input_nodes_n5_s32_cb6.csv' (seed 1992)</t>
  </si>
  <si>
    <t>Line 2215:  KOMONDOR SIMULATION 'sim_seed1992_input_nodes_n5_s33_cb6.csv' (seed 1992)</t>
  </si>
  <si>
    <t>Line 2223:  KOMONDOR SIMULATION 'sim_seed1992_input_nodes_n5_s34_cb6.csv' (seed 1992)</t>
  </si>
  <si>
    <t>Line 2231:  KOMONDOR SIMULATION 'sim_seed1992_input_nodes_n5_s35_cb6.csv' (seed 1992)</t>
  </si>
  <si>
    <t>Line 2239:  KOMONDOR SIMULATION 'sim_seed1992_input_nodes_n5_s36_cb6.csv' (seed 1992)</t>
  </si>
  <si>
    <t>Line 2247:  KOMONDOR SIMULATION 'sim_seed1992_input_nodes_n5_s37_cb6.csv' (seed 1992)</t>
  </si>
  <si>
    <t>Line 2255:  KOMONDOR SIMULATION 'sim_seed1992_input_nodes_n5_s38_cb6.csv' (seed 1992)</t>
  </si>
  <si>
    <t>Line 2263:  KOMONDOR SIMULATION 'sim_seed1992_input_nodes_n5_s39_cb6.csv' (seed 1992)</t>
  </si>
  <si>
    <t>Line 2271:  KOMONDOR SIMULATION 'sim_seed1992_input_nodes_n5_s3_cb6.csv' (seed 1992)</t>
  </si>
  <si>
    <t>Line 2279:  KOMONDOR SIMULATION 'sim_seed1992_input_nodes_n5_s40_cb6.csv' (seed 1992)</t>
  </si>
  <si>
    <t>Line 2287:  KOMONDOR SIMULATION 'sim_seed1992_input_nodes_n5_s41_cb6.csv' (seed 1992)</t>
  </si>
  <si>
    <t>Line 2295:  KOMONDOR SIMULATION 'sim_seed1992_input_nodes_n5_s42_cb6.csv' (seed 1992)</t>
  </si>
  <si>
    <t>Line 2303:  KOMONDOR SIMULATION 'sim_seed1992_input_nodes_n5_s43_cb6.csv' (seed 1992)</t>
  </si>
  <si>
    <t>Line 2311:  KOMONDOR SIMULATION 'sim_seed1992_input_nodes_n5_s44_cb6.csv' (seed 1992)</t>
  </si>
  <si>
    <t>Line 2319:  KOMONDOR SIMULATION 'sim_seed1992_input_nodes_n5_s45_cb6.csv' (seed 1992)</t>
  </si>
  <si>
    <t>Line 2327:  KOMONDOR SIMULATION 'sim_seed1992_input_nodes_n5_s46_cb6.csv' (seed 1992)</t>
  </si>
  <si>
    <t>Line 2335:  KOMONDOR SIMULATION 'sim_seed1992_input_nodes_n5_s47_cb6.csv' (seed 1992)</t>
  </si>
  <si>
    <t>Line 2343:  KOMONDOR SIMULATION 'sim_seed1992_input_nodes_n5_s48_cb6.csv' (seed 1992)</t>
  </si>
  <si>
    <t>Line 2351:  KOMONDOR SIMULATION 'sim_seed1992_input_nodes_n5_s49_cb6.csv' (seed 1992)</t>
  </si>
  <si>
    <t>Line 2359:  KOMONDOR SIMULATION 'sim_seed1992_input_nodes_n5_s4_cb6.csv' (seed 1992)</t>
  </si>
  <si>
    <t>Line 2367:  KOMONDOR SIMULATION 'sim_seed1992_input_nodes_n5_s5_cb6.csv' (seed 1992)</t>
  </si>
  <si>
    <t>Line 2375:  KOMONDOR SIMULATION 'sim_seed1992_input_nodes_n5_s6_cb6.csv' (seed 1992)</t>
  </si>
  <si>
    <t>Line 2383:  KOMONDOR SIMULATION 'sim_seed1992_input_nodes_n5_s7_cb6.csv' (seed 1992)</t>
  </si>
  <si>
    <t>Line 2391:  KOMONDOR SIMULATION 'sim_seed1992_input_nodes_n5_s8_cb6.csv' (seed 1992)</t>
  </si>
  <si>
    <t>Line 2399:  KOMONDOR SIMULATION 'sim_seed1992_input_nodes_n5_s9_cb6.csv' (seed 1992)</t>
  </si>
  <si>
    <t>Divided by the number of Nodes. Should be multiplied by 2 in order to get the real value!</t>
  </si>
  <si>
    <t>Prop. Fairness</t>
  </si>
  <si>
    <t>Line 1:  KOMONDOR SIMULATION 'sim_seed1992_input_nodes_n50_s0_cb0.csv' (seed 1992)</t>
  </si>
  <si>
    <t>Line 5:  KOMONDOR SIMULATION 'sim_seed1992_input_nodes_n50_s10_cb0.csv' (seed 1992)</t>
  </si>
  <si>
    <t>Line 9:  KOMONDOR SIMULATION 'sim_seed1992_input_nodes_n50_s11_cb0.csv' (seed 1992)</t>
  </si>
  <si>
    <t>Line 13:  KOMONDOR SIMULATION 'sim_seed1992_input_nodes_n50_s12_cb0.csv' (seed 1992)</t>
  </si>
  <si>
    <t>Line 17:  KOMONDOR SIMULATION 'sim_seed1992_input_nodes_n50_s13_cb0.csv' (seed 1992)</t>
  </si>
  <si>
    <t>Line 21:  KOMONDOR SIMULATION 'sim_seed1992_input_nodes_n50_s14_cb0.csv' (seed 1992)</t>
  </si>
  <si>
    <t>Line 25:  KOMONDOR SIMULATION 'sim_seed1992_input_nodes_n50_s15_cb0.csv' (seed 1992)</t>
  </si>
  <si>
    <t>Line 29:  KOMONDOR SIMULATION 'sim_seed1992_input_nodes_n50_s16_cb0.csv' (seed 1992)</t>
  </si>
  <si>
    <t>Line 33:  KOMONDOR SIMULATION 'sim_seed1992_input_nodes_n50_s17_cb0.csv' (seed 1992)</t>
  </si>
  <si>
    <t>Line 37:  KOMONDOR SIMULATION 'sim_seed1992_input_nodes_n50_s18_cb0.csv' (seed 1992)</t>
  </si>
  <si>
    <t>Line 41:  KOMONDOR SIMULATION 'sim_seed1992_input_nodes_n50_s19_cb0.csv' (seed 1992)</t>
  </si>
  <si>
    <t>Line 45:  KOMONDOR SIMULATION 'sim_seed1992_input_nodes_n50_s1_cb0.csv' (seed 1992)</t>
  </si>
  <si>
    <t>Line 49:  KOMONDOR SIMULATION 'sim_seed1992_input_nodes_n50_s20_cb0.csv' (seed 1992)</t>
  </si>
  <si>
    <t>Line 53:  KOMONDOR SIMULATION 'sim_seed1992_input_nodes_n50_s21_cb0.csv' (seed 1992)</t>
  </si>
  <si>
    <t>Line 57:  KOMONDOR SIMULATION 'sim_seed1992_input_nodes_n50_s22_cb0.csv' (seed 1992)</t>
  </si>
  <si>
    <t>Line 61:  KOMONDOR SIMULATION 'sim_seed1992_input_nodes_n50_s23_cb0.csv' (seed 1992)</t>
  </si>
  <si>
    <t>Line 65:  KOMONDOR SIMULATION 'sim_seed1992_input_nodes_n50_s24_cb0.csv' (seed 1992)</t>
  </si>
  <si>
    <t>Line 69:  KOMONDOR SIMULATION 'sim_seed1992_input_nodes_n50_s25_cb0.csv' (seed 1992)</t>
  </si>
  <si>
    <t>Line 73:  KOMONDOR SIMULATION 'sim_seed1992_input_nodes_n50_s26_cb0.csv' (seed 1992)</t>
  </si>
  <si>
    <t>Line 77:  KOMONDOR SIMULATION 'sim_seed1992_input_nodes_n50_s27_cb0.csv' (seed 1992)</t>
  </si>
  <si>
    <t>Line 81:  KOMONDOR SIMULATION 'sim_seed1992_input_nodes_n50_s28_cb0.csv' (seed 1992)</t>
  </si>
  <si>
    <t>Line 85:  KOMONDOR SIMULATION 'sim_seed1992_input_nodes_n50_s29_cb0.csv' (seed 1992)</t>
  </si>
  <si>
    <t>Line 89:  KOMONDOR SIMULATION 'sim_seed1992_input_nodes_n50_s2_cb0.csv' (seed 1992)</t>
  </si>
  <si>
    <t>Line 93:  KOMONDOR SIMULATION 'sim_seed1992_input_nodes_n50_s30_cb0.csv' (seed 1992)</t>
  </si>
  <si>
    <t>Line 97:  KOMONDOR SIMULATION 'sim_seed1992_input_nodes_n50_s31_cb0.csv' (seed 1992)</t>
  </si>
  <si>
    <t>Line 101:  KOMONDOR SIMULATION 'sim_seed1992_input_nodes_n50_s32_cb0.csv' (seed 1992)</t>
  </si>
  <si>
    <t>Line 105:  KOMONDOR SIMULATION 'sim_seed1992_input_nodes_n50_s33_cb0.csv' (seed 1992)</t>
  </si>
  <si>
    <t>Line 109:  KOMONDOR SIMULATION 'sim_seed1992_input_nodes_n50_s34_cb0.csv' (seed 1992)</t>
  </si>
  <si>
    <t>Line 113:  KOMONDOR SIMULATION 'sim_seed1992_input_nodes_n50_s35_cb0.csv' (seed 1992)</t>
  </si>
  <si>
    <t>Line 117:  KOMONDOR SIMULATION 'sim_seed1992_input_nodes_n50_s36_cb0.csv' (seed 1992)</t>
  </si>
  <si>
    <t>Line 121:  KOMONDOR SIMULATION 'sim_seed1992_input_nodes_n50_s37_cb0.csv' (seed 1992)</t>
  </si>
  <si>
    <t>Line 125:  KOMONDOR SIMULATION 'sim_seed1992_input_nodes_n50_s38_cb0.csv' (seed 1992)</t>
  </si>
  <si>
    <t>Line 129:  KOMONDOR SIMULATION 'sim_seed1992_input_nodes_n50_s39_cb0.csv' (seed 1992)</t>
  </si>
  <si>
    <t>Line 133:  KOMONDOR SIMULATION 'sim_seed1992_input_nodes_n50_s3_cb0.csv' (seed 1992)</t>
  </si>
  <si>
    <t>Line 137:  KOMONDOR SIMULATION 'sim_seed1992_input_nodes_n50_s40_cb0.csv' (seed 1992)</t>
  </si>
  <si>
    <t>Line 141:  KOMONDOR SIMULATION 'sim_seed1992_input_nodes_n50_s41_cb0.csv' (seed 1992)</t>
  </si>
  <si>
    <t>Line 145:  KOMONDOR SIMULATION 'sim_seed1992_input_nodes_n50_s42_cb0.csv' (seed 1992)</t>
  </si>
  <si>
    <t>Line 149:  KOMONDOR SIMULATION 'sim_seed1992_input_nodes_n50_s43_cb0.csv' (seed 1992)</t>
  </si>
  <si>
    <t>Line 153:  KOMONDOR SIMULATION 'sim_seed1992_input_nodes_n50_s44_cb0.csv' (seed 1992)</t>
  </si>
  <si>
    <t>Line 157:  KOMONDOR SIMULATION 'sim_seed1992_input_nodes_n50_s45_cb0.csv' (seed 1992)</t>
  </si>
  <si>
    <t>Line 161:  KOMONDOR SIMULATION 'sim_seed1992_input_nodes_n50_s46_cb0.csv' (seed 1992)</t>
  </si>
  <si>
    <t>Line 165:  KOMONDOR SIMULATION 'sim_seed1992_input_nodes_n50_s47_cb0.csv' (seed 1992)</t>
  </si>
  <si>
    <t>Line 169:  KOMONDOR SIMULATION 'sim_seed1992_input_nodes_n50_s48_cb0.csv' (seed 1992)</t>
  </si>
  <si>
    <t>Line 173:  KOMONDOR SIMULATION 'sim_seed1992_input_nodes_n50_s49_cb0.csv' (seed 1992)</t>
  </si>
  <si>
    <t>Line 177:  KOMONDOR SIMULATION 'sim_seed1992_input_nodes_n50_s4_cb0.csv' (seed 1992)</t>
  </si>
  <si>
    <t>Line 181:  KOMONDOR SIMULATION 'sim_seed1992_input_nodes_n50_s5_cb0.csv' (seed 1992)</t>
  </si>
  <si>
    <t>Line 185:  KOMONDOR SIMULATION 'sim_seed1992_input_nodes_n50_s6_cb0.csv' (seed 1992)</t>
  </si>
  <si>
    <t>Line 189:  KOMONDOR SIMULATION 'sim_seed1992_input_nodes_n50_s7_cb0.csv' (seed 1992)</t>
  </si>
  <si>
    <t>Line 193:  KOMONDOR SIMULATION 'sim_seed1992_input_nodes_n50_s8_cb0.csv' (seed 1992)</t>
  </si>
  <si>
    <t>Line 197:  KOMONDOR SIMULATION 'sim_seed1992_input_nodes_n50_s9_cb0.csv' (seed 1992)</t>
  </si>
  <si>
    <t>Line 2:  KOMONDOR SIMULATION 'sim_seed1992_input_nodes_n50_s0_cb2.csv' (seed 1992)</t>
  </si>
  <si>
    <t>Line 6:  KOMONDOR SIMULATION 'sim_seed1992_input_nodes_n50_s10_cb2.csv' (seed 1992)</t>
  </si>
  <si>
    <t>Line 10:  KOMONDOR SIMULATION 'sim_seed1992_input_nodes_n50_s11_cb2.csv' (seed 1992)</t>
  </si>
  <si>
    <t>Line 14:  KOMONDOR SIMULATION 'sim_seed1992_input_nodes_n50_s12_cb2.csv' (seed 1992)</t>
  </si>
  <si>
    <t>Line 18:  KOMONDOR SIMULATION 'sim_seed1992_input_nodes_n50_s13_cb2.csv' (seed 1992)</t>
  </si>
  <si>
    <t>Line 22:  KOMONDOR SIMULATION 'sim_seed1992_input_nodes_n50_s14_cb2.csv' (seed 1992)</t>
  </si>
  <si>
    <t>Line 26:  KOMONDOR SIMULATION 'sim_seed1992_input_nodes_n50_s15_cb2.csv' (seed 1992)</t>
  </si>
  <si>
    <t>Line 30:  KOMONDOR SIMULATION 'sim_seed1992_input_nodes_n50_s16_cb2.csv' (seed 1992)</t>
  </si>
  <si>
    <t>Line 34:  KOMONDOR SIMULATION 'sim_seed1992_input_nodes_n50_s17_cb2.csv' (seed 1992)</t>
  </si>
  <si>
    <t>Line 38:  KOMONDOR SIMULATION 'sim_seed1992_input_nodes_n50_s18_cb2.csv' (seed 1992)</t>
  </si>
  <si>
    <t>Line 42:  KOMONDOR SIMULATION 'sim_seed1992_input_nodes_n50_s19_cb2.csv' (seed 1992)</t>
  </si>
  <si>
    <t>Line 46:  KOMONDOR SIMULATION 'sim_seed1992_input_nodes_n50_s1_cb2.csv' (seed 1992)</t>
  </si>
  <si>
    <t>Line 50:  KOMONDOR SIMULATION 'sim_seed1992_input_nodes_n50_s20_cb2.csv' (seed 1992)</t>
  </si>
  <si>
    <t>Line 54:  KOMONDOR SIMULATION 'sim_seed1992_input_nodes_n50_s21_cb2.csv' (seed 1992)</t>
  </si>
  <si>
    <t>Line 58:  KOMONDOR SIMULATION 'sim_seed1992_input_nodes_n50_s22_cb2.csv' (seed 1992)</t>
  </si>
  <si>
    <t>Line 62:  KOMONDOR SIMULATION 'sim_seed1992_input_nodes_n50_s23_cb2.csv' (seed 1992)</t>
  </si>
  <si>
    <t>Line 66:  KOMONDOR SIMULATION 'sim_seed1992_input_nodes_n50_s24_cb2.csv' (seed 1992)</t>
  </si>
  <si>
    <t>Line 70:  KOMONDOR SIMULATION 'sim_seed1992_input_nodes_n50_s25_cb2.csv' (seed 1992)</t>
  </si>
  <si>
    <t>Line 74:  KOMONDOR SIMULATION 'sim_seed1992_input_nodes_n50_s26_cb2.csv' (seed 1992)</t>
  </si>
  <si>
    <t>Line 78:  KOMONDOR SIMULATION 'sim_seed1992_input_nodes_n50_s27_cb2.csv' (seed 1992)</t>
  </si>
  <si>
    <t>Line 82:  KOMONDOR SIMULATION 'sim_seed1992_input_nodes_n50_s28_cb2.csv' (seed 1992)</t>
  </si>
  <si>
    <t>Line 86:  KOMONDOR SIMULATION 'sim_seed1992_input_nodes_n50_s29_cb2.csv' (seed 1992)</t>
  </si>
  <si>
    <t>Line 90:  KOMONDOR SIMULATION 'sim_seed1992_input_nodes_n50_s2_cb2.csv' (seed 1992)</t>
  </si>
  <si>
    <t>Line 94:  KOMONDOR SIMULATION 'sim_seed1992_input_nodes_n50_s30_cb2.csv' (seed 1992)</t>
  </si>
  <si>
    <t>Line 98:  KOMONDOR SIMULATION 'sim_seed1992_input_nodes_n50_s31_cb2.csv' (seed 1992)</t>
  </si>
  <si>
    <t>Line 102:  KOMONDOR SIMULATION 'sim_seed1992_input_nodes_n50_s32_cb2.csv' (seed 1992)</t>
  </si>
  <si>
    <t>Line 106:  KOMONDOR SIMULATION 'sim_seed1992_input_nodes_n50_s33_cb2.csv' (seed 1992)</t>
  </si>
  <si>
    <t>Line 110:  KOMONDOR SIMULATION 'sim_seed1992_input_nodes_n50_s34_cb2.csv' (seed 1992)</t>
  </si>
  <si>
    <t>Line 114:  KOMONDOR SIMULATION 'sim_seed1992_input_nodes_n50_s35_cb2.csv' (seed 1992)</t>
  </si>
  <si>
    <t>Line 118:  KOMONDOR SIMULATION 'sim_seed1992_input_nodes_n50_s36_cb2.csv' (seed 1992)</t>
  </si>
  <si>
    <t>Line 122:  KOMONDOR SIMULATION 'sim_seed1992_input_nodes_n50_s37_cb2.csv' (seed 1992)</t>
  </si>
  <si>
    <t>Line 126:  KOMONDOR SIMULATION 'sim_seed1992_input_nodes_n50_s38_cb2.csv' (seed 1992)</t>
  </si>
  <si>
    <t>Line 130:  KOMONDOR SIMULATION 'sim_seed1992_input_nodes_n50_s39_cb2.csv' (seed 1992)</t>
  </si>
  <si>
    <t>Line 134:  KOMONDOR SIMULATION 'sim_seed1992_input_nodes_n50_s3_cb2.csv' (seed 1992)</t>
  </si>
  <si>
    <t>Line 138:  KOMONDOR SIMULATION 'sim_seed1992_input_nodes_n50_s40_cb2.csv' (seed 1992)</t>
  </si>
  <si>
    <t>Line 142:  KOMONDOR SIMULATION 'sim_seed1992_input_nodes_n50_s41_cb2.csv' (seed 1992)</t>
  </si>
  <si>
    <t>Line 146:  KOMONDOR SIMULATION 'sim_seed1992_input_nodes_n50_s42_cb2.csv' (seed 1992)</t>
  </si>
  <si>
    <t>Line 150:  KOMONDOR SIMULATION 'sim_seed1992_input_nodes_n50_s43_cb2.csv' (seed 1992)</t>
  </si>
  <si>
    <t>Line 154:  KOMONDOR SIMULATION 'sim_seed1992_input_nodes_n50_s44_cb2.csv' (seed 1992)</t>
  </si>
  <si>
    <t>Line 158:  KOMONDOR SIMULATION 'sim_seed1992_input_nodes_n50_s45_cb2.csv' (seed 1992)</t>
  </si>
  <si>
    <t>Line 162:  KOMONDOR SIMULATION 'sim_seed1992_input_nodes_n50_s46_cb2.csv' (seed 1992)</t>
  </si>
  <si>
    <t>Line 166:  KOMONDOR SIMULATION 'sim_seed1992_input_nodes_n50_s47_cb2.csv' (seed 1992)</t>
  </si>
  <si>
    <t>Line 170:  KOMONDOR SIMULATION 'sim_seed1992_input_nodes_n50_s48_cb2.csv' (seed 1992)</t>
  </si>
  <si>
    <t>Line 174:  KOMONDOR SIMULATION 'sim_seed1992_input_nodes_n50_s49_cb2.csv' (seed 1992)</t>
  </si>
  <si>
    <t>Line 178:  KOMONDOR SIMULATION 'sim_seed1992_input_nodes_n50_s4_cb2.csv' (seed 1992)</t>
  </si>
  <si>
    <t>Line 182:  KOMONDOR SIMULATION 'sim_seed1992_input_nodes_n50_s5_cb2.csv' (seed 1992)</t>
  </si>
  <si>
    <t>Line 186:  KOMONDOR SIMULATION 'sim_seed1992_input_nodes_n50_s6_cb2.csv' (seed 1992)</t>
  </si>
  <si>
    <t>Line 190:  KOMONDOR SIMULATION 'sim_seed1992_input_nodes_n50_s7_cb2.csv' (seed 1992)</t>
  </si>
  <si>
    <t>Line 194:  KOMONDOR SIMULATION 'sim_seed1992_input_nodes_n50_s8_cb2.csv' (seed 1992)</t>
  </si>
  <si>
    <t>Line 198:  KOMONDOR SIMULATION 'sim_seed1992_input_nodes_n50_s9_cb2.csv' (seed 1992)</t>
  </si>
  <si>
    <t>Line 3:  KOMONDOR SIMULATION 'sim_seed1992_input_nodes_n50_s0_cb4.csv' (seed 1992)</t>
  </si>
  <si>
    <t>Line 7:  KOMONDOR SIMULATION 'sim_seed1992_input_nodes_n50_s10_cb4.csv' (seed 1992)</t>
  </si>
  <si>
    <t>Line 11:  KOMONDOR SIMULATION 'sim_seed1992_input_nodes_n50_s11_cb4.csv' (seed 1992)</t>
  </si>
  <si>
    <t>Line 15:  KOMONDOR SIMULATION 'sim_seed1992_input_nodes_n50_s12_cb4.csv' (seed 1992)</t>
  </si>
  <si>
    <t>Line 19:  KOMONDOR SIMULATION 'sim_seed1992_input_nodes_n50_s13_cb4.csv' (seed 1992)</t>
  </si>
  <si>
    <t>Line 23:  KOMONDOR SIMULATION 'sim_seed1992_input_nodes_n50_s14_cb4.csv' (seed 1992)</t>
  </si>
  <si>
    <t>Line 27:  KOMONDOR SIMULATION 'sim_seed1992_input_nodes_n50_s15_cb4.csv' (seed 1992)</t>
  </si>
  <si>
    <t>Line 31:  KOMONDOR SIMULATION 'sim_seed1992_input_nodes_n50_s16_cb4.csv' (seed 1992)</t>
  </si>
  <si>
    <t>Line 35:  KOMONDOR SIMULATION 'sim_seed1992_input_nodes_n50_s17_cb4.csv' (seed 1992)</t>
  </si>
  <si>
    <t>Line 39:  KOMONDOR SIMULATION 'sim_seed1992_input_nodes_n50_s18_cb4.csv' (seed 1992)</t>
  </si>
  <si>
    <t>Line 43:  KOMONDOR SIMULATION 'sim_seed1992_input_nodes_n50_s19_cb4.csv' (seed 1992)</t>
  </si>
  <si>
    <t>Line 47:  KOMONDOR SIMULATION 'sim_seed1992_input_nodes_n50_s1_cb4.csv' (seed 1992)</t>
  </si>
  <si>
    <t>Line 51:  KOMONDOR SIMULATION 'sim_seed1992_input_nodes_n50_s20_cb4.csv' (seed 1992)</t>
  </si>
  <si>
    <t>Line 55:  KOMONDOR SIMULATION 'sim_seed1992_input_nodes_n50_s21_cb4.csv' (seed 1992)</t>
  </si>
  <si>
    <t>Line 59:  KOMONDOR SIMULATION 'sim_seed1992_input_nodes_n50_s22_cb4.csv' (seed 1992)</t>
  </si>
  <si>
    <t>Line 63:  KOMONDOR SIMULATION 'sim_seed1992_input_nodes_n50_s23_cb4.csv' (seed 1992)</t>
  </si>
  <si>
    <t>Line 67:  KOMONDOR SIMULATION 'sim_seed1992_input_nodes_n50_s24_cb4.csv' (seed 1992)</t>
  </si>
  <si>
    <t>Line 71:  KOMONDOR SIMULATION 'sim_seed1992_input_nodes_n50_s25_cb4.csv' (seed 1992)</t>
  </si>
  <si>
    <t>Line 75:  KOMONDOR SIMULATION 'sim_seed1992_input_nodes_n50_s26_cb4.csv' (seed 1992)</t>
  </si>
  <si>
    <t>Line 79:  KOMONDOR SIMULATION 'sim_seed1992_input_nodes_n50_s27_cb4.csv' (seed 1992)</t>
  </si>
  <si>
    <t>Line 83:  KOMONDOR SIMULATION 'sim_seed1992_input_nodes_n50_s28_cb4.csv' (seed 1992)</t>
  </si>
  <si>
    <t>Line 87:  KOMONDOR SIMULATION 'sim_seed1992_input_nodes_n50_s29_cb4.csv' (seed 1992)</t>
  </si>
  <si>
    <t>Line 91:  KOMONDOR SIMULATION 'sim_seed1992_input_nodes_n50_s2_cb4.csv' (seed 1992)</t>
  </si>
  <si>
    <t>Line 95:  KOMONDOR SIMULATION 'sim_seed1992_input_nodes_n50_s30_cb4.csv' (seed 1992)</t>
  </si>
  <si>
    <t>Line 99:  KOMONDOR SIMULATION 'sim_seed1992_input_nodes_n50_s31_cb4.csv' (seed 1992)</t>
  </si>
  <si>
    <t>Line 103:  KOMONDOR SIMULATION 'sim_seed1992_input_nodes_n50_s32_cb4.csv' (seed 1992)</t>
  </si>
  <si>
    <t>Line 107:  KOMONDOR SIMULATION 'sim_seed1992_input_nodes_n50_s33_cb4.csv' (seed 1992)</t>
  </si>
  <si>
    <t>Line 111:  KOMONDOR SIMULATION 'sim_seed1992_input_nodes_n50_s34_cb4.csv' (seed 1992)</t>
  </si>
  <si>
    <t>Line 115:  KOMONDOR SIMULATION 'sim_seed1992_input_nodes_n50_s35_cb4.csv' (seed 1992)</t>
  </si>
  <si>
    <t>Line 119:  KOMONDOR SIMULATION 'sim_seed1992_input_nodes_n50_s36_cb4.csv' (seed 1992)</t>
  </si>
  <si>
    <t>Line 123:  KOMONDOR SIMULATION 'sim_seed1992_input_nodes_n50_s37_cb4.csv' (seed 1992)</t>
  </si>
  <si>
    <t>Line 127:  KOMONDOR SIMULATION 'sim_seed1992_input_nodes_n50_s38_cb4.csv' (seed 1992)</t>
  </si>
  <si>
    <t>Line 131:  KOMONDOR SIMULATION 'sim_seed1992_input_nodes_n50_s39_cb4.csv' (seed 1992)</t>
  </si>
  <si>
    <t>Line 135:  KOMONDOR SIMULATION 'sim_seed1992_input_nodes_n50_s3_cb4.csv' (seed 1992)</t>
  </si>
  <si>
    <t>Line 139:  KOMONDOR SIMULATION 'sim_seed1992_input_nodes_n50_s40_cb4.csv' (seed 1992)</t>
  </si>
  <si>
    <t>Line 143:  KOMONDOR SIMULATION 'sim_seed1992_input_nodes_n50_s41_cb4.csv' (seed 1992)</t>
  </si>
  <si>
    <t>Line 147:  KOMONDOR SIMULATION 'sim_seed1992_input_nodes_n50_s42_cb4.csv' (seed 1992)</t>
  </si>
  <si>
    <t>Line 151:  KOMONDOR SIMULATION 'sim_seed1992_input_nodes_n50_s43_cb4.csv' (seed 1992)</t>
  </si>
  <si>
    <t>Line 155:  KOMONDOR SIMULATION 'sim_seed1992_input_nodes_n50_s44_cb4.csv' (seed 1992)</t>
  </si>
  <si>
    <t>Line 159:  KOMONDOR SIMULATION 'sim_seed1992_input_nodes_n50_s45_cb4.csv' (seed 1992)</t>
  </si>
  <si>
    <t>Line 163:  KOMONDOR SIMULATION 'sim_seed1992_input_nodes_n50_s46_cb4.csv' (seed 1992)</t>
  </si>
  <si>
    <t>Line 167:  KOMONDOR SIMULATION 'sim_seed1992_input_nodes_n50_s47_cb4.csv' (seed 1992)</t>
  </si>
  <si>
    <t>Line 171:  KOMONDOR SIMULATION 'sim_seed1992_input_nodes_n50_s48_cb4.csv' (seed 1992)</t>
  </si>
  <si>
    <t>Line 175:  KOMONDOR SIMULATION 'sim_seed1992_input_nodes_n50_s49_cb4.csv' (seed 1992)</t>
  </si>
  <si>
    <t>Line 179:  KOMONDOR SIMULATION 'sim_seed1992_input_nodes_n50_s4_cb4.csv' (seed 1992)</t>
  </si>
  <si>
    <t>Line 183:  KOMONDOR SIMULATION 'sim_seed1992_input_nodes_n50_s5_cb4.csv' (seed 1992)</t>
  </si>
  <si>
    <t>Line 187:  KOMONDOR SIMULATION 'sim_seed1992_input_nodes_n50_s6_cb4.csv' (seed 1992)</t>
  </si>
  <si>
    <t>Line 191:  KOMONDOR SIMULATION 'sim_seed1992_input_nodes_n50_s7_cb4.csv' (seed 1992)</t>
  </si>
  <si>
    <t>Line 195:  KOMONDOR SIMULATION 'sim_seed1992_input_nodes_n50_s8_cb4.csv' (seed 1992)</t>
  </si>
  <si>
    <t>Line 199:  KOMONDOR SIMULATION 'sim_seed1992_input_nodes_n50_s9_cb4.csv' (seed 1992)</t>
  </si>
  <si>
    <t>Line 4:  KOMONDOR SIMULATION 'sim_seed1992_input_nodes_n50_s0_cb6.csv' (seed 1992)</t>
  </si>
  <si>
    <t>Line 8:  KOMONDOR SIMULATION 'sim_seed1992_input_nodes_n50_s10_cb6.csv' (seed 1992)</t>
  </si>
  <si>
    <t>Line 12:  KOMONDOR SIMULATION 'sim_seed1992_input_nodes_n50_s11_cb6.csv' (seed 1992)</t>
  </si>
  <si>
    <t>Line 16:  KOMONDOR SIMULATION 'sim_seed1992_input_nodes_n50_s12_cb6.csv' (seed 1992)</t>
  </si>
  <si>
    <t>Line 20:  KOMONDOR SIMULATION 'sim_seed1992_input_nodes_n50_s13_cb6.csv' (seed 1992)</t>
  </si>
  <si>
    <t>Line 24:  KOMONDOR SIMULATION 'sim_seed1992_input_nodes_n50_s14_cb6.csv' (seed 1992)</t>
  </si>
  <si>
    <t>Line 28:  KOMONDOR SIMULATION 'sim_seed1992_input_nodes_n50_s15_cb6.csv' (seed 1992)</t>
  </si>
  <si>
    <t>Line 32:  KOMONDOR SIMULATION 'sim_seed1992_input_nodes_n50_s16_cb6.csv' (seed 1992)</t>
  </si>
  <si>
    <t>Line 36:  KOMONDOR SIMULATION 'sim_seed1992_input_nodes_n50_s17_cb6.csv' (seed 1992)</t>
  </si>
  <si>
    <t>Line 40:  KOMONDOR SIMULATION 'sim_seed1992_input_nodes_n50_s18_cb6.csv' (seed 1992)</t>
  </si>
  <si>
    <t>Line 44:  KOMONDOR SIMULATION 'sim_seed1992_input_nodes_n50_s19_cb6.csv' (seed 1992)</t>
  </si>
  <si>
    <t>Line 48:  KOMONDOR SIMULATION 'sim_seed1992_input_nodes_n50_s1_cb6.csv' (seed 1992)</t>
  </si>
  <si>
    <t>Line 52:  KOMONDOR SIMULATION 'sim_seed1992_input_nodes_n50_s20_cb6.csv' (seed 1992)</t>
  </si>
  <si>
    <t>Line 56:  KOMONDOR SIMULATION 'sim_seed1992_input_nodes_n50_s21_cb6.csv' (seed 1992)</t>
  </si>
  <si>
    <t>Line 60:  KOMONDOR SIMULATION 'sim_seed1992_input_nodes_n50_s22_cb6.csv' (seed 1992)</t>
  </si>
  <si>
    <t>Line 64:  KOMONDOR SIMULATION 'sim_seed1992_input_nodes_n50_s23_cb6.csv' (seed 1992)</t>
  </si>
  <si>
    <t>Line 68:  KOMONDOR SIMULATION 'sim_seed1992_input_nodes_n50_s24_cb6.csv' (seed 1992)</t>
  </si>
  <si>
    <t>Line 72:  KOMONDOR SIMULATION 'sim_seed1992_input_nodes_n50_s25_cb6.csv' (seed 1992)</t>
  </si>
  <si>
    <t>Line 76:  KOMONDOR SIMULATION 'sim_seed1992_input_nodes_n50_s26_cb6.csv' (seed 1992)</t>
  </si>
  <si>
    <t>Line 80:  KOMONDOR SIMULATION 'sim_seed1992_input_nodes_n50_s27_cb6.csv' (seed 1992)</t>
  </si>
  <si>
    <t>Line 84:  KOMONDOR SIMULATION 'sim_seed1992_input_nodes_n50_s28_cb6.csv' (seed 1992)</t>
  </si>
  <si>
    <t>Line 88:  KOMONDOR SIMULATION 'sim_seed1992_input_nodes_n50_s29_cb6.csv' (seed 1992)</t>
  </si>
  <si>
    <t>Line 92:  KOMONDOR SIMULATION 'sim_seed1992_input_nodes_n50_s2_cb6.csv' (seed 1992)</t>
  </si>
  <si>
    <t>Line 96:  KOMONDOR SIMULATION 'sim_seed1992_input_nodes_n50_s30_cb6.csv' (seed 1992)</t>
  </si>
  <si>
    <t>Line 100:  KOMONDOR SIMULATION 'sim_seed1992_input_nodes_n50_s31_cb6.csv' (seed 1992)</t>
  </si>
  <si>
    <t>Line 104:  KOMONDOR SIMULATION 'sim_seed1992_input_nodes_n50_s32_cb6.csv' (seed 1992)</t>
  </si>
  <si>
    <t>Line 108:  KOMONDOR SIMULATION 'sim_seed1992_input_nodes_n50_s33_cb6.csv' (seed 1992)</t>
  </si>
  <si>
    <t>Line 112:  KOMONDOR SIMULATION 'sim_seed1992_input_nodes_n50_s34_cb6.csv' (seed 1992)</t>
  </si>
  <si>
    <t>Line 116:  KOMONDOR SIMULATION 'sim_seed1992_input_nodes_n50_s35_cb6.csv' (seed 1992)</t>
  </si>
  <si>
    <t>Line 120:  KOMONDOR SIMULATION 'sim_seed1992_input_nodes_n50_s36_cb6.csv' (seed 1992)</t>
  </si>
  <si>
    <t>Line 124:  KOMONDOR SIMULATION 'sim_seed1992_input_nodes_n50_s37_cb6.csv' (seed 1992)</t>
  </si>
  <si>
    <t>Line 128:  KOMONDOR SIMULATION 'sim_seed1992_input_nodes_n50_s38_cb6.csv' (seed 1992)</t>
  </si>
  <si>
    <t>Line 132:  KOMONDOR SIMULATION 'sim_seed1992_input_nodes_n50_s39_cb6.csv' (seed 1992)</t>
  </si>
  <si>
    <t>Line 136:  KOMONDOR SIMULATION 'sim_seed1992_input_nodes_n50_s3_cb6.csv' (seed 1992)</t>
  </si>
  <si>
    <t>Line 140:  KOMONDOR SIMULATION 'sim_seed1992_input_nodes_n50_s40_cb6.csv' (seed 1992)</t>
  </si>
  <si>
    <t>Line 144:  KOMONDOR SIMULATION 'sim_seed1992_input_nodes_n50_s41_cb6.csv' (seed 1992)</t>
  </si>
  <si>
    <t>Line 148:  KOMONDOR SIMULATION 'sim_seed1992_input_nodes_n50_s42_cb6.csv' (seed 1992)</t>
  </si>
  <si>
    <t>Line 152:  KOMONDOR SIMULATION 'sim_seed1992_input_nodes_n50_s43_cb6.csv' (seed 1992)</t>
  </si>
  <si>
    <t>Line 156:  KOMONDOR SIMULATION 'sim_seed1992_input_nodes_n50_s44_cb6.csv' (seed 1992)</t>
  </si>
  <si>
    <t>Line 160:  KOMONDOR SIMULATION 'sim_seed1992_input_nodes_n50_s45_cb6.csv' (seed 1992)</t>
  </si>
  <si>
    <t>Line 164:  KOMONDOR SIMULATION 'sim_seed1992_input_nodes_n50_s46_cb6.csv' (seed 1992)</t>
  </si>
  <si>
    <t>Line 168:  KOMONDOR SIMULATION 'sim_seed1992_input_nodes_n50_s47_cb6.csv' (seed 1992)</t>
  </si>
  <si>
    <t>Line 172:  KOMONDOR SIMULATION 'sim_seed1992_input_nodes_n50_s48_cb6.csv' (seed 1992)</t>
  </si>
  <si>
    <t>Line 176:  KOMONDOR SIMULATION 'sim_seed1992_input_nodes_n50_s49_cb6.csv' (seed 1992)</t>
  </si>
  <si>
    <t>Line 180:  KOMONDOR SIMULATION 'sim_seed1992_input_nodes_n50_s4_cb6.csv' (seed 1992)</t>
  </si>
  <si>
    <t>Line 184:  KOMONDOR SIMULATION 'sim_seed1992_input_nodes_n50_s5_cb6.csv' (seed 1992)</t>
  </si>
  <si>
    <t>Line 188:  KOMONDOR SIMULATION 'sim_seed1992_input_nodes_n50_s6_cb6.csv' (seed 1992)</t>
  </si>
  <si>
    <t>Line 192:  KOMONDOR SIMULATION 'sim_seed1992_input_nodes_n50_s7_cb6.csv' (seed 1992)</t>
  </si>
  <si>
    <t>Line 196:  KOMONDOR SIMULATION 'sim_seed1992_input_nodes_n50_s8_cb6.csv' (seed 1992)</t>
  </si>
  <si>
    <t>Line 200:  KOMONDOR SIMULATION 'sim_seed1992_input_nodes_n50_s9_cb6.csv' (seed 1992)</t>
  </si>
  <si>
    <t>On 11 Dec 2017: spectrum utilization metric added.</t>
  </si>
  <si>
    <t>Spectrum utilization</t>
  </si>
  <si>
    <t>Av. Used Bandwidth [MHz]</t>
  </si>
  <si>
    <t>Select for each N value, those scenarios when PF is non -inf in both PU and AM</t>
  </si>
  <si>
    <t>Avoided scenarios</t>
  </si>
  <si>
    <t>Total</t>
  </si>
  <si>
    <t>None</t>
  </si>
  <si>
    <t>9, 27</t>
  </si>
  <si>
    <t>9, 27, 36</t>
  </si>
  <si>
    <t>15, 17, 38</t>
  </si>
  <si>
    <t>2, 20, 28, 38</t>
  </si>
  <si>
    <t>2, 15, 17, 20, 28, 38</t>
  </si>
  <si>
    <t>8, 30, 46</t>
  </si>
  <si>
    <t>8, 12, 26, 47</t>
  </si>
  <si>
    <t>8, 12, 26, 30, 46, 47</t>
  </si>
  <si>
    <t>1, 9, 11, 14, 27, 41, 43</t>
  </si>
  <si>
    <t>Av. proportional fairness</t>
  </si>
  <si>
    <t>Norm. Prop. Fairness</t>
  </si>
  <si>
    <t>DCB
policy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</si>
</sst>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4292E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20" fillId="0" borderId="0" xfId="0" applyFont="1"/>
    <xf numFmtId="0" fontId="0" fillId="0" borderId="17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6" fillId="0" borderId="15" xfId="0" applyFont="1" applyBorder="1" applyAlignment="1">
      <alignment horizontal="center" vertical="center" textRotation="90" wrapText="1"/>
    </xf>
    <xf numFmtId="0" fontId="16" fillId="0" borderId="16" xfId="0" applyFont="1" applyBorder="1" applyAlignment="1">
      <alignment horizontal="center" vertical="center" textRotation="90" wrapText="1"/>
    </xf>
    <xf numFmtId="0" fontId="16" fillId="0" borderId="17" xfId="0" applyFont="1" applyBorder="1" applyAlignment="1">
      <alignment horizontal="center" vertical="center" textRotation="90" wrapText="1"/>
    </xf>
    <xf numFmtId="0" fontId="16" fillId="0" borderId="2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8" fillId="4" borderId="0" xfId="8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PF/Desktop/Copy%20of%20analysis_den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Only primary (cb0)"/>
      <sheetName val="SCB (cb2)"/>
      <sheetName val="Always max (cb4)"/>
      <sheetName val="Prob. Uniform (cb6)"/>
      <sheetName val="For Matlab"/>
      <sheetName val="Proportional Fairness AM vs PU"/>
    </sheetNames>
    <sheetDataSet>
      <sheetData sheetId="0" refreshError="1"/>
      <sheetData sheetId="1" refreshError="1"/>
      <sheetData sheetId="2" refreshError="1"/>
      <sheetData sheetId="3">
        <row r="174">
          <cell r="D174">
            <v>156.77000000000001</v>
          </cell>
        </row>
        <row r="175">
          <cell r="D175">
            <v>154.69999999999999</v>
          </cell>
        </row>
        <row r="176">
          <cell r="D176">
            <v>156.32</v>
          </cell>
        </row>
        <row r="177">
          <cell r="D177">
            <v>156.61000000000001</v>
          </cell>
        </row>
        <row r="178">
          <cell r="D178">
            <v>154.72</v>
          </cell>
        </row>
        <row r="179">
          <cell r="D179">
            <v>159.74</v>
          </cell>
        </row>
        <row r="180">
          <cell r="D180">
            <v>157.56</v>
          </cell>
        </row>
        <row r="181">
          <cell r="D181">
            <v>155.43</v>
          </cell>
        </row>
        <row r="183">
          <cell r="D183">
            <v>158.94</v>
          </cell>
        </row>
        <row r="184">
          <cell r="D184">
            <v>157.66</v>
          </cell>
        </row>
        <row r="185">
          <cell r="D185">
            <v>158.1</v>
          </cell>
        </row>
        <row r="186">
          <cell r="D186">
            <v>154.07</v>
          </cell>
        </row>
        <row r="187">
          <cell r="D187">
            <v>155.19</v>
          </cell>
        </row>
        <row r="188">
          <cell r="D188">
            <v>155.43</v>
          </cell>
        </row>
        <row r="189">
          <cell r="D189">
            <v>156.01</v>
          </cell>
        </row>
        <row r="190">
          <cell r="D190">
            <v>155.69999999999999</v>
          </cell>
        </row>
        <row r="191">
          <cell r="D191">
            <v>155.84</v>
          </cell>
        </row>
        <row r="192">
          <cell r="D192">
            <v>152</v>
          </cell>
        </row>
        <row r="193">
          <cell r="D193">
            <v>157.37</v>
          </cell>
        </row>
        <row r="194">
          <cell r="D194">
            <v>156.9</v>
          </cell>
        </row>
        <row r="195">
          <cell r="D195">
            <v>158.25</v>
          </cell>
        </row>
        <row r="196">
          <cell r="D196">
            <v>155.9</v>
          </cell>
        </row>
        <row r="197">
          <cell r="D197">
            <v>158.83000000000001</v>
          </cell>
        </row>
        <row r="198">
          <cell r="D198">
            <v>154.1</v>
          </cell>
        </row>
        <row r="199">
          <cell r="D199">
            <v>158.84</v>
          </cell>
        </row>
        <row r="201">
          <cell r="D201">
            <v>155.96</v>
          </cell>
        </row>
        <row r="202">
          <cell r="D202">
            <v>156.94999999999999</v>
          </cell>
        </row>
        <row r="203">
          <cell r="D203">
            <v>155.59</v>
          </cell>
        </row>
        <row r="204">
          <cell r="D204">
            <v>156.47999999999999</v>
          </cell>
        </row>
        <row r="205">
          <cell r="D205">
            <v>156.26</v>
          </cell>
        </row>
        <row r="206">
          <cell r="D206">
            <v>156.63999999999999</v>
          </cell>
        </row>
        <row r="207">
          <cell r="D207">
            <v>158.06</v>
          </cell>
        </row>
        <row r="208">
          <cell r="D208">
            <v>155.02000000000001</v>
          </cell>
        </row>
        <row r="210">
          <cell r="D210">
            <v>158.38</v>
          </cell>
        </row>
        <row r="211">
          <cell r="D211">
            <v>156.19</v>
          </cell>
        </row>
        <row r="212">
          <cell r="D212">
            <v>158.91</v>
          </cell>
        </row>
        <row r="213">
          <cell r="D213">
            <v>154.85</v>
          </cell>
        </row>
        <row r="214">
          <cell r="D214">
            <v>156.49</v>
          </cell>
        </row>
        <row r="215">
          <cell r="D215">
            <v>157.30000000000001</v>
          </cell>
        </row>
        <row r="216">
          <cell r="D216">
            <v>155.58000000000001</v>
          </cell>
        </row>
        <row r="217">
          <cell r="D217">
            <v>156.1</v>
          </cell>
        </row>
        <row r="218">
          <cell r="D218">
            <v>155.19</v>
          </cell>
        </row>
        <row r="219">
          <cell r="D219">
            <v>156.63</v>
          </cell>
        </row>
        <row r="220">
          <cell r="D220">
            <v>157.57</v>
          </cell>
        </row>
        <row r="221">
          <cell r="D221">
            <v>151.88999999999999</v>
          </cell>
        </row>
        <row r="222">
          <cell r="D222">
            <v>156.68</v>
          </cell>
        </row>
        <row r="223">
          <cell r="D223">
            <v>154.18</v>
          </cell>
        </row>
        <row r="230">
          <cell r="D230">
            <v>232.07</v>
          </cell>
        </row>
        <row r="232">
          <cell r="D232">
            <v>231.7</v>
          </cell>
        </row>
        <row r="233">
          <cell r="D233">
            <v>231.56</v>
          </cell>
        </row>
        <row r="234">
          <cell r="D234">
            <v>227.36</v>
          </cell>
        </row>
        <row r="235">
          <cell r="D235">
            <v>229.8</v>
          </cell>
        </row>
        <row r="236">
          <cell r="D236">
            <v>231.87</v>
          </cell>
        </row>
        <row r="237">
          <cell r="D237">
            <v>233.19</v>
          </cell>
        </row>
        <row r="238">
          <cell r="D238">
            <v>232.92</v>
          </cell>
        </row>
        <row r="239">
          <cell r="D239">
            <v>228.39</v>
          </cell>
        </row>
        <row r="240">
          <cell r="D240">
            <v>229.24</v>
          </cell>
        </row>
        <row r="241">
          <cell r="D241">
            <v>228.86</v>
          </cell>
        </row>
        <row r="242">
          <cell r="D242">
            <v>229.91</v>
          </cell>
        </row>
        <row r="243">
          <cell r="D243">
            <v>230.81</v>
          </cell>
        </row>
        <row r="245">
          <cell r="D245">
            <v>229.34</v>
          </cell>
        </row>
        <row r="247">
          <cell r="D247">
            <v>230.56</v>
          </cell>
        </row>
        <row r="248">
          <cell r="D248">
            <v>231.34</v>
          </cell>
        </row>
        <row r="250">
          <cell r="D250">
            <v>227.25</v>
          </cell>
        </row>
        <row r="251">
          <cell r="D251">
            <v>232.07</v>
          </cell>
        </row>
        <row r="252">
          <cell r="D252">
            <v>230.93</v>
          </cell>
        </row>
        <row r="253">
          <cell r="D253">
            <v>225.25</v>
          </cell>
        </row>
        <row r="254">
          <cell r="D254">
            <v>231.15</v>
          </cell>
        </row>
        <row r="255">
          <cell r="D255">
            <v>232.26</v>
          </cell>
        </row>
        <row r="256">
          <cell r="D256">
            <v>228.9</v>
          </cell>
        </row>
        <row r="257">
          <cell r="D257">
            <v>225.69</v>
          </cell>
        </row>
        <row r="258">
          <cell r="D258">
            <v>230.46</v>
          </cell>
        </row>
        <row r="259">
          <cell r="D259">
            <v>230.06</v>
          </cell>
        </row>
        <row r="260">
          <cell r="D260">
            <v>231.76</v>
          </cell>
        </row>
        <row r="261">
          <cell r="D261">
            <v>229.96</v>
          </cell>
        </row>
        <row r="262">
          <cell r="D262">
            <v>231.6</v>
          </cell>
        </row>
        <row r="263">
          <cell r="D263">
            <v>230.65</v>
          </cell>
        </row>
        <row r="264">
          <cell r="D264">
            <v>230.42</v>
          </cell>
        </row>
        <row r="265">
          <cell r="D265">
            <v>226.68</v>
          </cell>
        </row>
        <row r="266">
          <cell r="D266">
            <v>233.14</v>
          </cell>
        </row>
        <row r="268">
          <cell r="D268">
            <v>231.96</v>
          </cell>
        </row>
        <row r="269">
          <cell r="D269">
            <v>228.87</v>
          </cell>
        </row>
        <row r="270">
          <cell r="D270">
            <v>230.7</v>
          </cell>
        </row>
        <row r="271">
          <cell r="D271">
            <v>231.41</v>
          </cell>
        </row>
        <row r="272">
          <cell r="D272">
            <v>226.58</v>
          </cell>
        </row>
        <row r="273">
          <cell r="D273">
            <v>228.93</v>
          </cell>
        </row>
        <row r="274">
          <cell r="D274">
            <v>233.61</v>
          </cell>
        </row>
        <row r="275">
          <cell r="D275">
            <v>233.47</v>
          </cell>
        </row>
        <row r="276">
          <cell r="D276">
            <v>233.88</v>
          </cell>
        </row>
        <row r="277">
          <cell r="D277">
            <v>233.09</v>
          </cell>
        </row>
        <row r="278">
          <cell r="D278">
            <v>231.22</v>
          </cell>
        </row>
        <row r="279">
          <cell r="D279">
            <v>230.87</v>
          </cell>
        </row>
        <row r="286">
          <cell r="D286">
            <v>299.77</v>
          </cell>
        </row>
        <row r="287">
          <cell r="D287">
            <v>307.11</v>
          </cell>
        </row>
        <row r="288">
          <cell r="D288">
            <v>301.2</v>
          </cell>
        </row>
        <row r="289">
          <cell r="D289">
            <v>306</v>
          </cell>
        </row>
        <row r="290">
          <cell r="D290">
            <v>296.42</v>
          </cell>
        </row>
        <row r="291">
          <cell r="D291">
            <v>295.18</v>
          </cell>
        </row>
        <row r="292">
          <cell r="D292">
            <v>302.95</v>
          </cell>
        </row>
        <row r="294">
          <cell r="D294">
            <v>306.97000000000003</v>
          </cell>
        </row>
        <row r="295">
          <cell r="D295">
            <v>305.95999999999998</v>
          </cell>
        </row>
        <row r="296">
          <cell r="D296">
            <v>306.39</v>
          </cell>
        </row>
        <row r="298">
          <cell r="D298">
            <v>306.52</v>
          </cell>
        </row>
        <row r="299">
          <cell r="D299">
            <v>306.18</v>
          </cell>
        </row>
        <row r="300">
          <cell r="D300">
            <v>303.17</v>
          </cell>
        </row>
        <row r="301">
          <cell r="D301">
            <v>305.95</v>
          </cell>
        </row>
        <row r="302">
          <cell r="D302">
            <v>300.3</v>
          </cell>
        </row>
        <row r="303">
          <cell r="D303">
            <v>304.33</v>
          </cell>
        </row>
        <row r="304">
          <cell r="D304">
            <v>303.43</v>
          </cell>
        </row>
        <row r="305">
          <cell r="D305">
            <v>303.7</v>
          </cell>
        </row>
        <row r="306">
          <cell r="D306">
            <v>300.45999999999998</v>
          </cell>
        </row>
        <row r="307">
          <cell r="D307">
            <v>299.2</v>
          </cell>
        </row>
        <row r="308">
          <cell r="D308">
            <v>300.31</v>
          </cell>
        </row>
        <row r="309">
          <cell r="D309">
            <v>298.37</v>
          </cell>
        </row>
        <row r="310">
          <cell r="D310">
            <v>300.95</v>
          </cell>
        </row>
        <row r="312">
          <cell r="D312">
            <v>307.02</v>
          </cell>
        </row>
        <row r="313">
          <cell r="D313">
            <v>300.74</v>
          </cell>
        </row>
        <row r="314">
          <cell r="D314">
            <v>306.86</v>
          </cell>
        </row>
        <row r="316">
          <cell r="D316">
            <v>304.68</v>
          </cell>
        </row>
        <row r="317">
          <cell r="D317">
            <v>302.82</v>
          </cell>
        </row>
        <row r="318">
          <cell r="D318">
            <v>305.38</v>
          </cell>
        </row>
        <row r="319">
          <cell r="D319">
            <v>301.99</v>
          </cell>
        </row>
        <row r="320">
          <cell r="D320">
            <v>298.88</v>
          </cell>
        </row>
        <row r="321">
          <cell r="D321">
            <v>305.74</v>
          </cell>
        </row>
        <row r="322">
          <cell r="D322">
            <v>305.62</v>
          </cell>
        </row>
        <row r="323">
          <cell r="D323">
            <v>303.56</v>
          </cell>
        </row>
        <row r="324">
          <cell r="D324">
            <v>301.7</v>
          </cell>
        </row>
        <row r="325">
          <cell r="D325">
            <v>300.56</v>
          </cell>
        </row>
        <row r="326">
          <cell r="D326">
            <v>302.14999999999998</v>
          </cell>
        </row>
        <row r="327">
          <cell r="D327">
            <v>302.32</v>
          </cell>
        </row>
        <row r="328">
          <cell r="D328">
            <v>304.13</v>
          </cell>
        </row>
        <row r="329">
          <cell r="D329">
            <v>303.14</v>
          </cell>
        </row>
        <row r="330">
          <cell r="D330">
            <v>305.33</v>
          </cell>
        </row>
        <row r="333">
          <cell r="D333">
            <v>307.83999999999997</v>
          </cell>
        </row>
        <row r="334">
          <cell r="D334">
            <v>304.52999999999997</v>
          </cell>
        </row>
        <row r="335">
          <cell r="D335">
            <v>303.66000000000003</v>
          </cell>
        </row>
        <row r="343">
          <cell r="D343">
            <v>375.81</v>
          </cell>
        </row>
        <row r="344">
          <cell r="D344">
            <v>375.37</v>
          </cell>
        </row>
        <row r="345">
          <cell r="D345">
            <v>370.9</v>
          </cell>
        </row>
        <row r="346">
          <cell r="D346">
            <v>379.48</v>
          </cell>
        </row>
        <row r="347">
          <cell r="D347">
            <v>376.34</v>
          </cell>
        </row>
        <row r="348">
          <cell r="D348">
            <v>377.04</v>
          </cell>
        </row>
        <row r="349">
          <cell r="D349">
            <v>376.78</v>
          </cell>
        </row>
        <row r="350">
          <cell r="D350">
            <v>373.65</v>
          </cell>
        </row>
        <row r="352">
          <cell r="D352">
            <v>370.17</v>
          </cell>
        </row>
        <row r="353">
          <cell r="D353">
            <v>377.68</v>
          </cell>
        </row>
        <row r="354">
          <cell r="D354">
            <v>370.65</v>
          </cell>
        </row>
        <row r="356">
          <cell r="D356">
            <v>376.21</v>
          </cell>
        </row>
        <row r="357">
          <cell r="D357">
            <v>377.93</v>
          </cell>
        </row>
        <row r="358">
          <cell r="D358">
            <v>374.01</v>
          </cell>
        </row>
        <row r="359">
          <cell r="D359">
            <v>375.01</v>
          </cell>
        </row>
        <row r="360">
          <cell r="D360">
            <v>369.31</v>
          </cell>
        </row>
        <row r="361">
          <cell r="D361">
            <v>375.42</v>
          </cell>
        </row>
        <row r="362">
          <cell r="D362">
            <v>377.38</v>
          </cell>
        </row>
        <row r="363">
          <cell r="D363">
            <v>375.29</v>
          </cell>
        </row>
        <row r="364">
          <cell r="D364">
            <v>373.02</v>
          </cell>
        </row>
        <row r="365">
          <cell r="D365">
            <v>374.76</v>
          </cell>
        </row>
        <row r="366">
          <cell r="D366">
            <v>381.06</v>
          </cell>
        </row>
        <row r="367">
          <cell r="D367">
            <v>379.72</v>
          </cell>
        </row>
        <row r="369">
          <cell r="D369">
            <v>372.53</v>
          </cell>
        </row>
        <row r="370">
          <cell r="D370">
            <v>379.29</v>
          </cell>
        </row>
        <row r="371">
          <cell r="D371">
            <v>377.2</v>
          </cell>
        </row>
        <row r="372">
          <cell r="D372">
            <v>375.51</v>
          </cell>
        </row>
        <row r="373">
          <cell r="D373">
            <v>368.53</v>
          </cell>
        </row>
        <row r="374">
          <cell r="D374">
            <v>380.18</v>
          </cell>
        </row>
        <row r="375">
          <cell r="D375">
            <v>374.96</v>
          </cell>
        </row>
        <row r="376">
          <cell r="D376">
            <v>373.5</v>
          </cell>
        </row>
        <row r="377">
          <cell r="D377">
            <v>377</v>
          </cell>
        </row>
        <row r="378">
          <cell r="D378">
            <v>381.03</v>
          </cell>
        </row>
        <row r="379">
          <cell r="D379">
            <v>377.99</v>
          </cell>
        </row>
        <row r="380">
          <cell r="D380">
            <v>376.19</v>
          </cell>
        </row>
        <row r="381">
          <cell r="D381">
            <v>376.16</v>
          </cell>
        </row>
        <row r="383">
          <cell r="D383">
            <v>376.49</v>
          </cell>
        </row>
        <row r="385">
          <cell r="D385">
            <v>379.89</v>
          </cell>
        </row>
        <row r="386">
          <cell r="D386">
            <v>379.37</v>
          </cell>
        </row>
        <row r="387">
          <cell r="D387">
            <v>372.06</v>
          </cell>
        </row>
        <row r="388">
          <cell r="D388">
            <v>374.58</v>
          </cell>
        </row>
        <row r="389">
          <cell r="D389">
            <v>374.23</v>
          </cell>
        </row>
        <row r="390">
          <cell r="D390">
            <v>372.59</v>
          </cell>
        </row>
        <row r="391">
          <cell r="D391">
            <v>373.53</v>
          </cell>
        </row>
      </sheetData>
      <sheetData sheetId="4">
        <row r="174">
          <cell r="D174">
            <v>156.41</v>
          </cell>
        </row>
        <row r="175">
          <cell r="D175">
            <v>154.47</v>
          </cell>
        </row>
        <row r="176">
          <cell r="D176">
            <v>154.44</v>
          </cell>
        </row>
        <row r="177">
          <cell r="D177">
            <v>157.19</v>
          </cell>
        </row>
        <row r="178">
          <cell r="D178">
            <v>155.41</v>
          </cell>
        </row>
        <row r="179">
          <cell r="D179">
            <v>158.68</v>
          </cell>
        </row>
        <row r="180">
          <cell r="D180">
            <v>156.12</v>
          </cell>
        </row>
        <row r="181">
          <cell r="D181">
            <v>154.25</v>
          </cell>
        </row>
        <row r="183">
          <cell r="D183">
            <v>158.16</v>
          </cell>
        </row>
        <row r="184">
          <cell r="D184">
            <v>156.69999999999999</v>
          </cell>
        </row>
        <row r="185">
          <cell r="D185">
            <v>155.97999999999999</v>
          </cell>
        </row>
        <row r="186">
          <cell r="D186">
            <v>153.51</v>
          </cell>
        </row>
        <row r="187">
          <cell r="D187">
            <v>153.94</v>
          </cell>
        </row>
        <row r="188">
          <cell r="D188">
            <v>153.07</v>
          </cell>
        </row>
        <row r="189">
          <cell r="D189">
            <v>155.41999999999999</v>
          </cell>
        </row>
        <row r="190">
          <cell r="D190">
            <v>151.69</v>
          </cell>
        </row>
        <row r="191">
          <cell r="D191">
            <v>154.88</v>
          </cell>
        </row>
        <row r="192">
          <cell r="D192">
            <v>148.66999999999999</v>
          </cell>
        </row>
        <row r="193">
          <cell r="D193">
            <v>156.91</v>
          </cell>
        </row>
        <row r="194">
          <cell r="D194">
            <v>156.27000000000001</v>
          </cell>
        </row>
        <row r="195">
          <cell r="D195">
            <v>155.31</v>
          </cell>
        </row>
        <row r="196">
          <cell r="D196">
            <v>155.02000000000001</v>
          </cell>
        </row>
        <row r="197">
          <cell r="D197">
            <v>157.41</v>
          </cell>
        </row>
        <row r="198">
          <cell r="D198">
            <v>151.94</v>
          </cell>
        </row>
        <row r="199">
          <cell r="D199">
            <v>157.31</v>
          </cell>
        </row>
        <row r="201">
          <cell r="D201">
            <v>154.06</v>
          </cell>
        </row>
        <row r="202">
          <cell r="D202">
            <v>154.75</v>
          </cell>
        </row>
        <row r="203">
          <cell r="D203">
            <v>155.35</v>
          </cell>
        </row>
        <row r="204">
          <cell r="D204">
            <v>155.79</v>
          </cell>
        </row>
        <row r="205">
          <cell r="D205">
            <v>155.75</v>
          </cell>
        </row>
        <row r="206">
          <cell r="D206">
            <v>156.91</v>
          </cell>
        </row>
        <row r="207">
          <cell r="D207">
            <v>156.74</v>
          </cell>
        </row>
        <row r="208">
          <cell r="D208">
            <v>154.88</v>
          </cell>
        </row>
        <row r="210">
          <cell r="D210">
            <v>157.6</v>
          </cell>
        </row>
        <row r="211">
          <cell r="D211">
            <v>155.22999999999999</v>
          </cell>
        </row>
        <row r="212">
          <cell r="D212">
            <v>158.19</v>
          </cell>
        </row>
        <row r="213">
          <cell r="D213">
            <v>154.79</v>
          </cell>
        </row>
        <row r="214">
          <cell r="D214">
            <v>155.44999999999999</v>
          </cell>
        </row>
        <row r="215">
          <cell r="D215">
            <v>155.77000000000001</v>
          </cell>
        </row>
        <row r="216">
          <cell r="D216">
            <v>153.9</v>
          </cell>
        </row>
        <row r="217">
          <cell r="D217">
            <v>155.93</v>
          </cell>
        </row>
        <row r="218">
          <cell r="D218">
            <v>155.18</v>
          </cell>
        </row>
        <row r="219">
          <cell r="D219">
            <v>155.72999999999999</v>
          </cell>
        </row>
        <row r="220">
          <cell r="D220">
            <v>154.4</v>
          </cell>
        </row>
        <row r="221">
          <cell r="D221">
            <v>151.86000000000001</v>
          </cell>
        </row>
        <row r="222">
          <cell r="D222">
            <v>154.96</v>
          </cell>
        </row>
        <row r="223">
          <cell r="D223">
            <v>153.76</v>
          </cell>
        </row>
        <row r="230">
          <cell r="D230">
            <v>232.5</v>
          </cell>
        </row>
        <row r="232">
          <cell r="D232">
            <v>230.07</v>
          </cell>
        </row>
        <row r="233">
          <cell r="D233">
            <v>229.57</v>
          </cell>
        </row>
        <row r="234">
          <cell r="D234">
            <v>227.08</v>
          </cell>
        </row>
        <row r="235">
          <cell r="D235">
            <v>229.05</v>
          </cell>
        </row>
        <row r="236">
          <cell r="D236">
            <v>228.36</v>
          </cell>
        </row>
        <row r="237">
          <cell r="D237">
            <v>231.87</v>
          </cell>
        </row>
        <row r="238">
          <cell r="D238">
            <v>232.22</v>
          </cell>
        </row>
        <row r="239">
          <cell r="D239">
            <v>227.8</v>
          </cell>
        </row>
        <row r="240">
          <cell r="D240">
            <v>229.48</v>
          </cell>
        </row>
        <row r="241">
          <cell r="D241">
            <v>229.24</v>
          </cell>
        </row>
        <row r="242">
          <cell r="D242">
            <v>227.55</v>
          </cell>
        </row>
        <row r="243">
          <cell r="D243">
            <v>230.68</v>
          </cell>
        </row>
        <row r="245">
          <cell r="D245">
            <v>230.07</v>
          </cell>
        </row>
        <row r="247">
          <cell r="D247">
            <v>229.75</v>
          </cell>
        </row>
        <row r="248">
          <cell r="D248">
            <v>229.29</v>
          </cell>
        </row>
        <row r="250">
          <cell r="D250">
            <v>227.96</v>
          </cell>
        </row>
        <row r="251">
          <cell r="D251">
            <v>230.46</v>
          </cell>
        </row>
        <row r="252">
          <cell r="D252">
            <v>229.32</v>
          </cell>
        </row>
        <row r="253">
          <cell r="D253">
            <v>223.68</v>
          </cell>
        </row>
        <row r="254">
          <cell r="D254">
            <v>229.52</v>
          </cell>
        </row>
        <row r="255">
          <cell r="D255">
            <v>229.7</v>
          </cell>
        </row>
        <row r="256">
          <cell r="D256">
            <v>228.21</v>
          </cell>
        </row>
        <row r="258">
          <cell r="D258">
            <v>231.18</v>
          </cell>
        </row>
        <row r="259">
          <cell r="D259">
            <v>228.48</v>
          </cell>
        </row>
        <row r="260">
          <cell r="D260">
            <v>229.4</v>
          </cell>
        </row>
        <row r="261">
          <cell r="D261">
            <v>228.49</v>
          </cell>
        </row>
        <row r="262">
          <cell r="D262">
            <v>229.57</v>
          </cell>
        </row>
        <row r="263">
          <cell r="D263">
            <v>229.2</v>
          </cell>
        </row>
        <row r="264">
          <cell r="D264">
            <v>230.26</v>
          </cell>
        </row>
        <row r="265">
          <cell r="D265">
            <v>228.51</v>
          </cell>
        </row>
        <row r="266">
          <cell r="D266">
            <v>232.56</v>
          </cell>
        </row>
        <row r="268">
          <cell r="D268">
            <v>230.08</v>
          </cell>
        </row>
        <row r="269">
          <cell r="D269">
            <v>228.71</v>
          </cell>
        </row>
        <row r="270">
          <cell r="D270">
            <v>227.74</v>
          </cell>
        </row>
        <row r="271">
          <cell r="D271">
            <v>229.22</v>
          </cell>
        </row>
        <row r="272">
          <cell r="D272">
            <v>225.6</v>
          </cell>
        </row>
        <row r="273">
          <cell r="D273">
            <v>228.3</v>
          </cell>
        </row>
        <row r="274">
          <cell r="D274">
            <v>232.4</v>
          </cell>
        </row>
        <row r="275">
          <cell r="D275">
            <v>232.66</v>
          </cell>
        </row>
        <row r="276">
          <cell r="D276">
            <v>234.47</v>
          </cell>
        </row>
        <row r="277">
          <cell r="D277">
            <v>233.38</v>
          </cell>
        </row>
        <row r="278">
          <cell r="D278">
            <v>230.56</v>
          </cell>
        </row>
        <row r="279">
          <cell r="D279">
            <v>228.62</v>
          </cell>
        </row>
        <row r="286">
          <cell r="D286">
            <v>299.25</v>
          </cell>
        </row>
        <row r="287">
          <cell r="D287">
            <v>306.22000000000003</v>
          </cell>
        </row>
        <row r="288">
          <cell r="D288">
            <v>301.68</v>
          </cell>
        </row>
        <row r="289">
          <cell r="D289">
            <v>305.92</v>
          </cell>
        </row>
        <row r="290">
          <cell r="D290">
            <v>295.26</v>
          </cell>
        </row>
        <row r="291">
          <cell r="D291">
            <v>298.06</v>
          </cell>
        </row>
        <row r="292">
          <cell r="D292">
            <v>303.27</v>
          </cell>
        </row>
        <row r="294">
          <cell r="D294">
            <v>304.89</v>
          </cell>
        </row>
        <row r="295">
          <cell r="D295">
            <v>303.95999999999998</v>
          </cell>
        </row>
        <row r="296">
          <cell r="D296">
            <v>305.73</v>
          </cell>
        </row>
        <row r="298">
          <cell r="D298">
            <v>305.72000000000003</v>
          </cell>
        </row>
        <row r="299">
          <cell r="D299">
            <v>304.29000000000002</v>
          </cell>
        </row>
        <row r="300">
          <cell r="D300">
            <v>298.99</v>
          </cell>
        </row>
        <row r="301">
          <cell r="D301">
            <v>303.24</v>
          </cell>
        </row>
        <row r="302">
          <cell r="D302">
            <v>298.23</v>
          </cell>
        </row>
        <row r="303">
          <cell r="D303">
            <v>302.43</v>
          </cell>
        </row>
        <row r="304">
          <cell r="D304">
            <v>304.05</v>
          </cell>
        </row>
        <row r="305">
          <cell r="D305">
            <v>301.42</v>
          </cell>
        </row>
        <row r="306">
          <cell r="D306">
            <v>299.95</v>
          </cell>
        </row>
        <row r="307">
          <cell r="D307">
            <v>302.61</v>
          </cell>
        </row>
        <row r="308">
          <cell r="D308">
            <v>302.19</v>
          </cell>
        </row>
        <row r="309">
          <cell r="D309">
            <v>298.88</v>
          </cell>
        </row>
        <row r="310">
          <cell r="D310">
            <v>303.93</v>
          </cell>
        </row>
        <row r="312">
          <cell r="D312">
            <v>306.12</v>
          </cell>
        </row>
        <row r="313">
          <cell r="D313">
            <v>303.07</v>
          </cell>
        </row>
        <row r="314">
          <cell r="D314">
            <v>304.14999999999998</v>
          </cell>
        </row>
        <row r="316">
          <cell r="D316">
            <v>302.44</v>
          </cell>
        </row>
        <row r="317">
          <cell r="D317">
            <v>300.08</v>
          </cell>
        </row>
        <row r="318">
          <cell r="D318">
            <v>303.98</v>
          </cell>
        </row>
        <row r="319">
          <cell r="D319">
            <v>300.89999999999998</v>
          </cell>
        </row>
        <row r="320">
          <cell r="D320">
            <v>300.08</v>
          </cell>
        </row>
        <row r="321">
          <cell r="D321">
            <v>303.29000000000002</v>
          </cell>
        </row>
        <row r="322">
          <cell r="D322">
            <v>305.27999999999997</v>
          </cell>
        </row>
        <row r="323">
          <cell r="D323">
            <v>302.47000000000003</v>
          </cell>
        </row>
        <row r="324">
          <cell r="D324">
            <v>300.95</v>
          </cell>
        </row>
        <row r="325">
          <cell r="D325">
            <v>302.23</v>
          </cell>
        </row>
        <row r="326">
          <cell r="D326">
            <v>301.94</v>
          </cell>
        </row>
        <row r="327">
          <cell r="D327">
            <v>300.56</v>
          </cell>
        </row>
        <row r="328">
          <cell r="D328">
            <v>299.36</v>
          </cell>
        </row>
        <row r="329">
          <cell r="D329">
            <v>300.49</v>
          </cell>
        </row>
        <row r="330">
          <cell r="D330">
            <v>304.24</v>
          </cell>
        </row>
        <row r="333">
          <cell r="D333">
            <v>307.14</v>
          </cell>
        </row>
        <row r="334">
          <cell r="D334">
            <v>300.27</v>
          </cell>
        </row>
        <row r="335">
          <cell r="D335">
            <v>301.11</v>
          </cell>
        </row>
        <row r="343">
          <cell r="D343">
            <v>374.41</v>
          </cell>
        </row>
        <row r="344">
          <cell r="D344">
            <v>373.43</v>
          </cell>
        </row>
        <row r="345">
          <cell r="D345">
            <v>375.51</v>
          </cell>
        </row>
        <row r="346">
          <cell r="D346">
            <v>377.47</v>
          </cell>
        </row>
        <row r="347">
          <cell r="D347">
            <v>374.51</v>
          </cell>
        </row>
        <row r="348">
          <cell r="D348">
            <v>377.04</v>
          </cell>
        </row>
        <row r="349">
          <cell r="D349">
            <v>375.37</v>
          </cell>
        </row>
        <row r="351">
          <cell r="D351">
            <v>368.76</v>
          </cell>
        </row>
        <row r="353">
          <cell r="D353">
            <v>376.6</v>
          </cell>
        </row>
        <row r="354">
          <cell r="D354">
            <v>375.9</v>
          </cell>
        </row>
        <row r="356">
          <cell r="D356">
            <v>375.34</v>
          </cell>
        </row>
        <row r="357">
          <cell r="D357">
            <v>377.74</v>
          </cell>
        </row>
        <row r="358">
          <cell r="D358">
            <v>372</v>
          </cell>
        </row>
        <row r="359">
          <cell r="D359">
            <v>374.02</v>
          </cell>
        </row>
        <row r="360">
          <cell r="D360">
            <v>369.74</v>
          </cell>
        </row>
        <row r="361">
          <cell r="D361">
            <v>372.23</v>
          </cell>
        </row>
        <row r="362">
          <cell r="D362">
            <v>374.78</v>
          </cell>
        </row>
        <row r="363">
          <cell r="D363">
            <v>373.67</v>
          </cell>
        </row>
        <row r="364">
          <cell r="D364">
            <v>368.62</v>
          </cell>
        </row>
        <row r="365">
          <cell r="D365">
            <v>374.4</v>
          </cell>
        </row>
        <row r="366">
          <cell r="D366">
            <v>381.12</v>
          </cell>
        </row>
        <row r="367">
          <cell r="D367">
            <v>380.34</v>
          </cell>
        </row>
        <row r="369">
          <cell r="D369">
            <v>372.68</v>
          </cell>
        </row>
        <row r="370">
          <cell r="D370">
            <v>376.58</v>
          </cell>
        </row>
        <row r="371">
          <cell r="D371">
            <v>376.4</v>
          </cell>
        </row>
        <row r="372">
          <cell r="D372">
            <v>373.32</v>
          </cell>
        </row>
        <row r="373">
          <cell r="D373">
            <v>372.81</v>
          </cell>
        </row>
        <row r="374">
          <cell r="D374">
            <v>378.55</v>
          </cell>
        </row>
        <row r="375">
          <cell r="D375">
            <v>372.77</v>
          </cell>
        </row>
        <row r="376">
          <cell r="D376">
            <v>370.43</v>
          </cell>
        </row>
        <row r="377">
          <cell r="D377">
            <v>374.47</v>
          </cell>
        </row>
        <row r="378">
          <cell r="D378">
            <v>379.58</v>
          </cell>
        </row>
        <row r="379">
          <cell r="D379">
            <v>375.6</v>
          </cell>
        </row>
        <row r="380">
          <cell r="D380">
            <v>371.73</v>
          </cell>
        </row>
        <row r="381">
          <cell r="D381">
            <v>375.15</v>
          </cell>
        </row>
        <row r="383">
          <cell r="D383">
            <v>375.31</v>
          </cell>
        </row>
        <row r="385">
          <cell r="D385">
            <v>373.85</v>
          </cell>
        </row>
        <row r="386">
          <cell r="D386">
            <v>377.46</v>
          </cell>
        </row>
        <row r="387">
          <cell r="D387">
            <v>373.76</v>
          </cell>
        </row>
        <row r="388">
          <cell r="D388">
            <v>373.34</v>
          </cell>
        </row>
        <row r="389">
          <cell r="D389">
            <v>372.1</v>
          </cell>
        </row>
        <row r="390">
          <cell r="D390">
            <v>369.81</v>
          </cell>
        </row>
        <row r="391">
          <cell r="D391">
            <v>371.41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0" sqref="B10"/>
    </sheetView>
  </sheetViews>
  <sheetFormatPr defaultRowHeight="14.4"/>
  <cols>
    <col min="1" max="1" width="13.77734375" style="1" bestFit="1" customWidth="1"/>
    <col min="2" max="2" width="88.5546875" style="1" bestFit="1" customWidth="1"/>
    <col min="3" max="3" width="25.21875" style="1" customWidth="1"/>
    <col min="4" max="16384" width="8.88671875" style="1"/>
  </cols>
  <sheetData>
    <row r="1" spans="1:2" ht="15.6">
      <c r="A1" s="2" t="s">
        <v>11</v>
      </c>
      <c r="B1" s="12" t="s">
        <v>328</v>
      </c>
    </row>
    <row r="2" spans="1:2">
      <c r="A2" s="2" t="s">
        <v>12</v>
      </c>
      <c r="B2" s="1">
        <v>1992</v>
      </c>
    </row>
    <row r="3" spans="1:2">
      <c r="A3" s="2" t="s">
        <v>13</v>
      </c>
      <c r="B3" s="1" t="s">
        <v>329</v>
      </c>
    </row>
    <row r="4" spans="1:2">
      <c r="A4" s="2" t="s">
        <v>930</v>
      </c>
      <c r="B4" s="1" t="s">
        <v>931</v>
      </c>
    </row>
    <row r="7" spans="1:2">
      <c r="A7" s="2" t="s">
        <v>321</v>
      </c>
      <c r="B7" s="1" t="s">
        <v>1232</v>
      </c>
    </row>
    <row r="9" spans="1:2">
      <c r="B9" s="1" t="s">
        <v>1434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5"/>
  <sheetViews>
    <sheetView topLeftCell="A348" zoomScale="55" zoomScaleNormal="55" workbookViewId="0">
      <selection activeCell="M346" sqref="M346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18" t="s">
        <v>5</v>
      </c>
      <c r="C1" s="18"/>
      <c r="D1" s="18"/>
    </row>
    <row r="2" spans="1:8">
      <c r="B2" s="18"/>
      <c r="C2" s="18"/>
      <c r="D2" s="18"/>
    </row>
    <row r="4" spans="1:8">
      <c r="H4" s="2" t="s">
        <v>1435</v>
      </c>
    </row>
    <row r="5" spans="1:8" ht="18">
      <c r="A5" s="2" t="s">
        <v>7</v>
      </c>
      <c r="B5" s="3" t="s">
        <v>0</v>
      </c>
      <c r="C5" s="2" t="s">
        <v>4</v>
      </c>
      <c r="D5" s="2" t="s">
        <v>322</v>
      </c>
      <c r="E5" s="2" t="s">
        <v>321</v>
      </c>
      <c r="F5" s="2" t="s">
        <v>324</v>
      </c>
      <c r="G5" s="2" t="s">
        <v>323</v>
      </c>
      <c r="H5" s="2" t="s">
        <v>1436</v>
      </c>
    </row>
    <row r="6" spans="1:8">
      <c r="A6" s="1">
        <v>1</v>
      </c>
      <c r="B6" s="1" t="s">
        <v>21</v>
      </c>
      <c r="C6" s="1">
        <v>102.16</v>
      </c>
      <c r="D6" s="1">
        <v>16.02</v>
      </c>
      <c r="E6" s="1">
        <v>0.49999399999999999</v>
      </c>
      <c r="F6" s="1">
        <f t="shared" ref="F6:F13" si="0">101798400*(10^-6)</f>
        <v>101.7984</v>
      </c>
      <c r="G6" s="1">
        <v>2</v>
      </c>
      <c r="H6" s="1">
        <v>19.309999999999999</v>
      </c>
    </row>
    <row r="7" spans="1:8">
      <c r="A7" s="1">
        <v>2</v>
      </c>
      <c r="B7" s="1" t="s">
        <v>22</v>
      </c>
      <c r="C7" s="1">
        <v>102.16</v>
      </c>
      <c r="D7" s="1">
        <v>16.02</v>
      </c>
      <c r="E7" s="1">
        <v>0.49999399999999999</v>
      </c>
      <c r="F7" s="1">
        <f t="shared" si="0"/>
        <v>101.7984</v>
      </c>
      <c r="G7" s="1">
        <v>2</v>
      </c>
      <c r="H7" s="1">
        <v>19.309999999999999</v>
      </c>
    </row>
    <row r="8" spans="1:8">
      <c r="A8" s="1">
        <v>3</v>
      </c>
      <c r="B8" s="1" t="s">
        <v>23</v>
      </c>
      <c r="C8" s="1">
        <v>102.16</v>
      </c>
      <c r="D8" s="1">
        <v>16.02</v>
      </c>
      <c r="E8" s="1">
        <v>0.49999399999999999</v>
      </c>
      <c r="F8" s="1">
        <f t="shared" si="0"/>
        <v>101.7984</v>
      </c>
      <c r="G8" s="1">
        <v>2</v>
      </c>
      <c r="H8" s="1">
        <v>19.309999999999999</v>
      </c>
    </row>
    <row r="9" spans="1:8">
      <c r="A9" s="1">
        <v>4</v>
      </c>
      <c r="B9" s="1" t="s">
        <v>24</v>
      </c>
      <c r="C9" s="1">
        <v>102.16</v>
      </c>
      <c r="D9" s="1">
        <v>16.02</v>
      </c>
      <c r="E9" s="1">
        <v>0.49999399999999999</v>
      </c>
      <c r="F9" s="1">
        <f t="shared" si="0"/>
        <v>101.7984</v>
      </c>
      <c r="G9" s="1">
        <v>2</v>
      </c>
      <c r="H9" s="1">
        <v>19.309999999999999</v>
      </c>
    </row>
    <row r="10" spans="1:8">
      <c r="A10" s="1">
        <v>5</v>
      </c>
      <c r="B10" s="1" t="s">
        <v>25</v>
      </c>
      <c r="C10" s="1">
        <v>102.16</v>
      </c>
      <c r="D10" s="1">
        <v>16.02</v>
      </c>
      <c r="E10" s="1">
        <v>0.49999399999999999</v>
      </c>
      <c r="F10" s="1">
        <f t="shared" si="0"/>
        <v>101.7984</v>
      </c>
      <c r="G10" s="1">
        <v>2</v>
      </c>
      <c r="H10" s="1">
        <v>19.309999999999999</v>
      </c>
    </row>
    <row r="11" spans="1:8">
      <c r="A11" s="1">
        <v>6</v>
      </c>
      <c r="B11" s="1" t="s">
        <v>26</v>
      </c>
      <c r="C11" s="1">
        <v>102.16</v>
      </c>
      <c r="D11" s="1">
        <v>16.02</v>
      </c>
      <c r="E11" s="1">
        <v>0.49999399999999999</v>
      </c>
      <c r="F11" s="1">
        <f t="shared" si="0"/>
        <v>101.7984</v>
      </c>
      <c r="G11" s="1">
        <v>2</v>
      </c>
      <c r="H11" s="1">
        <v>19.309999999999999</v>
      </c>
    </row>
    <row r="12" spans="1:8">
      <c r="A12" s="1">
        <v>7</v>
      </c>
      <c r="B12" s="1" t="s">
        <v>27</v>
      </c>
      <c r="C12" s="1">
        <v>102.16</v>
      </c>
      <c r="D12" s="1">
        <v>16.02</v>
      </c>
      <c r="E12" s="1">
        <v>0.49999399999999999</v>
      </c>
      <c r="F12" s="1">
        <f t="shared" si="0"/>
        <v>101.7984</v>
      </c>
      <c r="G12" s="1">
        <v>2</v>
      </c>
      <c r="H12" s="1">
        <v>19.309999999999999</v>
      </c>
    </row>
    <row r="13" spans="1:8">
      <c r="A13" s="1">
        <v>8</v>
      </c>
      <c r="B13" s="1" t="s">
        <v>28</v>
      </c>
      <c r="C13" s="1">
        <v>102.16</v>
      </c>
      <c r="D13" s="1">
        <v>16.02</v>
      </c>
      <c r="E13" s="1">
        <v>0.49999399999999999</v>
      </c>
      <c r="F13" s="1">
        <f t="shared" si="0"/>
        <v>101.7984</v>
      </c>
      <c r="G13" s="1">
        <v>2</v>
      </c>
      <c r="H13" s="1">
        <v>19.309999999999999</v>
      </c>
    </row>
    <row r="14" spans="1:8">
      <c r="A14" s="1">
        <v>9</v>
      </c>
      <c r="B14" s="1" t="s">
        <v>29</v>
      </c>
      <c r="C14" s="1">
        <v>101.82</v>
      </c>
      <c r="D14" s="1">
        <v>16.02</v>
      </c>
      <c r="E14" s="1">
        <v>0.49999900000000003</v>
      </c>
      <c r="F14" s="1">
        <f>101683200*(10^-6)</f>
        <v>101.6832</v>
      </c>
      <c r="G14" s="1">
        <v>0</v>
      </c>
      <c r="H14" s="1">
        <v>19.309999999999999</v>
      </c>
    </row>
    <row r="15" spans="1:8">
      <c r="A15" s="1">
        <v>10</v>
      </c>
      <c r="B15" s="1" t="s">
        <v>30</v>
      </c>
      <c r="C15" s="1">
        <v>102.16</v>
      </c>
      <c r="D15" s="1">
        <v>16.02</v>
      </c>
      <c r="E15" s="1">
        <v>0.49999399999999999</v>
      </c>
      <c r="F15" s="1">
        <f t="shared" ref="F15:F27" si="1">101798400*(10^-6)</f>
        <v>101.7984</v>
      </c>
      <c r="G15" s="1">
        <v>2</v>
      </c>
      <c r="H15" s="1">
        <v>19.309999999999999</v>
      </c>
    </row>
    <row r="16" spans="1:8">
      <c r="A16" s="1">
        <v>11</v>
      </c>
      <c r="B16" s="1" t="s">
        <v>31</v>
      </c>
      <c r="C16" s="1">
        <v>102.16</v>
      </c>
      <c r="D16" s="1">
        <v>16.02</v>
      </c>
      <c r="E16" s="1">
        <v>0.49999399999999999</v>
      </c>
      <c r="F16" s="1">
        <f t="shared" si="1"/>
        <v>101.7984</v>
      </c>
      <c r="G16" s="1">
        <v>2</v>
      </c>
      <c r="H16" s="1">
        <v>19.309999999999999</v>
      </c>
    </row>
    <row r="17" spans="1:8">
      <c r="A17" s="1">
        <v>12</v>
      </c>
      <c r="B17" s="1" t="s">
        <v>32</v>
      </c>
      <c r="C17" s="1">
        <v>102.16</v>
      </c>
      <c r="D17" s="1">
        <v>16.02</v>
      </c>
      <c r="E17" s="1">
        <v>0.49999399999999999</v>
      </c>
      <c r="F17" s="1">
        <f t="shared" si="1"/>
        <v>101.7984</v>
      </c>
      <c r="G17" s="1">
        <v>2</v>
      </c>
      <c r="H17" s="1">
        <v>19.309999999999999</v>
      </c>
    </row>
    <row r="18" spans="1:8">
      <c r="A18" s="1">
        <v>13</v>
      </c>
      <c r="B18" s="1" t="s">
        <v>33</v>
      </c>
      <c r="C18" s="1">
        <v>102.16</v>
      </c>
      <c r="D18" s="1">
        <v>16.02</v>
      </c>
      <c r="E18" s="1">
        <v>0.49999399999999999</v>
      </c>
      <c r="F18" s="1">
        <f t="shared" si="1"/>
        <v>101.7984</v>
      </c>
      <c r="G18" s="1">
        <v>2</v>
      </c>
      <c r="H18" s="1">
        <v>19.309999999999999</v>
      </c>
    </row>
    <row r="19" spans="1:8">
      <c r="A19" s="1">
        <v>14</v>
      </c>
      <c r="B19" s="1" t="s">
        <v>34</v>
      </c>
      <c r="C19" s="1">
        <v>102.16</v>
      </c>
      <c r="D19" s="1">
        <v>16.02</v>
      </c>
      <c r="E19" s="1">
        <v>0.49999399999999999</v>
      </c>
      <c r="F19" s="1">
        <f t="shared" si="1"/>
        <v>101.7984</v>
      </c>
      <c r="G19" s="1">
        <v>2</v>
      </c>
      <c r="H19" s="1">
        <v>19.309999999999999</v>
      </c>
    </row>
    <row r="20" spans="1:8">
      <c r="A20" s="1">
        <v>15</v>
      </c>
      <c r="B20" s="1" t="s">
        <v>35</v>
      </c>
      <c r="C20" s="1">
        <v>102.16</v>
      </c>
      <c r="D20" s="1">
        <v>16.02</v>
      </c>
      <c r="E20" s="1">
        <v>0.49999399999999999</v>
      </c>
      <c r="F20" s="1">
        <f t="shared" si="1"/>
        <v>101.7984</v>
      </c>
      <c r="G20" s="1">
        <v>2</v>
      </c>
      <c r="H20" s="1">
        <v>19.309999999999999</v>
      </c>
    </row>
    <row r="21" spans="1:8">
      <c r="A21" s="1">
        <v>16</v>
      </c>
      <c r="B21" s="1" t="s">
        <v>36</v>
      </c>
      <c r="C21" s="1">
        <v>102.16</v>
      </c>
      <c r="D21" s="1">
        <v>16.02</v>
      </c>
      <c r="E21" s="1">
        <v>0.49999399999999999</v>
      </c>
      <c r="F21" s="1">
        <f t="shared" si="1"/>
        <v>101.7984</v>
      </c>
      <c r="G21" s="1">
        <v>2</v>
      </c>
      <c r="H21" s="1">
        <v>19.309999999999999</v>
      </c>
    </row>
    <row r="22" spans="1:8">
      <c r="A22" s="1">
        <v>17</v>
      </c>
      <c r="B22" s="1" t="s">
        <v>37</v>
      </c>
      <c r="C22" s="1">
        <v>102.16</v>
      </c>
      <c r="D22" s="1">
        <v>16.02</v>
      </c>
      <c r="E22" s="1">
        <v>0.49999399999999999</v>
      </c>
      <c r="F22" s="1">
        <f t="shared" si="1"/>
        <v>101.7984</v>
      </c>
      <c r="G22" s="1">
        <v>2</v>
      </c>
      <c r="H22" s="1">
        <v>19.309999999999999</v>
      </c>
    </row>
    <row r="23" spans="1:8">
      <c r="A23" s="1">
        <v>18</v>
      </c>
      <c r="B23" s="1" t="s">
        <v>38</v>
      </c>
      <c r="C23" s="1">
        <v>102.16</v>
      </c>
      <c r="D23" s="1">
        <v>16.02</v>
      </c>
      <c r="E23" s="1">
        <v>0.49999399999999999</v>
      </c>
      <c r="F23" s="1">
        <f t="shared" si="1"/>
        <v>101.7984</v>
      </c>
      <c r="G23" s="1">
        <v>2</v>
      </c>
      <c r="H23" s="1">
        <v>19.309999999999999</v>
      </c>
    </row>
    <row r="24" spans="1:8">
      <c r="A24" s="1">
        <v>19</v>
      </c>
      <c r="B24" s="1" t="s">
        <v>39</v>
      </c>
      <c r="C24" s="1">
        <v>102.16</v>
      </c>
      <c r="D24" s="1">
        <v>16.02</v>
      </c>
      <c r="E24" s="1">
        <v>0.49999399999999999</v>
      </c>
      <c r="F24" s="1">
        <f t="shared" si="1"/>
        <v>101.7984</v>
      </c>
      <c r="G24" s="1">
        <v>2</v>
      </c>
      <c r="H24" s="1">
        <v>19.309999999999999</v>
      </c>
    </row>
    <row r="25" spans="1:8">
      <c r="A25" s="1">
        <v>20</v>
      </c>
      <c r="B25" s="1" t="s">
        <v>40</v>
      </c>
      <c r="C25" s="1">
        <v>102.16</v>
      </c>
      <c r="D25" s="1">
        <v>16.02</v>
      </c>
      <c r="E25" s="1">
        <v>0.49999399999999999</v>
      </c>
      <c r="F25" s="1">
        <f t="shared" si="1"/>
        <v>101.7984</v>
      </c>
      <c r="G25" s="1">
        <v>2</v>
      </c>
      <c r="H25" s="1">
        <v>19.309999999999999</v>
      </c>
    </row>
    <row r="26" spans="1:8">
      <c r="A26" s="1">
        <v>21</v>
      </c>
      <c r="B26" s="1" t="s">
        <v>41</v>
      </c>
      <c r="C26" s="1">
        <v>102.16</v>
      </c>
      <c r="D26" s="1">
        <v>16.02</v>
      </c>
      <c r="E26" s="1">
        <v>0.49999399999999999</v>
      </c>
      <c r="F26" s="1">
        <f t="shared" si="1"/>
        <v>101.7984</v>
      </c>
      <c r="G26" s="1">
        <v>2</v>
      </c>
      <c r="H26" s="1">
        <v>19.309999999999999</v>
      </c>
    </row>
    <row r="27" spans="1:8">
      <c r="A27" s="1">
        <v>22</v>
      </c>
      <c r="B27" s="1" t="s">
        <v>42</v>
      </c>
      <c r="C27" s="1">
        <v>102.16</v>
      </c>
      <c r="D27" s="1">
        <v>16.02</v>
      </c>
      <c r="E27" s="1">
        <v>0.49999399999999999</v>
      </c>
      <c r="F27" s="1">
        <f t="shared" si="1"/>
        <v>101.7984</v>
      </c>
      <c r="G27" s="1">
        <v>2</v>
      </c>
      <c r="H27" s="1">
        <v>19.309999999999999</v>
      </c>
    </row>
    <row r="28" spans="1:8">
      <c r="A28" s="1">
        <v>23</v>
      </c>
      <c r="B28" s="1" t="s">
        <v>43</v>
      </c>
      <c r="C28" s="1">
        <v>101.82</v>
      </c>
      <c r="D28" s="1">
        <v>16.02</v>
      </c>
      <c r="E28" s="1">
        <v>0.49999900000000003</v>
      </c>
      <c r="F28" s="1">
        <f>101683200*(10^-6)</f>
        <v>101.6832</v>
      </c>
      <c r="G28" s="1">
        <v>0</v>
      </c>
      <c r="H28" s="1">
        <v>19.309999999999999</v>
      </c>
    </row>
    <row r="29" spans="1:8">
      <c r="A29" s="1">
        <v>24</v>
      </c>
      <c r="B29" s="1" t="s">
        <v>44</v>
      </c>
      <c r="C29" s="1">
        <v>102.16</v>
      </c>
      <c r="D29" s="1">
        <v>16.02</v>
      </c>
      <c r="E29" s="1">
        <v>0.49999399999999999</v>
      </c>
      <c r="F29" s="1">
        <f t="shared" ref="F29:F37" si="2">101798400*(10^-6)</f>
        <v>101.7984</v>
      </c>
      <c r="G29" s="1">
        <v>2</v>
      </c>
      <c r="H29" s="1">
        <v>19.309999999999999</v>
      </c>
    </row>
    <row r="30" spans="1:8">
      <c r="A30" s="1">
        <v>25</v>
      </c>
      <c r="B30" s="1" t="s">
        <v>45</v>
      </c>
      <c r="C30" s="1">
        <v>102.16</v>
      </c>
      <c r="D30" s="1">
        <v>16.02</v>
      </c>
      <c r="E30" s="1">
        <v>0.49999399999999999</v>
      </c>
      <c r="F30" s="1">
        <f t="shared" si="2"/>
        <v>101.7984</v>
      </c>
      <c r="G30" s="1">
        <v>2</v>
      </c>
      <c r="H30" s="1">
        <v>19.309999999999999</v>
      </c>
    </row>
    <row r="31" spans="1:8">
      <c r="A31" s="1">
        <v>26</v>
      </c>
      <c r="B31" s="1" t="s">
        <v>46</v>
      </c>
      <c r="C31" s="1">
        <v>102.16</v>
      </c>
      <c r="D31" s="1">
        <v>16.02</v>
      </c>
      <c r="E31" s="1">
        <v>0.49999399999999999</v>
      </c>
      <c r="F31" s="1">
        <f t="shared" si="2"/>
        <v>101.7984</v>
      </c>
      <c r="G31" s="1">
        <v>2</v>
      </c>
      <c r="H31" s="1">
        <v>19.309999999999999</v>
      </c>
    </row>
    <row r="32" spans="1:8">
      <c r="A32" s="1">
        <v>27</v>
      </c>
      <c r="B32" s="1" t="s">
        <v>47</v>
      </c>
      <c r="C32" s="1">
        <v>102.16</v>
      </c>
      <c r="D32" s="1">
        <v>16.02</v>
      </c>
      <c r="E32" s="1">
        <v>0.49999399999999999</v>
      </c>
      <c r="F32" s="1">
        <f t="shared" si="2"/>
        <v>101.7984</v>
      </c>
      <c r="G32" s="1">
        <v>2</v>
      </c>
      <c r="H32" s="1">
        <v>19.309999999999999</v>
      </c>
    </row>
    <row r="33" spans="1:8">
      <c r="A33" s="1">
        <v>28</v>
      </c>
      <c r="B33" s="1" t="s">
        <v>48</v>
      </c>
      <c r="C33" s="1">
        <v>102.16</v>
      </c>
      <c r="D33" s="1">
        <v>16.02</v>
      </c>
      <c r="E33" s="1">
        <v>0.49999399999999999</v>
      </c>
      <c r="F33" s="1">
        <f t="shared" si="2"/>
        <v>101.7984</v>
      </c>
      <c r="G33" s="1">
        <v>2</v>
      </c>
      <c r="H33" s="1">
        <v>19.309999999999999</v>
      </c>
    </row>
    <row r="34" spans="1:8">
      <c r="A34" s="1">
        <v>29</v>
      </c>
      <c r="B34" s="1" t="s">
        <v>49</v>
      </c>
      <c r="C34" s="1">
        <v>102.16</v>
      </c>
      <c r="D34" s="1">
        <v>16.02</v>
      </c>
      <c r="E34" s="1">
        <v>0.49999399999999999</v>
      </c>
      <c r="F34" s="1">
        <f t="shared" si="2"/>
        <v>101.7984</v>
      </c>
      <c r="G34" s="1">
        <v>2</v>
      </c>
      <c r="H34" s="1">
        <v>19.309999999999999</v>
      </c>
    </row>
    <row r="35" spans="1:8">
      <c r="A35" s="1">
        <v>30</v>
      </c>
      <c r="B35" s="1" t="s">
        <v>50</v>
      </c>
      <c r="C35" s="1">
        <v>102.16</v>
      </c>
      <c r="D35" s="1">
        <v>16.02</v>
      </c>
      <c r="E35" s="1">
        <v>0.49999399999999999</v>
      </c>
      <c r="F35" s="1">
        <f t="shared" si="2"/>
        <v>101.7984</v>
      </c>
      <c r="G35" s="1">
        <v>2</v>
      </c>
      <c r="H35" s="1">
        <v>19.309999999999999</v>
      </c>
    </row>
    <row r="36" spans="1:8">
      <c r="A36" s="1">
        <v>31</v>
      </c>
      <c r="B36" s="1" t="s">
        <v>51</v>
      </c>
      <c r="C36" s="1">
        <v>102.16</v>
      </c>
      <c r="D36" s="1">
        <v>16.02</v>
      </c>
      <c r="E36" s="1">
        <v>0.49999399999999999</v>
      </c>
      <c r="F36" s="1">
        <f t="shared" si="2"/>
        <v>101.7984</v>
      </c>
      <c r="G36" s="1">
        <v>2</v>
      </c>
      <c r="H36" s="1">
        <v>19.309999999999999</v>
      </c>
    </row>
    <row r="37" spans="1:8">
      <c r="A37" s="1">
        <v>32</v>
      </c>
      <c r="B37" s="1" t="s">
        <v>52</v>
      </c>
      <c r="C37" s="1">
        <v>102.16</v>
      </c>
      <c r="D37" s="1">
        <v>16.02</v>
      </c>
      <c r="E37" s="1">
        <v>0.49999399999999999</v>
      </c>
      <c r="F37" s="1">
        <f t="shared" si="2"/>
        <v>101.7984</v>
      </c>
      <c r="G37" s="1">
        <v>2</v>
      </c>
      <c r="H37" s="1">
        <v>19.309999999999999</v>
      </c>
    </row>
    <row r="38" spans="1:8">
      <c r="A38" s="1">
        <v>33</v>
      </c>
      <c r="B38" s="1" t="s">
        <v>53</v>
      </c>
      <c r="C38" s="1">
        <v>101.82</v>
      </c>
      <c r="D38" s="1">
        <v>16.02</v>
      </c>
      <c r="E38" s="1">
        <v>0.49999900000000003</v>
      </c>
      <c r="F38" s="1">
        <f>101683200*(10^-6)</f>
        <v>101.6832</v>
      </c>
      <c r="G38" s="1">
        <v>0</v>
      </c>
      <c r="H38" s="1">
        <v>19.309999999999999</v>
      </c>
    </row>
    <row r="39" spans="1:8">
      <c r="A39" s="1">
        <v>34</v>
      </c>
      <c r="B39" s="1" t="s">
        <v>54</v>
      </c>
      <c r="C39" s="1">
        <v>102.16</v>
      </c>
      <c r="D39" s="1">
        <v>16.02</v>
      </c>
      <c r="E39" s="1">
        <v>0.49999399999999999</v>
      </c>
      <c r="F39" s="1">
        <f>101798400*(10^-6)</f>
        <v>101.7984</v>
      </c>
      <c r="G39" s="1">
        <v>2</v>
      </c>
      <c r="H39" s="1">
        <v>19.309999999999999</v>
      </c>
    </row>
    <row r="40" spans="1:8">
      <c r="A40" s="1">
        <v>35</v>
      </c>
      <c r="B40" s="1" t="s">
        <v>55</v>
      </c>
      <c r="C40" s="1">
        <v>102.16</v>
      </c>
      <c r="D40" s="1">
        <v>16.02</v>
      </c>
      <c r="E40" s="1">
        <v>0.49999399999999999</v>
      </c>
      <c r="F40" s="1">
        <f>101798400*(10^-6)</f>
        <v>101.7984</v>
      </c>
      <c r="G40" s="1">
        <v>2</v>
      </c>
      <c r="H40" s="1">
        <v>19.309999999999999</v>
      </c>
    </row>
    <row r="41" spans="1:8">
      <c r="A41" s="1">
        <v>36</v>
      </c>
      <c r="B41" s="1" t="s">
        <v>56</v>
      </c>
      <c r="C41" s="1">
        <v>102.16</v>
      </c>
      <c r="D41" s="1">
        <v>16.02</v>
      </c>
      <c r="E41" s="1">
        <v>0.49999399999999999</v>
      </c>
      <c r="F41" s="1">
        <f>101798400*(10^-6)</f>
        <v>101.7984</v>
      </c>
      <c r="G41" s="1">
        <v>2</v>
      </c>
      <c r="H41" s="1">
        <v>19.309999999999999</v>
      </c>
    </row>
    <row r="42" spans="1:8">
      <c r="A42" s="1">
        <v>37</v>
      </c>
      <c r="B42" s="1" t="s">
        <v>57</v>
      </c>
      <c r="C42" s="1">
        <v>102.16</v>
      </c>
      <c r="D42" s="1">
        <v>16.02</v>
      </c>
      <c r="E42" s="1">
        <v>0.49999399999999999</v>
      </c>
      <c r="F42" s="1">
        <f>101798400*(10^-6)</f>
        <v>101.7984</v>
      </c>
      <c r="G42" s="1">
        <v>2</v>
      </c>
      <c r="H42" s="1">
        <v>19.309999999999999</v>
      </c>
    </row>
    <row r="43" spans="1:8">
      <c r="A43" s="1">
        <v>38</v>
      </c>
      <c r="B43" s="1" t="s">
        <v>58</v>
      </c>
      <c r="C43" s="1">
        <v>101.82</v>
      </c>
      <c r="D43" s="1">
        <v>16.02</v>
      </c>
      <c r="E43" s="1">
        <v>0.49999900000000003</v>
      </c>
      <c r="F43" s="1">
        <f>101683200*(10^-6)</f>
        <v>101.6832</v>
      </c>
      <c r="G43" s="1">
        <v>0</v>
      </c>
      <c r="H43" s="1">
        <v>19.309999999999999</v>
      </c>
    </row>
    <row r="44" spans="1:8">
      <c r="A44" s="1">
        <v>39</v>
      </c>
      <c r="B44" s="1" t="s">
        <v>59</v>
      </c>
      <c r="C44" s="1">
        <v>102.16</v>
      </c>
      <c r="D44" s="1">
        <v>16.02</v>
      </c>
      <c r="E44" s="1">
        <v>0.49999399999999999</v>
      </c>
      <c r="F44" s="1">
        <f t="shared" ref="F44:F52" si="3">101798400*(10^-6)</f>
        <v>101.7984</v>
      </c>
      <c r="G44" s="1">
        <v>2</v>
      </c>
      <c r="H44" s="1">
        <v>19.309999999999999</v>
      </c>
    </row>
    <row r="45" spans="1:8">
      <c r="A45" s="1">
        <v>40</v>
      </c>
      <c r="B45" s="1" t="s">
        <v>60</v>
      </c>
      <c r="C45" s="1">
        <v>102.16</v>
      </c>
      <c r="D45" s="1">
        <v>16.02</v>
      </c>
      <c r="E45" s="1">
        <v>0.49999399999999999</v>
      </c>
      <c r="F45" s="1">
        <f t="shared" si="3"/>
        <v>101.7984</v>
      </c>
      <c r="G45" s="1">
        <v>2</v>
      </c>
      <c r="H45" s="1">
        <v>19.309999999999999</v>
      </c>
    </row>
    <row r="46" spans="1:8">
      <c r="A46" s="1">
        <v>41</v>
      </c>
      <c r="B46" s="1" t="s">
        <v>61</v>
      </c>
      <c r="C46" s="1">
        <v>102.16</v>
      </c>
      <c r="D46" s="1">
        <v>16.02</v>
      </c>
      <c r="E46" s="1">
        <v>0.49999399999999999</v>
      </c>
      <c r="F46" s="1">
        <f t="shared" si="3"/>
        <v>101.7984</v>
      </c>
      <c r="G46" s="1">
        <v>2</v>
      </c>
      <c r="H46" s="1">
        <v>19.309999999999999</v>
      </c>
    </row>
    <row r="47" spans="1:8">
      <c r="A47" s="1">
        <v>42</v>
      </c>
      <c r="B47" s="1" t="s">
        <v>62</v>
      </c>
      <c r="C47" s="1">
        <v>102.16</v>
      </c>
      <c r="D47" s="1">
        <v>16.02</v>
      </c>
      <c r="E47" s="1">
        <v>0.49999399999999999</v>
      </c>
      <c r="F47" s="1">
        <f t="shared" si="3"/>
        <v>101.7984</v>
      </c>
      <c r="G47" s="1">
        <v>2</v>
      </c>
      <c r="H47" s="1">
        <v>19.309999999999999</v>
      </c>
    </row>
    <row r="48" spans="1:8">
      <c r="A48" s="1">
        <v>43</v>
      </c>
      <c r="B48" s="1" t="s">
        <v>63</v>
      </c>
      <c r="C48" s="1">
        <v>102.16</v>
      </c>
      <c r="D48" s="1">
        <v>16.02</v>
      </c>
      <c r="E48" s="1">
        <v>0.49999399999999999</v>
      </c>
      <c r="F48" s="1">
        <f t="shared" si="3"/>
        <v>101.7984</v>
      </c>
      <c r="G48" s="1">
        <v>2</v>
      </c>
      <c r="H48" s="1">
        <v>19.309999999999999</v>
      </c>
    </row>
    <row r="49" spans="1:8">
      <c r="A49" s="1">
        <v>44</v>
      </c>
      <c r="B49" s="1" t="s">
        <v>64</v>
      </c>
      <c r="C49" s="1">
        <v>102.16</v>
      </c>
      <c r="D49" s="1">
        <v>16.02</v>
      </c>
      <c r="E49" s="1">
        <v>0.49999399999999999</v>
      </c>
      <c r="F49" s="1">
        <f t="shared" si="3"/>
        <v>101.7984</v>
      </c>
      <c r="G49" s="1">
        <v>2</v>
      </c>
      <c r="H49" s="1">
        <v>19.309999999999999</v>
      </c>
    </row>
    <row r="50" spans="1:8">
      <c r="A50" s="1">
        <v>45</v>
      </c>
      <c r="B50" s="1" t="s">
        <v>65</v>
      </c>
      <c r="C50" s="1">
        <v>102.16</v>
      </c>
      <c r="D50" s="1">
        <v>16.02</v>
      </c>
      <c r="E50" s="1">
        <v>0.49999399999999999</v>
      </c>
      <c r="F50" s="1">
        <f t="shared" si="3"/>
        <v>101.7984</v>
      </c>
      <c r="G50" s="1">
        <v>2</v>
      </c>
      <c r="H50" s="1">
        <v>19.309999999999999</v>
      </c>
    </row>
    <row r="51" spans="1:8">
      <c r="A51" s="1">
        <v>46</v>
      </c>
      <c r="B51" s="1" t="s">
        <v>66</v>
      </c>
      <c r="C51" s="1">
        <v>102.16</v>
      </c>
      <c r="D51" s="1">
        <v>16.02</v>
      </c>
      <c r="E51" s="1">
        <v>0.49999399999999999</v>
      </c>
      <c r="F51" s="1">
        <f t="shared" si="3"/>
        <v>101.7984</v>
      </c>
      <c r="G51" s="1">
        <v>2</v>
      </c>
      <c r="H51" s="1">
        <v>19.309999999999999</v>
      </c>
    </row>
    <row r="52" spans="1:8">
      <c r="A52" s="1">
        <v>47</v>
      </c>
      <c r="B52" s="1" t="s">
        <v>67</v>
      </c>
      <c r="C52" s="1">
        <v>102.16</v>
      </c>
      <c r="D52" s="1">
        <v>16.02</v>
      </c>
      <c r="E52" s="1">
        <v>0.49999399999999999</v>
      </c>
      <c r="F52" s="1">
        <f t="shared" si="3"/>
        <v>101.7984</v>
      </c>
      <c r="G52" s="1">
        <v>2</v>
      </c>
      <c r="H52" s="1">
        <v>19.309999999999999</v>
      </c>
    </row>
    <row r="53" spans="1:8">
      <c r="A53" s="1">
        <v>48</v>
      </c>
      <c r="B53" s="1" t="s">
        <v>68</v>
      </c>
      <c r="C53" s="1">
        <v>101.82</v>
      </c>
      <c r="D53" s="1">
        <v>16.02</v>
      </c>
      <c r="E53" s="1">
        <v>0.49999900000000003</v>
      </c>
      <c r="F53" s="1">
        <f>101683200*(10^-6)</f>
        <v>101.6832</v>
      </c>
      <c r="G53" s="1">
        <v>0</v>
      </c>
      <c r="H53" s="1">
        <v>19.309999999999999</v>
      </c>
    </row>
    <row r="54" spans="1:8">
      <c r="A54" s="1">
        <v>49</v>
      </c>
      <c r="B54" s="1" t="s">
        <v>69</v>
      </c>
      <c r="C54" s="1">
        <v>102.16</v>
      </c>
      <c r="D54" s="1">
        <v>16.02</v>
      </c>
      <c r="E54" s="1">
        <v>0.49999399999999999</v>
      </c>
      <c r="F54" s="1">
        <f>101798400*(10^-6)</f>
        <v>101.7984</v>
      </c>
      <c r="G54" s="1">
        <v>2</v>
      </c>
      <c r="H54" s="1">
        <v>19.309999999999999</v>
      </c>
    </row>
    <row r="55" spans="1:8">
      <c r="A55" s="1">
        <v>50</v>
      </c>
      <c r="B55" s="1" t="s">
        <v>70</v>
      </c>
      <c r="C55" s="1">
        <v>102.16</v>
      </c>
      <c r="D55" s="1">
        <v>16.02</v>
      </c>
      <c r="E55" s="1">
        <v>0.49999399999999999</v>
      </c>
      <c r="F55" s="1">
        <f>101798400*(10^-6)</f>
        <v>101.7984</v>
      </c>
      <c r="G55" s="1">
        <v>2</v>
      </c>
      <c r="H55" s="1">
        <v>19.309999999999999</v>
      </c>
    </row>
    <row r="56" spans="1:8">
      <c r="B56" s="1" t="s">
        <v>19</v>
      </c>
      <c r="C56" s="1">
        <f>AVERAGE(C6:C55)</f>
        <v>102.12599999999995</v>
      </c>
      <c r="D56" s="1">
        <f t="shared" ref="D56:H56" si="4">AVERAGE(D6:D55)</f>
        <v>16.019999999999989</v>
      </c>
      <c r="E56" s="1">
        <f t="shared" si="4"/>
        <v>0.49999450000000001</v>
      </c>
      <c r="F56" s="1">
        <f t="shared" si="4"/>
        <v>101.78687999999998</v>
      </c>
      <c r="H56" s="1">
        <f t="shared" si="4"/>
        <v>19.309999999999974</v>
      </c>
    </row>
    <row r="57" spans="1:8">
      <c r="B57" s="1" t="s">
        <v>20</v>
      </c>
      <c r="C57" s="1">
        <f>MIN(C5:C55)</f>
        <v>101.82</v>
      </c>
      <c r="D57" s="1">
        <f t="shared" ref="D57:H57" si="5">MIN(D5:D55)</f>
        <v>16.02</v>
      </c>
      <c r="E57" s="1">
        <f t="shared" si="5"/>
        <v>0.49999399999999999</v>
      </c>
      <c r="F57" s="1">
        <f t="shared" si="5"/>
        <v>101.6832</v>
      </c>
      <c r="H57" s="1">
        <f t="shared" si="5"/>
        <v>19.309999999999999</v>
      </c>
    </row>
    <row r="58" spans="1:8">
      <c r="B58" s="1" t="s">
        <v>3</v>
      </c>
      <c r="C58" s="1">
        <f>STDEV(C6:C55)</f>
        <v>0.10303555954432655</v>
      </c>
      <c r="D58" s="1">
        <f t="shared" ref="D58:E58" si="6">STDEV(D6:D55)</f>
        <v>1.0766348288117315E-14</v>
      </c>
      <c r="E58" s="1">
        <f t="shared" si="6"/>
        <v>1.5152288168382421E-6</v>
      </c>
      <c r="F58" s="1">
        <f>STDEV(F6:F55)</f>
        <v>3.491087193972487E-2</v>
      </c>
      <c r="H58" s="1">
        <f>STDEV(H6:H55)</f>
        <v>2.5121479338940402E-14</v>
      </c>
    </row>
    <row r="60" spans="1:8">
      <c r="H60" s="2" t="s">
        <v>1435</v>
      </c>
    </row>
    <row r="61" spans="1:8" ht="18">
      <c r="A61" s="2" t="s">
        <v>7</v>
      </c>
      <c r="B61" s="3" t="s">
        <v>8</v>
      </c>
      <c r="C61" s="2" t="s">
        <v>4</v>
      </c>
      <c r="D61" s="2" t="s">
        <v>322</v>
      </c>
      <c r="E61" s="2" t="s">
        <v>321</v>
      </c>
      <c r="F61" s="2" t="s">
        <v>324</v>
      </c>
      <c r="G61" s="2" t="s">
        <v>323</v>
      </c>
      <c r="H61" s="2" t="s">
        <v>1436</v>
      </c>
    </row>
    <row r="62" spans="1:8">
      <c r="A62" s="1">
        <v>1</v>
      </c>
      <c r="B62" s="1" t="s">
        <v>71</v>
      </c>
      <c r="C62" s="1">
        <v>84.79</v>
      </c>
      <c r="D62" s="1">
        <v>39.549999999999997</v>
      </c>
      <c r="E62" s="1">
        <v>0.46870499999999998</v>
      </c>
      <c r="F62" s="1">
        <f>48115200*(10^-6)</f>
        <v>48.115199999999994</v>
      </c>
      <c r="G62" s="1">
        <v>4</v>
      </c>
      <c r="H62" s="1">
        <v>16.079999999999998</v>
      </c>
    </row>
    <row r="63" spans="1:8">
      <c r="A63" s="1">
        <v>2</v>
      </c>
      <c r="B63" s="1" t="s">
        <v>72</v>
      </c>
      <c r="C63" s="1">
        <v>101.54</v>
      </c>
      <c r="D63" s="1">
        <v>40.03</v>
      </c>
      <c r="E63" s="1">
        <v>0.49997999999999998</v>
      </c>
      <c r="F63" s="1">
        <f>100608000*(10^-6)</f>
        <v>100.60799999999999</v>
      </c>
      <c r="G63" s="1">
        <v>8</v>
      </c>
      <c r="H63" s="1">
        <v>19.3</v>
      </c>
    </row>
    <row r="64" spans="1:8">
      <c r="A64" s="1">
        <v>3</v>
      </c>
      <c r="B64" s="1" t="s">
        <v>73</v>
      </c>
      <c r="C64" s="1">
        <v>101.54</v>
      </c>
      <c r="D64" s="1">
        <v>40.03</v>
      </c>
      <c r="E64" s="1">
        <v>0.49997999999999998</v>
      </c>
      <c r="F64" s="1">
        <f>100608000*(10^-6)</f>
        <v>100.60799999999999</v>
      </c>
      <c r="G64" s="1">
        <v>8</v>
      </c>
      <c r="H64" s="1">
        <v>19.3</v>
      </c>
    </row>
    <row r="65" spans="1:8">
      <c r="A65" s="1">
        <v>4</v>
      </c>
      <c r="B65" s="1" t="s">
        <v>74</v>
      </c>
      <c r="C65" s="1">
        <v>82.41</v>
      </c>
      <c r="D65" s="1">
        <v>39.479999999999997</v>
      </c>
      <c r="E65" s="1">
        <v>0.46216299999999999</v>
      </c>
      <c r="F65" s="1">
        <f>53376000*(10^-6)</f>
        <v>53.375999999999998</v>
      </c>
      <c r="G65" s="1">
        <v>2</v>
      </c>
      <c r="H65" s="1">
        <v>15.66</v>
      </c>
    </row>
    <row r="66" spans="1:8">
      <c r="A66" s="1">
        <v>5</v>
      </c>
      <c r="B66" s="1" t="s">
        <v>75</v>
      </c>
      <c r="C66" s="1">
        <v>101.54</v>
      </c>
      <c r="D66" s="1">
        <v>40.03</v>
      </c>
      <c r="E66" s="1">
        <v>0.49997999999999998</v>
      </c>
      <c r="F66" s="1">
        <f>100608000*(10^-6)</f>
        <v>100.60799999999999</v>
      </c>
      <c r="G66" s="1">
        <v>8</v>
      </c>
      <c r="H66" s="1">
        <v>19.3</v>
      </c>
    </row>
    <row r="67" spans="1:8">
      <c r="A67" s="1">
        <v>6</v>
      </c>
      <c r="B67" s="1" t="s">
        <v>76</v>
      </c>
      <c r="C67" s="1">
        <v>101.64</v>
      </c>
      <c r="D67" s="1">
        <v>40.04</v>
      </c>
      <c r="E67" s="1">
        <v>0.49998999999999999</v>
      </c>
      <c r="F67" s="1">
        <f>100876800*(10^-6)</f>
        <v>100.87679999999999</v>
      </c>
      <c r="G67" s="1">
        <v>4</v>
      </c>
      <c r="H67" s="1">
        <v>19.3</v>
      </c>
    </row>
    <row r="68" spans="1:8">
      <c r="A68" s="1">
        <v>7</v>
      </c>
      <c r="B68" s="1" t="s">
        <v>77</v>
      </c>
      <c r="C68" s="1">
        <v>101.85</v>
      </c>
      <c r="D68" s="1">
        <v>40.04</v>
      </c>
      <c r="E68" s="1">
        <v>0.49998900000000002</v>
      </c>
      <c r="F68" s="1">
        <f>101145600*(10^-6)</f>
        <v>101.1456</v>
      </c>
      <c r="G68" s="1">
        <v>4</v>
      </c>
      <c r="H68" s="1">
        <v>19.3</v>
      </c>
    </row>
    <row r="69" spans="1:8">
      <c r="A69" s="1">
        <v>8</v>
      </c>
      <c r="B69" s="1" t="s">
        <v>78</v>
      </c>
      <c r="C69" s="1">
        <v>101.84</v>
      </c>
      <c r="D69" s="1">
        <v>40.04</v>
      </c>
      <c r="E69" s="1">
        <v>0.49998399999999998</v>
      </c>
      <c r="F69" s="1">
        <f>101068800*(10^-6)</f>
        <v>101.0688</v>
      </c>
      <c r="G69" s="1">
        <v>0</v>
      </c>
      <c r="H69" s="1">
        <v>19.3</v>
      </c>
    </row>
    <row r="70" spans="1:8">
      <c r="A70" s="1">
        <v>9</v>
      </c>
      <c r="B70" s="1" t="s">
        <v>79</v>
      </c>
      <c r="C70" s="1">
        <v>102.01</v>
      </c>
      <c r="D70" s="1">
        <v>40.04</v>
      </c>
      <c r="E70" s="1">
        <v>0.49996800000000002</v>
      </c>
      <c r="F70" s="1">
        <f>100915200*(10^-6)</f>
        <v>100.9152</v>
      </c>
      <c r="G70" s="1">
        <v>8</v>
      </c>
      <c r="H70" s="1">
        <v>19.3</v>
      </c>
    </row>
    <row r="71" spans="1:8">
      <c r="A71" s="1">
        <v>10</v>
      </c>
      <c r="B71" s="1" t="s">
        <v>80</v>
      </c>
      <c r="C71" s="1">
        <v>84.5</v>
      </c>
      <c r="D71" s="1">
        <v>39.54</v>
      </c>
      <c r="E71" s="1">
        <v>0.46857399999999999</v>
      </c>
      <c r="F71" s="1">
        <f>47308800*(10^-6)</f>
        <v>47.308799999999998</v>
      </c>
      <c r="G71" s="1">
        <v>4</v>
      </c>
      <c r="H71" s="1">
        <v>16.100000000000001</v>
      </c>
    </row>
    <row r="72" spans="1:8">
      <c r="A72" s="1">
        <v>11</v>
      </c>
      <c r="B72" s="1" t="s">
        <v>81</v>
      </c>
      <c r="C72" s="1">
        <v>101.64</v>
      </c>
      <c r="D72" s="1">
        <v>40.04</v>
      </c>
      <c r="E72" s="1">
        <v>0.49998999999999999</v>
      </c>
      <c r="F72" s="1">
        <f>100876800*(10^-6)</f>
        <v>100.87679999999999</v>
      </c>
      <c r="G72" s="1">
        <v>4</v>
      </c>
      <c r="H72" s="1">
        <v>19.3</v>
      </c>
    </row>
    <row r="73" spans="1:8">
      <c r="A73" s="1">
        <v>12</v>
      </c>
      <c r="B73" s="1" t="s">
        <v>82</v>
      </c>
      <c r="C73" s="1">
        <v>101.85</v>
      </c>
      <c r="D73" s="1">
        <v>40.04</v>
      </c>
      <c r="E73" s="1">
        <v>0.49998900000000002</v>
      </c>
      <c r="F73" s="1">
        <f>101145600*(10^-6)</f>
        <v>101.1456</v>
      </c>
      <c r="G73" s="1">
        <v>4</v>
      </c>
      <c r="H73" s="1">
        <v>19.3</v>
      </c>
    </row>
    <row r="74" spans="1:8">
      <c r="A74" s="1">
        <v>13</v>
      </c>
      <c r="B74" s="1" t="s">
        <v>83</v>
      </c>
      <c r="C74" s="1">
        <v>101.64</v>
      </c>
      <c r="D74" s="1">
        <v>40.04</v>
      </c>
      <c r="E74" s="1">
        <v>0.49998999999999999</v>
      </c>
      <c r="F74" s="1">
        <f>100876800*(10^-6)</f>
        <v>100.87679999999999</v>
      </c>
      <c r="G74" s="1">
        <v>4</v>
      </c>
      <c r="H74" s="1">
        <v>19.3</v>
      </c>
    </row>
    <row r="75" spans="1:8">
      <c r="A75" s="1">
        <v>14</v>
      </c>
      <c r="B75" s="1" t="s">
        <v>84</v>
      </c>
      <c r="C75" s="1">
        <v>81.88</v>
      </c>
      <c r="D75" s="1">
        <v>39.46</v>
      </c>
      <c r="E75" s="1">
        <v>0.46088699999999999</v>
      </c>
      <c r="F75" s="1">
        <f>51302400*(10^-6)</f>
        <v>51.302399999999999</v>
      </c>
      <c r="G75" s="1">
        <v>0</v>
      </c>
      <c r="H75" s="1">
        <v>15.63</v>
      </c>
    </row>
    <row r="76" spans="1:8">
      <c r="A76" s="1">
        <v>15</v>
      </c>
      <c r="B76" s="1" t="s">
        <v>85</v>
      </c>
      <c r="C76" s="1">
        <v>82.41</v>
      </c>
      <c r="D76" s="1">
        <v>39.479999999999997</v>
      </c>
      <c r="E76" s="1">
        <v>0.46235799999999999</v>
      </c>
      <c r="F76" s="1">
        <f>52531200*(10^-6)</f>
        <v>52.531199999999998</v>
      </c>
      <c r="G76" s="1">
        <v>2</v>
      </c>
      <c r="H76" s="1">
        <v>15.66</v>
      </c>
    </row>
    <row r="77" spans="1:8">
      <c r="A77" s="1">
        <v>16</v>
      </c>
      <c r="B77" s="1" t="s">
        <v>86</v>
      </c>
      <c r="C77" s="1">
        <v>81.75</v>
      </c>
      <c r="D77" s="1">
        <v>39.44</v>
      </c>
      <c r="E77" s="1">
        <v>0.45559500000000003</v>
      </c>
      <c r="F77" s="1">
        <f>44313600*(10^-6)</f>
        <v>44.313600000000001</v>
      </c>
      <c r="G77" s="1">
        <v>2</v>
      </c>
      <c r="H77" s="1">
        <v>15.46</v>
      </c>
    </row>
    <row r="78" spans="1:8">
      <c r="A78" s="1">
        <v>17</v>
      </c>
      <c r="B78" s="1" t="s">
        <v>87</v>
      </c>
      <c r="C78" s="1">
        <v>101.54</v>
      </c>
      <c r="D78" s="1">
        <v>40.03</v>
      </c>
      <c r="E78" s="1">
        <v>0.49997999999999998</v>
      </c>
      <c r="F78" s="1">
        <f>100608000*(10^-6)</f>
        <v>100.60799999999999</v>
      </c>
      <c r="G78" s="1">
        <v>8</v>
      </c>
      <c r="H78" s="1">
        <v>19.3</v>
      </c>
    </row>
    <row r="79" spans="1:8">
      <c r="A79" s="1">
        <v>18</v>
      </c>
      <c r="B79" s="1" t="s">
        <v>88</v>
      </c>
      <c r="C79" s="1">
        <v>92.04</v>
      </c>
      <c r="D79" s="1">
        <v>39.799999999999997</v>
      </c>
      <c r="E79" s="1">
        <v>0.49110700000000002</v>
      </c>
      <c r="F79" s="1">
        <f>69772800*(10^-6)</f>
        <v>69.772800000000004</v>
      </c>
      <c r="G79" s="1">
        <v>4</v>
      </c>
      <c r="H79" s="1">
        <v>17.579999999999998</v>
      </c>
    </row>
    <row r="80" spans="1:8">
      <c r="A80" s="1">
        <v>19</v>
      </c>
      <c r="B80" s="1" t="s">
        <v>89</v>
      </c>
      <c r="C80" s="1">
        <v>101.54</v>
      </c>
      <c r="D80" s="1">
        <v>40.03</v>
      </c>
      <c r="E80" s="1">
        <v>0.49997999999999998</v>
      </c>
      <c r="F80" s="1">
        <f>100608000*(10^-6)</f>
        <v>100.60799999999999</v>
      </c>
      <c r="G80" s="1">
        <v>8</v>
      </c>
      <c r="H80" s="1">
        <v>19.3</v>
      </c>
    </row>
    <row r="81" spans="1:8">
      <c r="A81" s="1">
        <v>20</v>
      </c>
      <c r="B81" s="1" t="s">
        <v>90</v>
      </c>
      <c r="C81" s="1">
        <v>101.54</v>
      </c>
      <c r="D81" s="1">
        <v>40.03</v>
      </c>
      <c r="E81" s="1">
        <v>0.49997999999999998</v>
      </c>
      <c r="F81" s="1">
        <f>100608000*(10^-6)</f>
        <v>100.60799999999999</v>
      </c>
      <c r="G81" s="1">
        <v>8</v>
      </c>
      <c r="H81" s="1">
        <v>19.3</v>
      </c>
    </row>
    <row r="82" spans="1:8">
      <c r="A82" s="1">
        <v>21</v>
      </c>
      <c r="B82" s="1" t="s">
        <v>91</v>
      </c>
      <c r="C82" s="1">
        <v>82.75</v>
      </c>
      <c r="D82" s="1">
        <v>39.49</v>
      </c>
      <c r="E82" s="1">
        <v>0.462588</v>
      </c>
      <c r="F82" s="1">
        <f>53875200*(10^-6)</f>
        <v>53.8752</v>
      </c>
      <c r="G82" s="1">
        <v>6</v>
      </c>
      <c r="H82" s="1">
        <v>15.67</v>
      </c>
    </row>
    <row r="83" spans="1:8">
      <c r="A83" s="1">
        <v>22</v>
      </c>
      <c r="B83" s="1" t="s">
        <v>92</v>
      </c>
      <c r="C83" s="1">
        <v>101.5</v>
      </c>
      <c r="D83" s="1">
        <v>40.03</v>
      </c>
      <c r="E83" s="1">
        <v>0.49999700000000002</v>
      </c>
      <c r="F83" s="1">
        <f>101222400*(10^-6)</f>
        <v>101.22239999999999</v>
      </c>
      <c r="G83" s="1">
        <v>8</v>
      </c>
      <c r="H83" s="1">
        <v>19.3</v>
      </c>
    </row>
    <row r="84" spans="1:8">
      <c r="A84" s="1">
        <v>23</v>
      </c>
      <c r="B84" s="1" t="s">
        <v>93</v>
      </c>
      <c r="C84" s="1">
        <v>101.75</v>
      </c>
      <c r="D84" s="1">
        <v>40.04</v>
      </c>
      <c r="E84" s="1">
        <v>0.49999199999999999</v>
      </c>
      <c r="F84" s="1">
        <f>101145600*(10^-6)</f>
        <v>101.1456</v>
      </c>
      <c r="G84" s="1">
        <v>0</v>
      </c>
      <c r="H84" s="1">
        <v>19.3</v>
      </c>
    </row>
    <row r="85" spans="1:8">
      <c r="A85" s="1">
        <v>24</v>
      </c>
      <c r="B85" s="1" t="s">
        <v>94</v>
      </c>
      <c r="C85" s="1">
        <v>83.04</v>
      </c>
      <c r="D85" s="1">
        <v>39.5</v>
      </c>
      <c r="E85" s="1">
        <v>0.46306399999999998</v>
      </c>
      <c r="F85" s="1">
        <f>53068800*(10^-6)</f>
        <v>53.068799999999996</v>
      </c>
      <c r="G85" s="1">
        <v>8</v>
      </c>
      <c r="H85" s="1">
        <v>15.69</v>
      </c>
    </row>
    <row r="86" spans="1:8">
      <c r="A86" s="1">
        <v>25</v>
      </c>
      <c r="B86" s="1" t="s">
        <v>95</v>
      </c>
      <c r="C86" s="1">
        <v>102.11</v>
      </c>
      <c r="D86" s="1">
        <v>40.049999999999997</v>
      </c>
      <c r="E86" s="1">
        <v>0.49998999999999999</v>
      </c>
      <c r="F86" s="1">
        <f>101414400*(10^-6)</f>
        <v>101.4144</v>
      </c>
      <c r="G86" s="1">
        <v>4</v>
      </c>
      <c r="H86" s="1">
        <v>19.309999999999999</v>
      </c>
    </row>
    <row r="87" spans="1:8">
      <c r="A87" s="1">
        <v>26</v>
      </c>
      <c r="B87" s="1" t="s">
        <v>96</v>
      </c>
      <c r="C87" s="1">
        <v>82.38</v>
      </c>
      <c r="D87" s="1">
        <v>39.479999999999997</v>
      </c>
      <c r="E87" s="1">
        <v>0.46315299999999998</v>
      </c>
      <c r="F87" s="1">
        <f>53337600*(10^-6)</f>
        <v>53.337599999999995</v>
      </c>
      <c r="G87" s="1">
        <v>8</v>
      </c>
      <c r="H87" s="1">
        <v>15.67</v>
      </c>
    </row>
    <row r="88" spans="1:8">
      <c r="A88" s="1">
        <v>27</v>
      </c>
      <c r="B88" s="1" t="s">
        <v>97</v>
      </c>
      <c r="C88" s="1">
        <v>61.75</v>
      </c>
      <c r="D88" s="1">
        <v>38.64</v>
      </c>
      <c r="E88" s="1">
        <v>0.38991300000000001</v>
      </c>
      <c r="F88" s="1">
        <f>31296000*(10^-6)</f>
        <v>31.295999999999999</v>
      </c>
      <c r="G88" s="1">
        <v>6</v>
      </c>
      <c r="H88" s="1">
        <v>11.71</v>
      </c>
    </row>
    <row r="89" spans="1:8">
      <c r="A89" s="1">
        <v>28</v>
      </c>
      <c r="B89" s="1" t="s">
        <v>98</v>
      </c>
      <c r="C89" s="1">
        <v>101.54</v>
      </c>
      <c r="D89" s="1">
        <v>40.03</v>
      </c>
      <c r="E89" s="1">
        <v>0.49997999999999998</v>
      </c>
      <c r="F89" s="1">
        <f>100608000*(10^-6)</f>
        <v>100.60799999999999</v>
      </c>
      <c r="G89" s="1">
        <v>8</v>
      </c>
      <c r="H89" s="1">
        <v>19.3</v>
      </c>
    </row>
    <row r="90" spans="1:8">
      <c r="A90" s="1">
        <v>29</v>
      </c>
      <c r="B90" s="1" t="s">
        <v>99</v>
      </c>
      <c r="C90" s="1">
        <v>64.099999999999994</v>
      </c>
      <c r="D90" s="1">
        <v>38.96</v>
      </c>
      <c r="E90" s="1">
        <v>0.460615</v>
      </c>
      <c r="F90" s="1">
        <f>53760000*(10^-6)</f>
        <v>53.76</v>
      </c>
      <c r="G90" s="1">
        <v>2</v>
      </c>
      <c r="H90" s="1">
        <v>12.07</v>
      </c>
    </row>
    <row r="91" spans="1:8">
      <c r="A91" s="1">
        <v>30</v>
      </c>
      <c r="B91" s="1" t="s">
        <v>100</v>
      </c>
      <c r="C91" s="1">
        <v>82.71</v>
      </c>
      <c r="D91" s="1">
        <v>39.49</v>
      </c>
      <c r="E91" s="1">
        <v>0.46298699999999998</v>
      </c>
      <c r="F91" s="1">
        <f>52723200*(10^-6)</f>
        <v>52.723199999999999</v>
      </c>
      <c r="G91" s="1">
        <v>8</v>
      </c>
      <c r="H91" s="1">
        <v>15.67</v>
      </c>
    </row>
    <row r="92" spans="1:8">
      <c r="A92" s="1">
        <v>31</v>
      </c>
      <c r="B92" s="1" t="s">
        <v>101</v>
      </c>
      <c r="C92" s="1">
        <v>83</v>
      </c>
      <c r="D92" s="1">
        <v>39.49</v>
      </c>
      <c r="E92" s="1">
        <v>0.46206000000000003</v>
      </c>
      <c r="F92" s="1">
        <f>51878400*(10^-6)</f>
        <v>51.878399999999999</v>
      </c>
      <c r="G92" s="1">
        <v>2</v>
      </c>
      <c r="H92" s="1">
        <v>15.69</v>
      </c>
    </row>
    <row r="93" spans="1:8">
      <c r="A93" s="1">
        <v>32</v>
      </c>
      <c r="B93" s="1" t="s">
        <v>102</v>
      </c>
      <c r="C93" s="1">
        <v>81.75</v>
      </c>
      <c r="D93" s="1">
        <v>39.44</v>
      </c>
      <c r="E93" s="1">
        <v>0.45559500000000003</v>
      </c>
      <c r="F93" s="1">
        <f>44313600*(10^-6)</f>
        <v>44.313600000000001</v>
      </c>
      <c r="G93" s="1">
        <v>2</v>
      </c>
      <c r="H93" s="1">
        <v>15.46</v>
      </c>
    </row>
    <row r="94" spans="1:8">
      <c r="A94" s="1">
        <v>33</v>
      </c>
      <c r="B94" s="1" t="s">
        <v>103</v>
      </c>
      <c r="C94" s="1">
        <v>101.54</v>
      </c>
      <c r="D94" s="1">
        <v>40.03</v>
      </c>
      <c r="E94" s="1">
        <v>0.49997999999999998</v>
      </c>
      <c r="F94" s="1">
        <f>100608000*(10^-6)</f>
        <v>100.60799999999999</v>
      </c>
      <c r="G94" s="1">
        <v>8</v>
      </c>
      <c r="H94" s="1">
        <v>19.3</v>
      </c>
    </row>
    <row r="95" spans="1:8">
      <c r="A95" s="1">
        <v>34</v>
      </c>
      <c r="B95" s="1" t="s">
        <v>104</v>
      </c>
      <c r="C95" s="1">
        <v>102.01</v>
      </c>
      <c r="D95" s="1">
        <v>40.04</v>
      </c>
      <c r="E95" s="1">
        <v>0.49996800000000002</v>
      </c>
      <c r="F95" s="1">
        <f>100915200*(10^-6)</f>
        <v>100.9152</v>
      </c>
      <c r="G95" s="1">
        <v>8</v>
      </c>
      <c r="H95" s="1">
        <v>19.3</v>
      </c>
    </row>
    <row r="96" spans="1:8">
      <c r="A96" s="1">
        <v>35</v>
      </c>
      <c r="B96" s="1" t="s">
        <v>105</v>
      </c>
      <c r="C96" s="1">
        <v>101.85</v>
      </c>
      <c r="D96" s="1">
        <v>40.04</v>
      </c>
      <c r="E96" s="1">
        <v>0.49998900000000002</v>
      </c>
      <c r="F96" s="1">
        <f>101145600*(10^-6)</f>
        <v>101.1456</v>
      </c>
      <c r="G96" s="1">
        <v>4</v>
      </c>
      <c r="H96" s="1">
        <v>19.3</v>
      </c>
    </row>
    <row r="97" spans="1:8">
      <c r="A97" s="1">
        <v>36</v>
      </c>
      <c r="B97" s="1" t="s">
        <v>106</v>
      </c>
      <c r="C97" s="1">
        <v>101.64</v>
      </c>
      <c r="D97" s="1">
        <v>40.04</v>
      </c>
      <c r="E97" s="1">
        <v>0.49998999999999999</v>
      </c>
      <c r="F97" s="1">
        <f>100876800*(10^-6)</f>
        <v>100.87679999999999</v>
      </c>
      <c r="G97" s="1">
        <v>4</v>
      </c>
      <c r="H97" s="1">
        <v>19.3</v>
      </c>
    </row>
    <row r="98" spans="1:8">
      <c r="A98" s="1">
        <v>37</v>
      </c>
      <c r="B98" s="1" t="s">
        <v>107</v>
      </c>
      <c r="C98" s="1">
        <v>82.54</v>
      </c>
      <c r="D98" s="1">
        <v>39.49</v>
      </c>
      <c r="E98" s="1">
        <v>0.46421000000000001</v>
      </c>
      <c r="F98" s="1">
        <f>54412800*(10^-6)</f>
        <v>54.412799999999997</v>
      </c>
      <c r="G98" s="1">
        <v>0</v>
      </c>
      <c r="H98" s="1">
        <v>15.7</v>
      </c>
    </row>
    <row r="99" spans="1:8">
      <c r="A99" s="1">
        <v>38</v>
      </c>
      <c r="B99" s="1" t="s">
        <v>108</v>
      </c>
      <c r="C99" s="1">
        <v>82.66</v>
      </c>
      <c r="D99" s="1">
        <v>39.49</v>
      </c>
      <c r="E99" s="1">
        <v>0.46282499999999999</v>
      </c>
      <c r="F99" s="1">
        <f>53184000*(10^-6)</f>
        <v>53.183999999999997</v>
      </c>
      <c r="G99" s="1">
        <v>0</v>
      </c>
      <c r="H99" s="1">
        <v>15.68</v>
      </c>
    </row>
    <row r="100" spans="1:8">
      <c r="A100" s="1">
        <v>39</v>
      </c>
      <c r="B100" s="1" t="s">
        <v>109</v>
      </c>
      <c r="C100" s="1">
        <v>83.11</v>
      </c>
      <c r="D100" s="1">
        <v>39.5</v>
      </c>
      <c r="E100" s="1">
        <v>0.46430199999999999</v>
      </c>
      <c r="F100" s="1">
        <f>54259200*(10^-6)</f>
        <v>54.2592</v>
      </c>
      <c r="G100" s="1">
        <v>2</v>
      </c>
      <c r="H100" s="1">
        <v>15.71</v>
      </c>
    </row>
    <row r="101" spans="1:8">
      <c r="A101" s="1">
        <v>40</v>
      </c>
      <c r="B101" s="1" t="s">
        <v>110</v>
      </c>
      <c r="C101" s="1">
        <v>82.48</v>
      </c>
      <c r="D101" s="1">
        <v>39.479999999999997</v>
      </c>
      <c r="E101" s="1">
        <v>0.46141300000000002</v>
      </c>
      <c r="F101" s="1">
        <f>52454400*(10^-6)</f>
        <v>52.4544</v>
      </c>
      <c r="G101" s="1">
        <v>2</v>
      </c>
      <c r="H101" s="1">
        <v>15.65</v>
      </c>
    </row>
    <row r="102" spans="1:8">
      <c r="A102" s="1">
        <v>41</v>
      </c>
      <c r="B102" s="1" t="s">
        <v>111</v>
      </c>
      <c r="C102" s="1">
        <v>101.35</v>
      </c>
      <c r="D102" s="1">
        <v>40.03</v>
      </c>
      <c r="E102" s="1">
        <v>0.49999300000000002</v>
      </c>
      <c r="F102" s="1">
        <f>100800000*(10^-6)</f>
        <v>100.8</v>
      </c>
      <c r="G102" s="1">
        <v>8</v>
      </c>
      <c r="H102" s="1">
        <v>19.3</v>
      </c>
    </row>
    <row r="103" spans="1:8">
      <c r="A103" s="1">
        <v>42</v>
      </c>
      <c r="B103" s="1" t="s">
        <v>112</v>
      </c>
      <c r="C103" s="1">
        <v>82.5</v>
      </c>
      <c r="D103" s="1">
        <v>39.479999999999997</v>
      </c>
      <c r="E103" s="1">
        <v>0.46345999999999998</v>
      </c>
      <c r="F103" s="1">
        <f>52416000*(10^-6)</f>
        <v>52.415999999999997</v>
      </c>
      <c r="G103" s="1">
        <v>2</v>
      </c>
      <c r="H103" s="1">
        <v>15.67</v>
      </c>
    </row>
    <row r="104" spans="1:8">
      <c r="A104" s="1">
        <v>43</v>
      </c>
      <c r="B104" s="1" t="s">
        <v>113</v>
      </c>
      <c r="C104" s="1">
        <v>102.01</v>
      </c>
      <c r="D104" s="1">
        <v>40.04</v>
      </c>
      <c r="E104" s="1">
        <v>0.49996800000000002</v>
      </c>
      <c r="F104" s="1">
        <f>100915200*(10^-6)</f>
        <v>100.9152</v>
      </c>
      <c r="G104" s="1">
        <v>8</v>
      </c>
      <c r="H104" s="1">
        <v>19.3</v>
      </c>
    </row>
    <row r="105" spans="1:8">
      <c r="A105" s="1">
        <v>44</v>
      </c>
      <c r="B105" s="1" t="s">
        <v>114</v>
      </c>
      <c r="C105" s="1">
        <v>101.78</v>
      </c>
      <c r="D105" s="1">
        <v>40.04</v>
      </c>
      <c r="E105" s="1">
        <v>0.49999500000000002</v>
      </c>
      <c r="F105" s="1">
        <f>101452800*(10^-6)</f>
        <v>101.4528</v>
      </c>
      <c r="G105" s="1">
        <v>8</v>
      </c>
      <c r="H105" s="1">
        <v>19.3</v>
      </c>
    </row>
    <row r="106" spans="1:8">
      <c r="A106" s="1">
        <v>45</v>
      </c>
      <c r="B106" s="1" t="s">
        <v>115</v>
      </c>
      <c r="C106" s="1">
        <v>101.54</v>
      </c>
      <c r="D106" s="1">
        <v>40.03</v>
      </c>
      <c r="E106" s="1">
        <v>0.49997999999999998</v>
      </c>
      <c r="F106" s="1">
        <f>100608000*(10^-6)</f>
        <v>100.60799999999999</v>
      </c>
      <c r="G106" s="1">
        <v>8</v>
      </c>
      <c r="H106" s="1">
        <v>19.3</v>
      </c>
    </row>
    <row r="107" spans="1:8">
      <c r="A107" s="1">
        <v>46</v>
      </c>
      <c r="B107" s="1" t="s">
        <v>116</v>
      </c>
      <c r="C107" s="1">
        <v>83.01</v>
      </c>
      <c r="D107" s="1">
        <v>39.5</v>
      </c>
      <c r="E107" s="1">
        <v>0.46248499999999998</v>
      </c>
      <c r="F107" s="1">
        <f>53299200*(10^-6)</f>
        <v>53.299199999999999</v>
      </c>
      <c r="G107" s="1">
        <v>2</v>
      </c>
      <c r="H107" s="1">
        <v>15.67</v>
      </c>
    </row>
    <row r="108" spans="1:8">
      <c r="A108" s="1">
        <v>47</v>
      </c>
      <c r="B108" s="1" t="s">
        <v>117</v>
      </c>
      <c r="C108" s="1">
        <v>101.54</v>
      </c>
      <c r="D108" s="1">
        <v>40.03</v>
      </c>
      <c r="E108" s="1">
        <v>0.49997999999999998</v>
      </c>
      <c r="F108" s="1">
        <f>100608000*(10^-6)</f>
        <v>100.60799999999999</v>
      </c>
      <c r="G108" s="1">
        <v>8</v>
      </c>
      <c r="H108" s="1">
        <v>19.3</v>
      </c>
    </row>
    <row r="109" spans="1:8">
      <c r="A109" s="1">
        <v>48</v>
      </c>
      <c r="B109" s="1" t="s">
        <v>118</v>
      </c>
      <c r="C109" s="1">
        <v>81.61</v>
      </c>
      <c r="D109" s="1">
        <v>37.869999999999997</v>
      </c>
      <c r="E109" s="1">
        <v>0.40135399999999999</v>
      </c>
      <c r="F109" s="1">
        <f>691200*(10^-6)</f>
        <v>0.69119999999999993</v>
      </c>
      <c r="G109" s="1">
        <v>0</v>
      </c>
      <c r="H109" s="1">
        <v>15.43</v>
      </c>
    </row>
    <row r="110" spans="1:8">
      <c r="A110" s="1">
        <v>49</v>
      </c>
      <c r="B110" s="1" t="s">
        <v>119</v>
      </c>
      <c r="C110" s="1">
        <v>81.680000000000007</v>
      </c>
      <c r="D110" s="1">
        <v>39.450000000000003</v>
      </c>
      <c r="E110" s="1">
        <v>0.45818700000000001</v>
      </c>
      <c r="F110" s="1">
        <f>50227200*(10^-6)</f>
        <v>50.227199999999996</v>
      </c>
      <c r="G110" s="1">
        <v>8</v>
      </c>
      <c r="H110" s="1">
        <v>15.49</v>
      </c>
    </row>
    <row r="111" spans="1:8">
      <c r="A111" s="1">
        <v>50</v>
      </c>
      <c r="B111" s="1" t="s">
        <v>120</v>
      </c>
      <c r="C111" s="1">
        <v>101.64</v>
      </c>
      <c r="D111" s="1">
        <v>40.04</v>
      </c>
      <c r="E111" s="1">
        <v>0.49998999999999999</v>
      </c>
      <c r="F111" s="1">
        <f>100876800*(10^-6)</f>
        <v>100.87679999999999</v>
      </c>
      <c r="G111" s="1">
        <v>4</v>
      </c>
      <c r="H111" s="1">
        <v>19.3</v>
      </c>
    </row>
    <row r="112" spans="1:8">
      <c r="B112" s="1" t="s">
        <v>19</v>
      </c>
      <c r="C112" s="1">
        <f>AVERAGE(C62:C111)</f>
        <v>92.327200000000005</v>
      </c>
      <c r="D112" s="1">
        <f t="shared" ref="D112" si="7">AVERAGE(D62:D111)</f>
        <v>39.729399999999998</v>
      </c>
      <c r="E112" s="1">
        <f t="shared" ref="E112" si="8">AVERAGE(E62:E111)</f>
        <v>0.48054344000000015</v>
      </c>
      <c r="F112" s="1">
        <f t="shared" ref="F112" si="9">AVERAGE(F62:F111)</f>
        <v>77.113344000000012</v>
      </c>
      <c r="H112" s="1">
        <f t="shared" ref="H112" si="10">AVERAGE(H62:H111)</f>
        <v>17.518199999999993</v>
      </c>
    </row>
    <row r="113" spans="1:8">
      <c r="B113" s="1" t="s">
        <v>20</v>
      </c>
      <c r="C113" s="1">
        <f>MIN(C61:C111)</f>
        <v>61.75</v>
      </c>
      <c r="D113" s="1">
        <f t="shared" ref="D113:F113" si="11">MIN(D61:D111)</f>
        <v>37.869999999999997</v>
      </c>
      <c r="E113" s="1">
        <f t="shared" si="11"/>
        <v>0.38991300000000001</v>
      </c>
      <c r="F113" s="1">
        <f t="shared" si="11"/>
        <v>0.69119999999999993</v>
      </c>
      <c r="H113" s="1">
        <f t="shared" ref="H113" si="12">MIN(H61:H111)</f>
        <v>11.71</v>
      </c>
    </row>
    <row r="114" spans="1:8">
      <c r="B114" s="1" t="s">
        <v>3</v>
      </c>
      <c r="C114" s="1">
        <f>STDEV(C62:C111)</f>
        <v>11.051170967598857</v>
      </c>
      <c r="D114" s="1">
        <f t="shared" ref="D114:E114" si="13">STDEV(D62:D111)</f>
        <v>0.42667394232745476</v>
      </c>
      <c r="E114" s="1">
        <f t="shared" si="13"/>
        <v>2.5430836981064794E-2</v>
      </c>
      <c r="F114" s="1">
        <f>STDEV(F62:F111)</f>
        <v>27.307542287457643</v>
      </c>
      <c r="H114" s="1">
        <f>STDEV(H62:H111)</f>
        <v>2.1086959796741813</v>
      </c>
    </row>
    <row r="116" spans="1:8">
      <c r="H116" s="2" t="s">
        <v>1435</v>
      </c>
    </row>
    <row r="117" spans="1:8" ht="18">
      <c r="A117" s="2" t="s">
        <v>7</v>
      </c>
      <c r="B117" s="3" t="s">
        <v>1</v>
      </c>
      <c r="C117" s="2" t="s">
        <v>4</v>
      </c>
      <c r="D117" s="2" t="s">
        <v>322</v>
      </c>
      <c r="E117" s="2" t="s">
        <v>321</v>
      </c>
      <c r="F117" s="2" t="s">
        <v>324</v>
      </c>
      <c r="G117" s="2" t="s">
        <v>323</v>
      </c>
      <c r="H117" s="2" t="s">
        <v>1436</v>
      </c>
    </row>
    <row r="118" spans="1:8">
      <c r="A118" s="1">
        <v>1</v>
      </c>
      <c r="B118" s="1" t="s">
        <v>121</v>
      </c>
      <c r="C118" s="1">
        <v>82.2</v>
      </c>
      <c r="D118" s="1">
        <v>78.91</v>
      </c>
      <c r="E118" s="1">
        <v>0.45835700000000001</v>
      </c>
      <c r="F118" s="1">
        <f>42086400*(10^-6)</f>
        <v>42.086399999999998</v>
      </c>
      <c r="G118" s="1">
        <v>6</v>
      </c>
      <c r="H118" s="1">
        <v>15.57</v>
      </c>
    </row>
    <row r="119" spans="1:8">
      <c r="A119" s="1">
        <v>2</v>
      </c>
      <c r="B119" s="1" t="s">
        <v>122</v>
      </c>
      <c r="C119" s="1">
        <v>82.65</v>
      </c>
      <c r="D119" s="1">
        <v>78.97</v>
      </c>
      <c r="E119" s="1">
        <v>0.46279700000000001</v>
      </c>
      <c r="F119" s="1">
        <f>53337600*(10^-6)</f>
        <v>53.337599999999995</v>
      </c>
      <c r="G119" s="1">
        <v>16</v>
      </c>
      <c r="H119" s="1">
        <v>15.68</v>
      </c>
    </row>
    <row r="120" spans="1:8">
      <c r="A120" s="1">
        <v>3</v>
      </c>
      <c r="B120" s="1" t="s">
        <v>123</v>
      </c>
      <c r="C120" s="1">
        <v>101.47</v>
      </c>
      <c r="D120" s="1">
        <v>80.06</v>
      </c>
      <c r="E120" s="1">
        <v>0.49998399999999998</v>
      </c>
      <c r="F120" s="1">
        <f>100838400*(10^-6)</f>
        <v>100.83839999999999</v>
      </c>
      <c r="G120" s="1">
        <v>0</v>
      </c>
      <c r="H120" s="1">
        <v>19.3</v>
      </c>
    </row>
    <row r="121" spans="1:8">
      <c r="A121" s="1">
        <v>4</v>
      </c>
      <c r="B121" s="1" t="s">
        <v>124</v>
      </c>
      <c r="C121" s="1">
        <v>81.319999999999993</v>
      </c>
      <c r="D121" s="1">
        <v>77.72</v>
      </c>
      <c r="E121" s="1">
        <v>0.428759</v>
      </c>
      <c r="F121" s="1">
        <f>1881600*(10^-6)</f>
        <v>1.8815999999999999</v>
      </c>
      <c r="G121" s="1">
        <v>6</v>
      </c>
      <c r="H121" s="1">
        <v>15.43</v>
      </c>
    </row>
    <row r="122" spans="1:8">
      <c r="A122" s="1">
        <v>5</v>
      </c>
      <c r="B122" s="1" t="s">
        <v>125</v>
      </c>
      <c r="C122" s="1">
        <v>83.91</v>
      </c>
      <c r="D122" s="1">
        <v>79.05</v>
      </c>
      <c r="E122" s="1">
        <v>0.465227</v>
      </c>
      <c r="F122" s="1">
        <f>48921600*(10^-6)</f>
        <v>48.921599999999998</v>
      </c>
      <c r="G122" s="1">
        <v>14</v>
      </c>
      <c r="H122" s="1">
        <v>15.86</v>
      </c>
    </row>
    <row r="123" spans="1:8">
      <c r="A123" s="1">
        <v>6</v>
      </c>
      <c r="B123" s="1" t="s">
        <v>126</v>
      </c>
      <c r="C123" s="1">
        <v>83.47</v>
      </c>
      <c r="D123" s="1">
        <v>79.02</v>
      </c>
      <c r="E123" s="1">
        <v>0.46535100000000001</v>
      </c>
      <c r="F123" s="1">
        <f>47116800*(10^-6)</f>
        <v>47.116799999999998</v>
      </c>
      <c r="G123" s="1">
        <v>8</v>
      </c>
      <c r="H123" s="1">
        <v>15.86</v>
      </c>
    </row>
    <row r="124" spans="1:8">
      <c r="A124" s="1">
        <v>7</v>
      </c>
      <c r="B124" s="1" t="s">
        <v>127</v>
      </c>
      <c r="C124" s="1">
        <v>72.5</v>
      </c>
      <c r="D124" s="1">
        <v>78.38</v>
      </c>
      <c r="E124" s="1">
        <v>0.45155099999999998</v>
      </c>
      <c r="F124" s="1">
        <f>50880000*(10^-6)</f>
        <v>50.879999999999995</v>
      </c>
      <c r="G124" s="1">
        <v>16</v>
      </c>
      <c r="H124" s="1">
        <v>13.77</v>
      </c>
    </row>
    <row r="125" spans="1:8">
      <c r="A125" s="1">
        <v>8</v>
      </c>
      <c r="B125" s="1" t="s">
        <v>128</v>
      </c>
      <c r="C125" s="1">
        <v>82.51</v>
      </c>
      <c r="D125" s="1">
        <v>78.97</v>
      </c>
      <c r="E125" s="1">
        <v>0.46384199999999998</v>
      </c>
      <c r="F125" s="1">
        <f>51955200*(10^-6)</f>
        <v>51.955199999999998</v>
      </c>
      <c r="G125" s="1">
        <v>12</v>
      </c>
      <c r="H125" s="1">
        <v>15.69</v>
      </c>
    </row>
    <row r="126" spans="1:8">
      <c r="A126" s="1">
        <v>9</v>
      </c>
      <c r="B126" s="1" t="s">
        <v>129</v>
      </c>
      <c r="C126" s="1">
        <v>80.16</v>
      </c>
      <c r="D126" s="1">
        <v>78.83</v>
      </c>
      <c r="E126" s="1">
        <v>0.46088200000000001</v>
      </c>
      <c r="F126" s="1">
        <f>44889600*(10^-6)</f>
        <v>44.889600000000002</v>
      </c>
      <c r="G126" s="1">
        <v>2</v>
      </c>
      <c r="H126" s="1">
        <v>15.21</v>
      </c>
    </row>
    <row r="127" spans="1:8">
      <c r="A127" s="1">
        <v>10</v>
      </c>
      <c r="B127" s="1" t="s">
        <v>130</v>
      </c>
      <c r="C127" s="1">
        <v>82.81</v>
      </c>
      <c r="D127" s="1">
        <v>78.98</v>
      </c>
      <c r="E127" s="1">
        <v>0.46263700000000002</v>
      </c>
      <c r="F127" s="1">
        <f>52684800*(10^-6)</f>
        <v>52.684799999999996</v>
      </c>
      <c r="G127" s="1">
        <v>16</v>
      </c>
      <c r="H127" s="1">
        <v>15.68</v>
      </c>
    </row>
    <row r="128" spans="1:8">
      <c r="A128" s="1">
        <v>11</v>
      </c>
      <c r="B128" s="1" t="s">
        <v>131</v>
      </c>
      <c r="C128" s="1">
        <v>92.17</v>
      </c>
      <c r="D128" s="1">
        <v>79.52</v>
      </c>
      <c r="E128" s="1">
        <v>0.47902099999999997</v>
      </c>
      <c r="F128" s="1">
        <f>52838400*(10^-6)</f>
        <v>52.8384</v>
      </c>
      <c r="G128" s="1">
        <v>18</v>
      </c>
      <c r="H128" s="1">
        <v>17.48</v>
      </c>
    </row>
    <row r="129" spans="1:8">
      <c r="A129" s="1">
        <v>12</v>
      </c>
      <c r="B129" s="1" t="s">
        <v>132</v>
      </c>
      <c r="C129" s="1">
        <v>101.93</v>
      </c>
      <c r="D129" s="1">
        <v>80.08</v>
      </c>
      <c r="E129" s="1">
        <v>0.49997599999999998</v>
      </c>
      <c r="F129" s="1">
        <f>100723200*(10^-6)</f>
        <v>100.72319999999999</v>
      </c>
      <c r="G129" s="1">
        <v>4</v>
      </c>
      <c r="H129" s="1">
        <v>19.3</v>
      </c>
    </row>
    <row r="130" spans="1:8">
      <c r="A130" s="1">
        <v>13</v>
      </c>
      <c r="B130" s="1" t="s">
        <v>133</v>
      </c>
      <c r="C130" s="1">
        <v>89.73</v>
      </c>
      <c r="D130" s="1">
        <v>79.39</v>
      </c>
      <c r="E130" s="1">
        <v>0.47666900000000001</v>
      </c>
      <c r="F130" s="1">
        <f>50342400*(10^-6)</f>
        <v>50.342399999999998</v>
      </c>
      <c r="G130" s="1">
        <v>2</v>
      </c>
      <c r="H130" s="1">
        <v>17.05</v>
      </c>
    </row>
    <row r="131" spans="1:8">
      <c r="A131" s="1">
        <v>14</v>
      </c>
      <c r="B131" s="1" t="s">
        <v>134</v>
      </c>
      <c r="C131" s="1">
        <v>91.56</v>
      </c>
      <c r="D131" s="1">
        <v>77.8</v>
      </c>
      <c r="E131" s="1">
        <v>0.45052500000000001</v>
      </c>
      <c r="F131" s="1">
        <f>537600*(10^-6)</f>
        <v>0.53759999999999997</v>
      </c>
      <c r="G131" s="1">
        <v>4</v>
      </c>
      <c r="H131" s="1">
        <v>17.36</v>
      </c>
    </row>
    <row r="132" spans="1:8">
      <c r="A132" s="1">
        <v>15</v>
      </c>
      <c r="B132" s="1" t="s">
        <v>135</v>
      </c>
      <c r="C132" s="1">
        <v>82.69</v>
      </c>
      <c r="D132" s="1">
        <v>78.97</v>
      </c>
      <c r="E132" s="1">
        <v>0.46249600000000002</v>
      </c>
      <c r="F132" s="1">
        <f>52108800*(10^-6)</f>
        <v>52.108799999999995</v>
      </c>
      <c r="G132" s="1">
        <v>10</v>
      </c>
      <c r="H132" s="1">
        <v>15.66</v>
      </c>
    </row>
    <row r="133" spans="1:8">
      <c r="A133" s="1">
        <v>16</v>
      </c>
      <c r="B133" s="1" t="s">
        <v>136</v>
      </c>
      <c r="C133" s="1">
        <v>82.18</v>
      </c>
      <c r="D133" s="1">
        <v>78.92</v>
      </c>
      <c r="E133" s="1">
        <v>0.458372</v>
      </c>
      <c r="F133" s="1">
        <f>43392000*(10^-6)</f>
        <v>43.391999999999996</v>
      </c>
      <c r="G133" s="1">
        <v>16</v>
      </c>
      <c r="H133" s="1">
        <v>15.56</v>
      </c>
    </row>
    <row r="134" spans="1:8">
      <c r="A134" s="1">
        <v>17</v>
      </c>
      <c r="B134" s="1" t="s">
        <v>137</v>
      </c>
      <c r="C134" s="1">
        <v>72.73</v>
      </c>
      <c r="D134" s="1">
        <v>78.38</v>
      </c>
      <c r="E134" s="1">
        <v>0.44952700000000001</v>
      </c>
      <c r="F134" s="1">
        <f>45158400*(10^-6)</f>
        <v>45.1584</v>
      </c>
      <c r="G134" s="1">
        <v>14</v>
      </c>
      <c r="H134" s="1">
        <v>13.76</v>
      </c>
    </row>
    <row r="135" spans="1:8">
      <c r="A135" s="1">
        <v>18</v>
      </c>
      <c r="B135" s="1" t="s">
        <v>138</v>
      </c>
      <c r="C135" s="1">
        <v>89.03</v>
      </c>
      <c r="D135" s="1" t="e">
        <f>-inf</f>
        <v>#NAME?</v>
      </c>
      <c r="E135" s="1">
        <v>0.44684600000000002</v>
      </c>
      <c r="F135" s="1">
        <f>0*(10^-6)</f>
        <v>0</v>
      </c>
      <c r="G135" s="1">
        <v>8</v>
      </c>
      <c r="H135" s="1">
        <v>16.87</v>
      </c>
    </row>
    <row r="136" spans="1:8">
      <c r="A136" s="1">
        <v>19</v>
      </c>
      <c r="B136" s="1" t="s">
        <v>139</v>
      </c>
      <c r="C136" s="1">
        <v>74.739999999999995</v>
      </c>
      <c r="D136" s="1">
        <v>78.53</v>
      </c>
      <c r="E136" s="1">
        <v>0.45654</v>
      </c>
      <c r="F136" s="1">
        <f>46771200*(10^-6)</f>
        <v>46.7712</v>
      </c>
      <c r="G136" s="1">
        <v>4</v>
      </c>
      <c r="H136" s="1">
        <v>14.17</v>
      </c>
    </row>
    <row r="137" spans="1:8">
      <c r="A137" s="1">
        <v>20</v>
      </c>
      <c r="B137" s="1" t="s">
        <v>140</v>
      </c>
      <c r="C137" s="1">
        <v>72.55</v>
      </c>
      <c r="D137" s="1">
        <v>78.209999999999994</v>
      </c>
      <c r="E137" s="1">
        <v>0.43188700000000002</v>
      </c>
      <c r="F137" s="1">
        <f>36096000*(10^-6)</f>
        <v>36.095999999999997</v>
      </c>
      <c r="G137" s="1">
        <v>14</v>
      </c>
      <c r="H137" s="1">
        <v>13.74</v>
      </c>
    </row>
    <row r="138" spans="1:8">
      <c r="A138" s="1">
        <v>21</v>
      </c>
      <c r="B138" s="1" t="s">
        <v>141</v>
      </c>
      <c r="C138" s="1">
        <v>62.89</v>
      </c>
      <c r="D138" s="1">
        <v>77.81</v>
      </c>
      <c r="E138" s="1">
        <v>0.45492500000000002</v>
      </c>
      <c r="F138" s="1">
        <f>46272000*(10^-6)</f>
        <v>46.271999999999998</v>
      </c>
      <c r="G138" s="1">
        <v>18</v>
      </c>
      <c r="H138" s="1">
        <v>11.9</v>
      </c>
    </row>
    <row r="139" spans="1:8">
      <c r="A139" s="1">
        <v>22</v>
      </c>
      <c r="B139" s="1" t="s">
        <v>142</v>
      </c>
      <c r="C139" s="1">
        <v>82.56</v>
      </c>
      <c r="D139" s="1">
        <v>78.97</v>
      </c>
      <c r="E139" s="1">
        <v>0.46269900000000003</v>
      </c>
      <c r="F139" s="1">
        <f>52800000*(10^-6)</f>
        <v>52.8</v>
      </c>
      <c r="G139" s="1">
        <v>4</v>
      </c>
      <c r="H139" s="1">
        <v>15.68</v>
      </c>
    </row>
    <row r="140" spans="1:8">
      <c r="A140" s="1">
        <v>23</v>
      </c>
      <c r="B140" s="1" t="s">
        <v>143</v>
      </c>
      <c r="C140" s="1">
        <v>72.45</v>
      </c>
      <c r="D140" s="1">
        <v>77.89</v>
      </c>
      <c r="E140" s="1">
        <v>0.40904400000000002</v>
      </c>
      <c r="F140" s="1">
        <f>20851200*(10^-6)</f>
        <v>20.851199999999999</v>
      </c>
      <c r="G140" s="1">
        <v>8</v>
      </c>
      <c r="H140" s="1">
        <v>13.71</v>
      </c>
    </row>
    <row r="141" spans="1:8">
      <c r="A141" s="1">
        <v>24</v>
      </c>
      <c r="B141" s="1" t="s">
        <v>144</v>
      </c>
      <c r="C141" s="1">
        <v>92.39</v>
      </c>
      <c r="D141" s="1">
        <v>79.53</v>
      </c>
      <c r="E141" s="1">
        <v>0.47900900000000002</v>
      </c>
      <c r="F141" s="1">
        <f>52723200*(10^-6)</f>
        <v>52.723199999999999</v>
      </c>
      <c r="G141" s="1">
        <v>0</v>
      </c>
      <c r="H141" s="1">
        <v>17.48</v>
      </c>
    </row>
    <row r="142" spans="1:8">
      <c r="A142" s="1">
        <v>25</v>
      </c>
      <c r="B142" s="1" t="s">
        <v>145</v>
      </c>
      <c r="C142" s="1">
        <v>91.99</v>
      </c>
      <c r="D142" s="1">
        <v>79.52</v>
      </c>
      <c r="E142" s="1">
        <v>0.47968</v>
      </c>
      <c r="F142" s="1">
        <f>52377600*(10^-6)</f>
        <v>52.377600000000001</v>
      </c>
      <c r="G142" s="1">
        <v>2</v>
      </c>
      <c r="H142" s="1">
        <v>17.489999999999998</v>
      </c>
    </row>
    <row r="143" spans="1:8">
      <c r="A143" s="1">
        <v>26</v>
      </c>
      <c r="B143" s="1" t="s">
        <v>146</v>
      </c>
      <c r="C143" s="1">
        <v>96.65</v>
      </c>
      <c r="D143" s="1">
        <v>79.819999999999993</v>
      </c>
      <c r="E143" s="1">
        <v>0.494448</v>
      </c>
      <c r="F143" s="1">
        <f>73228800*(10^-6)</f>
        <v>73.228799999999993</v>
      </c>
      <c r="G143" s="1">
        <v>16</v>
      </c>
      <c r="H143" s="1">
        <v>18.34</v>
      </c>
    </row>
    <row r="144" spans="1:8">
      <c r="A144" s="1">
        <v>27</v>
      </c>
      <c r="B144" s="1" t="s">
        <v>147</v>
      </c>
      <c r="C144" s="1">
        <v>63.18</v>
      </c>
      <c r="D144" s="1">
        <v>77.650000000000006</v>
      </c>
      <c r="E144" s="1">
        <v>0.42630099999999999</v>
      </c>
      <c r="F144" s="1">
        <f>33561600*(10^-6)</f>
        <v>33.561599999999999</v>
      </c>
      <c r="G144" s="1">
        <v>0</v>
      </c>
      <c r="H144" s="1">
        <v>12.01</v>
      </c>
    </row>
    <row r="145" spans="1:8">
      <c r="A145" s="1">
        <v>28</v>
      </c>
      <c r="B145" s="1" t="s">
        <v>148</v>
      </c>
      <c r="C145" s="1">
        <v>82.18</v>
      </c>
      <c r="D145" s="1">
        <v>78.930000000000007</v>
      </c>
      <c r="E145" s="1">
        <v>0.46037299999999998</v>
      </c>
      <c r="F145" s="1">
        <f>47846400*(10^-6)</f>
        <v>47.846399999999996</v>
      </c>
      <c r="G145" s="1">
        <v>16</v>
      </c>
      <c r="H145" s="1">
        <v>15.58</v>
      </c>
    </row>
    <row r="146" spans="1:8">
      <c r="A146" s="1">
        <v>29</v>
      </c>
      <c r="B146" s="1" t="s">
        <v>149</v>
      </c>
      <c r="C146" s="1">
        <v>91.61</v>
      </c>
      <c r="D146" s="1">
        <v>78.14</v>
      </c>
      <c r="E146" s="1">
        <v>0.45112600000000003</v>
      </c>
      <c r="F146" s="1">
        <f>1190400*(10^-6)</f>
        <v>1.1903999999999999</v>
      </c>
      <c r="G146" s="1">
        <v>4</v>
      </c>
      <c r="H146" s="1">
        <v>17.350000000000001</v>
      </c>
    </row>
    <row r="147" spans="1:8">
      <c r="A147" s="1">
        <v>30</v>
      </c>
      <c r="B147" s="1" t="s">
        <v>150</v>
      </c>
      <c r="C147" s="1">
        <v>81.93</v>
      </c>
      <c r="D147" s="1">
        <v>77.66</v>
      </c>
      <c r="E147" s="1">
        <v>0.43071399999999999</v>
      </c>
      <c r="F147" s="1">
        <f>1420800*(10^-6)</f>
        <v>1.4207999999999998</v>
      </c>
      <c r="G147" s="1">
        <v>4</v>
      </c>
      <c r="H147" s="1">
        <v>15.53</v>
      </c>
    </row>
    <row r="148" spans="1:8">
      <c r="A148" s="1">
        <v>31</v>
      </c>
      <c r="B148" s="1" t="s">
        <v>151</v>
      </c>
      <c r="C148" s="1">
        <v>92.14</v>
      </c>
      <c r="D148" s="1">
        <v>79.52</v>
      </c>
      <c r="E148" s="1">
        <v>0.47941899999999998</v>
      </c>
      <c r="F148" s="1">
        <f>53414400*(10^-6)</f>
        <v>53.414400000000001</v>
      </c>
      <c r="G148" s="1">
        <v>8</v>
      </c>
      <c r="H148" s="1">
        <v>17.48</v>
      </c>
    </row>
    <row r="149" spans="1:8">
      <c r="A149" s="1">
        <v>32</v>
      </c>
      <c r="B149" s="1" t="s">
        <v>152</v>
      </c>
      <c r="C149" s="1">
        <v>102.02</v>
      </c>
      <c r="D149" s="1">
        <v>80.09</v>
      </c>
      <c r="E149" s="1">
        <v>0.49997599999999998</v>
      </c>
      <c r="F149" s="1">
        <f>100531200*(10^-6)</f>
        <v>100.5312</v>
      </c>
      <c r="G149" s="1">
        <v>10</v>
      </c>
      <c r="H149" s="1">
        <v>19.3</v>
      </c>
    </row>
    <row r="150" spans="1:8">
      <c r="A150" s="1">
        <v>33</v>
      </c>
      <c r="B150" s="1" t="s">
        <v>153</v>
      </c>
      <c r="C150" s="1">
        <v>72.66</v>
      </c>
      <c r="D150" s="1">
        <v>78.38</v>
      </c>
      <c r="E150" s="1">
        <v>0.45022400000000001</v>
      </c>
      <c r="F150" s="1">
        <f>49190400*(10^-6)</f>
        <v>49.190399999999997</v>
      </c>
      <c r="G150" s="1">
        <v>16</v>
      </c>
      <c r="H150" s="1">
        <v>13.75</v>
      </c>
    </row>
    <row r="151" spans="1:8">
      <c r="A151" s="1">
        <v>34</v>
      </c>
      <c r="B151" s="1" t="s">
        <v>154</v>
      </c>
      <c r="C151" s="1">
        <v>62.73</v>
      </c>
      <c r="D151" s="1">
        <v>77.37</v>
      </c>
      <c r="E151" s="1">
        <v>0.39507700000000001</v>
      </c>
      <c r="F151" s="1">
        <f>23232000*(10^-6)</f>
        <v>23.231999999999999</v>
      </c>
      <c r="G151" s="1">
        <v>16</v>
      </c>
      <c r="H151" s="1">
        <v>11.9</v>
      </c>
    </row>
    <row r="152" spans="1:8">
      <c r="A152" s="1">
        <v>35</v>
      </c>
      <c r="B152" s="1" t="s">
        <v>155</v>
      </c>
      <c r="C152" s="1">
        <v>92.07</v>
      </c>
      <c r="D152" s="1">
        <v>79.52</v>
      </c>
      <c r="E152" s="1">
        <v>0.479439</v>
      </c>
      <c r="F152" s="1">
        <f>53836800*(10^-6)</f>
        <v>53.836799999999997</v>
      </c>
      <c r="G152" s="1">
        <v>10</v>
      </c>
      <c r="H152" s="1">
        <v>17.489999999999998</v>
      </c>
    </row>
    <row r="153" spans="1:8">
      <c r="A153" s="1">
        <v>36</v>
      </c>
      <c r="B153" s="1" t="s">
        <v>156</v>
      </c>
      <c r="C153" s="1">
        <v>91.9</v>
      </c>
      <c r="D153" s="1">
        <v>79.510000000000005</v>
      </c>
      <c r="E153" s="1">
        <v>0.47922599999999999</v>
      </c>
      <c r="F153" s="1">
        <f>53184000*(10^-6)</f>
        <v>53.183999999999997</v>
      </c>
      <c r="G153" s="1">
        <v>4</v>
      </c>
      <c r="H153" s="1">
        <v>17.48</v>
      </c>
    </row>
    <row r="154" spans="1:8">
      <c r="A154" s="1">
        <v>37</v>
      </c>
      <c r="B154" s="1" t="s">
        <v>157</v>
      </c>
      <c r="C154" s="1">
        <v>82.08</v>
      </c>
      <c r="D154" s="1" t="e">
        <f>-inf</f>
        <v>#NAME?</v>
      </c>
      <c r="E154" s="1">
        <v>0.42984299999999998</v>
      </c>
      <c r="F154" s="1">
        <f>0*(10^-6)</f>
        <v>0</v>
      </c>
      <c r="G154" s="1">
        <v>4</v>
      </c>
      <c r="H154" s="1">
        <v>15.56</v>
      </c>
    </row>
    <row r="155" spans="1:8">
      <c r="A155" s="1">
        <v>38</v>
      </c>
      <c r="B155" s="1" t="s">
        <v>158</v>
      </c>
      <c r="C155" s="1">
        <v>101.84</v>
      </c>
      <c r="D155" s="1">
        <v>80.08</v>
      </c>
      <c r="E155" s="1">
        <v>0.49997999999999998</v>
      </c>
      <c r="F155" s="1">
        <f>100684800*(10^-6)</f>
        <v>100.6848</v>
      </c>
      <c r="G155" s="1">
        <v>8</v>
      </c>
      <c r="H155" s="1">
        <v>19.3</v>
      </c>
    </row>
    <row r="156" spans="1:8">
      <c r="A156" s="1">
        <v>39</v>
      </c>
      <c r="B156" s="1" t="s">
        <v>159</v>
      </c>
      <c r="C156" s="1">
        <v>92.14</v>
      </c>
      <c r="D156" s="1">
        <v>79.52</v>
      </c>
      <c r="E156" s="1">
        <v>0.47953600000000002</v>
      </c>
      <c r="F156" s="1">
        <f>52070400*(10^-6)</f>
        <v>52.070399999999999</v>
      </c>
      <c r="G156" s="1">
        <v>6</v>
      </c>
      <c r="H156" s="1">
        <v>17.48</v>
      </c>
    </row>
    <row r="157" spans="1:8">
      <c r="A157" s="1">
        <v>40</v>
      </c>
      <c r="B157" s="1" t="s">
        <v>160</v>
      </c>
      <c r="C157" s="1">
        <v>83.75</v>
      </c>
      <c r="D157" s="1">
        <v>79.03</v>
      </c>
      <c r="E157" s="1">
        <v>0.46446399999999999</v>
      </c>
      <c r="F157" s="1">
        <f>47500800*(10^-6)</f>
        <v>47.500799999999998</v>
      </c>
      <c r="G157" s="1">
        <v>14</v>
      </c>
      <c r="H157" s="1">
        <v>15.86</v>
      </c>
    </row>
    <row r="158" spans="1:8">
      <c r="A158" s="1">
        <v>41</v>
      </c>
      <c r="B158" s="1" t="s">
        <v>161</v>
      </c>
      <c r="C158" s="1">
        <v>92.44</v>
      </c>
      <c r="D158" s="1">
        <v>79.540000000000006</v>
      </c>
      <c r="E158" s="1">
        <v>0.47977700000000001</v>
      </c>
      <c r="F158" s="1">
        <f>54105600*(10^-6)</f>
        <v>54.105599999999995</v>
      </c>
      <c r="G158" s="1">
        <v>16</v>
      </c>
      <c r="H158" s="1">
        <v>17.5</v>
      </c>
    </row>
    <row r="159" spans="1:8">
      <c r="A159" s="1">
        <v>42</v>
      </c>
      <c r="B159" s="1" t="s">
        <v>162</v>
      </c>
      <c r="C159" s="1">
        <v>82.36</v>
      </c>
      <c r="D159" s="1">
        <v>78.739999999999995</v>
      </c>
      <c r="E159" s="1">
        <v>0.44140299999999999</v>
      </c>
      <c r="F159" s="1">
        <f>31833600*(10^-6)</f>
        <v>31.833599999999997</v>
      </c>
      <c r="G159" s="1">
        <v>2</v>
      </c>
      <c r="H159" s="1">
        <v>15.59</v>
      </c>
    </row>
    <row r="160" spans="1:8">
      <c r="A160" s="1">
        <v>43</v>
      </c>
      <c r="B160" s="1" t="s">
        <v>163</v>
      </c>
      <c r="C160" s="1">
        <v>82.07</v>
      </c>
      <c r="D160" s="1">
        <v>77.400000000000006</v>
      </c>
      <c r="E160" s="1">
        <v>0.43024299999999999</v>
      </c>
      <c r="F160" s="1">
        <f>768000*(10^-6)</f>
        <v>0.76800000000000002</v>
      </c>
      <c r="G160" s="1">
        <v>10</v>
      </c>
      <c r="H160" s="1">
        <v>15.54</v>
      </c>
    </row>
    <row r="161" spans="1:8">
      <c r="A161" s="1">
        <v>44</v>
      </c>
      <c r="B161" s="1" t="s">
        <v>164</v>
      </c>
      <c r="C161" s="1">
        <v>72.31</v>
      </c>
      <c r="D161" s="1">
        <v>76.709999999999994</v>
      </c>
      <c r="E161" s="1">
        <v>0.413858</v>
      </c>
      <c r="F161" s="1">
        <f>576000*(10^-6)</f>
        <v>0.57599999999999996</v>
      </c>
      <c r="G161" s="1">
        <v>16</v>
      </c>
      <c r="H161" s="1">
        <v>13.71</v>
      </c>
    </row>
    <row r="162" spans="1:8">
      <c r="A162" s="1">
        <v>45</v>
      </c>
      <c r="B162" s="1" t="s">
        <v>165</v>
      </c>
      <c r="C162" s="1">
        <v>73.319999999999993</v>
      </c>
      <c r="D162" s="1">
        <v>78.33</v>
      </c>
      <c r="E162" s="1">
        <v>0.44370500000000002</v>
      </c>
      <c r="F162" s="1">
        <f>31257600*(10^-6)</f>
        <v>31.2576</v>
      </c>
      <c r="G162" s="1">
        <v>14</v>
      </c>
      <c r="H162" s="1">
        <v>13.93</v>
      </c>
    </row>
    <row r="163" spans="1:8">
      <c r="A163" s="1">
        <v>46</v>
      </c>
      <c r="B163" s="1" t="s">
        <v>166</v>
      </c>
      <c r="C163" s="1">
        <v>91.98</v>
      </c>
      <c r="D163" s="1">
        <v>79.510000000000005</v>
      </c>
      <c r="E163" s="1">
        <v>0.47911300000000001</v>
      </c>
      <c r="F163" s="1">
        <f>53568000*(10^-6)</f>
        <v>53.567999999999998</v>
      </c>
      <c r="G163" s="1">
        <v>10</v>
      </c>
      <c r="H163" s="1">
        <v>17.46</v>
      </c>
    </row>
    <row r="164" spans="1:8">
      <c r="A164" s="1">
        <v>47</v>
      </c>
      <c r="B164" s="1" t="s">
        <v>167</v>
      </c>
      <c r="C164" s="1">
        <v>92.11</v>
      </c>
      <c r="D164" s="1">
        <v>79.52</v>
      </c>
      <c r="E164" s="1">
        <v>0.47980699999999998</v>
      </c>
      <c r="F164" s="1">
        <f>53068800*(10^-6)</f>
        <v>53.068799999999996</v>
      </c>
      <c r="G164" s="1">
        <v>2</v>
      </c>
      <c r="H164" s="1">
        <v>17.489999999999998</v>
      </c>
    </row>
    <row r="165" spans="1:8">
      <c r="A165" s="1">
        <v>48</v>
      </c>
      <c r="B165" s="1" t="s">
        <v>168</v>
      </c>
      <c r="C165" s="1">
        <v>81.87</v>
      </c>
      <c r="D165" s="1">
        <v>78.900000000000006</v>
      </c>
      <c r="E165" s="1">
        <v>0.45853100000000002</v>
      </c>
      <c r="F165" s="1">
        <f>41356800*(10^-6)</f>
        <v>41.3568</v>
      </c>
      <c r="G165" s="1">
        <v>0</v>
      </c>
      <c r="H165" s="1">
        <v>15.56</v>
      </c>
    </row>
    <row r="166" spans="1:8">
      <c r="A166" s="1">
        <v>49</v>
      </c>
      <c r="B166" s="1" t="s">
        <v>169</v>
      </c>
      <c r="C166" s="1">
        <v>81.010000000000005</v>
      </c>
      <c r="D166" s="1">
        <v>78.66</v>
      </c>
      <c r="E166" s="1">
        <v>0.44124099999999999</v>
      </c>
      <c r="F166" s="1">
        <f>28838400*(10^-6)</f>
        <v>28.8384</v>
      </c>
      <c r="G166" s="1">
        <v>16</v>
      </c>
      <c r="H166" s="1">
        <v>15.38</v>
      </c>
    </row>
    <row r="167" spans="1:8">
      <c r="A167" s="1">
        <v>50</v>
      </c>
      <c r="B167" s="1" t="s">
        <v>170</v>
      </c>
      <c r="C167" s="1">
        <v>89.88</v>
      </c>
      <c r="D167" s="1">
        <v>79.41</v>
      </c>
      <c r="E167" s="1">
        <v>0.47773700000000002</v>
      </c>
      <c r="F167" s="1">
        <f>53260800*(10^-6)</f>
        <v>53.260799999999996</v>
      </c>
      <c r="G167" s="1">
        <v>2</v>
      </c>
      <c r="H167" s="1">
        <v>17</v>
      </c>
    </row>
    <row r="168" spans="1:8">
      <c r="B168" s="1" t="s">
        <v>19</v>
      </c>
      <c r="C168" s="1">
        <f>AVERAGE(C118:C167)</f>
        <v>84.256400000000014</v>
      </c>
      <c r="D168" s="1" t="e">
        <f t="shared" ref="D168" si="14">AVERAGE(D118:D167)</f>
        <v>#NAME?</v>
      </c>
      <c r="E168" s="1">
        <f t="shared" ref="E168" si="15">AVERAGE(E118:E167)</f>
        <v>0.45964328000000021</v>
      </c>
      <c r="F168" s="1">
        <f t="shared" ref="F168" si="16">AVERAGE(F118:F167)</f>
        <v>43.742207999999998</v>
      </c>
      <c r="H168" s="1">
        <f>AVERAGE(H118:H167)</f>
        <v>15.976599999999996</v>
      </c>
    </row>
    <row r="169" spans="1:8">
      <c r="B169" s="1" t="s">
        <v>20</v>
      </c>
      <c r="C169" s="1">
        <f>MIN(C117:C167)</f>
        <v>62.73</v>
      </c>
      <c r="D169" s="1" t="e">
        <f t="shared" ref="D169:F169" si="17">MIN(D117:D167)</f>
        <v>#NAME?</v>
      </c>
      <c r="E169" s="1">
        <f t="shared" si="17"/>
        <v>0.39507700000000001</v>
      </c>
      <c r="F169" s="1">
        <f t="shared" si="17"/>
        <v>0</v>
      </c>
      <c r="H169" s="1">
        <f>MIN(H117:H167)</f>
        <v>11.9</v>
      </c>
    </row>
    <row r="170" spans="1:8">
      <c r="B170" s="1" t="s">
        <v>3</v>
      </c>
      <c r="C170" s="1">
        <f>STDEV(C118:C167)</f>
        <v>9.7786783381403897</v>
      </c>
      <c r="D170" s="1" t="e">
        <f t="shared" ref="D170:E170" si="18">STDEV(D118:D167)</f>
        <v>#NAME?</v>
      </c>
      <c r="E170" s="1">
        <f t="shared" si="18"/>
        <v>2.3978395027254046E-2</v>
      </c>
      <c r="F170" s="1">
        <f>STDEV(F118:F167)</f>
        <v>25.480564329154451</v>
      </c>
      <c r="H170" s="1">
        <f>STDEV(H118:H167)</f>
        <v>1.8560992782209809</v>
      </c>
    </row>
    <row r="172" spans="1:8">
      <c r="H172" s="2" t="s">
        <v>1435</v>
      </c>
    </row>
    <row r="173" spans="1:8" ht="18">
      <c r="A173" s="2" t="s">
        <v>7</v>
      </c>
      <c r="B173" s="3" t="s">
        <v>9</v>
      </c>
      <c r="C173" s="2" t="s">
        <v>4</v>
      </c>
      <c r="D173" s="2" t="s">
        <v>322</v>
      </c>
      <c r="E173" s="2" t="s">
        <v>321</v>
      </c>
      <c r="F173" s="2" t="s">
        <v>324</v>
      </c>
      <c r="G173" s="2" t="s">
        <v>323</v>
      </c>
      <c r="H173" s="2" t="s">
        <v>1436</v>
      </c>
    </row>
    <row r="174" spans="1:8">
      <c r="A174" s="1">
        <v>1</v>
      </c>
      <c r="B174" s="1" t="s">
        <v>171</v>
      </c>
      <c r="C174" s="1">
        <v>72.28</v>
      </c>
      <c r="D174" s="1">
        <v>155.69999999999999</v>
      </c>
      <c r="E174" s="1">
        <v>0.42845499999999997</v>
      </c>
      <c r="F174" s="1">
        <f>3264000*(10^-6)</f>
        <v>3.2639999999999998</v>
      </c>
      <c r="G174" s="1">
        <v>16</v>
      </c>
      <c r="H174" s="1">
        <v>13.67</v>
      </c>
    </row>
    <row r="175" spans="1:8">
      <c r="A175" s="1">
        <v>2</v>
      </c>
      <c r="B175" s="1" t="s">
        <v>172</v>
      </c>
      <c r="C175" s="1">
        <v>59.61</v>
      </c>
      <c r="D175" s="1">
        <v>153.51</v>
      </c>
      <c r="E175" s="1">
        <v>0.37540600000000002</v>
      </c>
      <c r="F175" s="1">
        <f>7257600*(10^-6)</f>
        <v>7.2576000000000001</v>
      </c>
      <c r="G175" s="1">
        <v>10</v>
      </c>
      <c r="H175" s="1">
        <v>11.29</v>
      </c>
    </row>
    <row r="176" spans="1:8">
      <c r="A176" s="1">
        <v>3</v>
      </c>
      <c r="B176" s="1" t="s">
        <v>173</v>
      </c>
      <c r="C176" s="1">
        <v>71.36</v>
      </c>
      <c r="D176" s="1">
        <v>153.35</v>
      </c>
      <c r="E176" s="1">
        <v>0.39832600000000001</v>
      </c>
      <c r="F176" s="1">
        <f>1651200*(10^-6)</f>
        <v>1.6512</v>
      </c>
      <c r="G176" s="1">
        <v>0</v>
      </c>
      <c r="H176" s="1">
        <v>13.54</v>
      </c>
    </row>
    <row r="177" spans="1:8">
      <c r="A177" s="1">
        <v>4</v>
      </c>
      <c r="B177" s="1" t="s">
        <v>174</v>
      </c>
      <c r="C177" s="1">
        <v>70.040000000000006</v>
      </c>
      <c r="D177" s="1">
        <v>155.97999999999999</v>
      </c>
      <c r="E177" s="1">
        <v>0.42849399999999999</v>
      </c>
      <c r="F177" s="1">
        <f>22464000*(10^-6)</f>
        <v>22.463999999999999</v>
      </c>
      <c r="G177" s="1">
        <v>20</v>
      </c>
      <c r="H177" s="1">
        <v>13.32</v>
      </c>
    </row>
    <row r="178" spans="1:8">
      <c r="A178" s="1">
        <v>5</v>
      </c>
      <c r="B178" s="1" t="s">
        <v>175</v>
      </c>
      <c r="C178" s="1">
        <v>60.85</v>
      </c>
      <c r="D178" s="1">
        <v>154.59</v>
      </c>
      <c r="E178" s="1">
        <v>0.42307699999999998</v>
      </c>
      <c r="F178" s="1">
        <f>12480000*(10^-6)</f>
        <v>12.479999999999999</v>
      </c>
      <c r="G178" s="1">
        <v>4</v>
      </c>
      <c r="H178" s="1">
        <v>11.51</v>
      </c>
    </row>
    <row r="179" spans="1:8">
      <c r="A179" s="1">
        <v>6</v>
      </c>
      <c r="B179" s="1" t="s">
        <v>176</v>
      </c>
      <c r="C179" s="1">
        <v>85.08</v>
      </c>
      <c r="D179" s="1">
        <v>158.21</v>
      </c>
      <c r="E179" s="1">
        <v>0.46560499999999999</v>
      </c>
      <c r="F179" s="1">
        <f>44160000*(10^-6)</f>
        <v>44.16</v>
      </c>
      <c r="G179" s="1">
        <v>8</v>
      </c>
      <c r="H179" s="1">
        <v>16.12</v>
      </c>
    </row>
    <row r="180" spans="1:8">
      <c r="A180" s="1">
        <v>7</v>
      </c>
      <c r="B180" s="1" t="s">
        <v>177</v>
      </c>
      <c r="C180" s="1">
        <v>74.23</v>
      </c>
      <c r="D180" s="1">
        <v>155.41999999999999</v>
      </c>
      <c r="E180" s="1">
        <v>0.42939500000000003</v>
      </c>
      <c r="F180" s="1">
        <f>1190400*(10^-6)</f>
        <v>1.1903999999999999</v>
      </c>
      <c r="G180" s="1">
        <v>26</v>
      </c>
      <c r="H180" s="1">
        <v>14.1</v>
      </c>
    </row>
    <row r="181" spans="1:8">
      <c r="A181" s="1">
        <v>8</v>
      </c>
      <c r="B181" s="1" t="s">
        <v>178</v>
      </c>
      <c r="C181" s="1">
        <v>63.97</v>
      </c>
      <c r="D181" s="1">
        <v>152.88999999999999</v>
      </c>
      <c r="E181" s="1">
        <v>0.395258</v>
      </c>
      <c r="F181" s="1">
        <f>1228800*(10^-6)</f>
        <v>1.2287999999999999</v>
      </c>
      <c r="G181" s="1">
        <v>24</v>
      </c>
      <c r="H181" s="1">
        <v>12.12</v>
      </c>
    </row>
    <row r="182" spans="1:8">
      <c r="A182" s="1">
        <v>9</v>
      </c>
      <c r="B182" s="1" t="s">
        <v>179</v>
      </c>
      <c r="C182" s="1">
        <v>66.760000000000005</v>
      </c>
      <c r="D182" s="1" t="e">
        <f>-inf</f>
        <v>#NAME?</v>
      </c>
      <c r="E182" s="1">
        <v>0.35637600000000003</v>
      </c>
      <c r="F182" s="1">
        <f>0*(10^-6)</f>
        <v>0</v>
      </c>
      <c r="G182" s="1">
        <v>2</v>
      </c>
      <c r="H182" s="1">
        <v>12.64</v>
      </c>
    </row>
    <row r="183" spans="1:8">
      <c r="A183" s="1">
        <v>10</v>
      </c>
      <c r="B183" s="1" t="s">
        <v>180</v>
      </c>
      <c r="C183" s="1">
        <v>79.89</v>
      </c>
      <c r="D183" s="1">
        <v>157.49</v>
      </c>
      <c r="E183" s="1">
        <v>0.45424599999999998</v>
      </c>
      <c r="F183" s="1">
        <f>28646400*(10^-6)</f>
        <v>28.6464</v>
      </c>
      <c r="G183" s="1">
        <v>36</v>
      </c>
      <c r="H183" s="1">
        <v>15.16</v>
      </c>
    </row>
    <row r="184" spans="1:8">
      <c r="A184" s="1">
        <v>11</v>
      </c>
      <c r="B184" s="1" t="s">
        <v>181</v>
      </c>
      <c r="C184" s="1">
        <v>68.98</v>
      </c>
      <c r="D184" s="1">
        <v>155.97999999999999</v>
      </c>
      <c r="E184" s="1">
        <v>0.42913899999999999</v>
      </c>
      <c r="F184" s="1">
        <f>30835200*(10^-6)</f>
        <v>30.835199999999997</v>
      </c>
      <c r="G184" s="1">
        <v>18</v>
      </c>
      <c r="H184" s="1">
        <v>13.06</v>
      </c>
    </row>
    <row r="185" spans="1:8">
      <c r="A185" s="1">
        <v>12</v>
      </c>
      <c r="B185" s="1" t="s">
        <v>182</v>
      </c>
      <c r="C185" s="1">
        <v>79.44</v>
      </c>
      <c r="D185" s="1">
        <v>154.56</v>
      </c>
      <c r="E185" s="1">
        <v>0.42310199999999998</v>
      </c>
      <c r="F185" s="1">
        <f>614400*(10^-6)</f>
        <v>0.61439999999999995</v>
      </c>
      <c r="G185" s="1">
        <v>12</v>
      </c>
      <c r="H185" s="1">
        <v>15.06</v>
      </c>
    </row>
    <row r="186" spans="1:8">
      <c r="A186" s="1">
        <v>13</v>
      </c>
      <c r="B186" s="1" t="s">
        <v>183</v>
      </c>
      <c r="C186" s="1">
        <v>75.23</v>
      </c>
      <c r="D186" s="1">
        <v>153.22</v>
      </c>
      <c r="E186" s="1">
        <v>0.39916600000000002</v>
      </c>
      <c r="F186" s="1">
        <f>576000*(10^-6)</f>
        <v>0.57599999999999996</v>
      </c>
      <c r="G186" s="1">
        <v>0</v>
      </c>
      <c r="H186" s="1">
        <v>14.3</v>
      </c>
    </row>
    <row r="187" spans="1:8">
      <c r="A187" s="1">
        <v>14</v>
      </c>
      <c r="B187" s="1" t="s">
        <v>184</v>
      </c>
      <c r="C187" s="1">
        <v>60.87</v>
      </c>
      <c r="D187" s="1">
        <v>153.13</v>
      </c>
      <c r="E187" s="1">
        <v>0.37622299999999997</v>
      </c>
      <c r="F187" s="1">
        <f>6489600*(10^-6)</f>
        <v>6.4895999999999994</v>
      </c>
      <c r="G187" s="1">
        <v>22</v>
      </c>
      <c r="H187" s="1">
        <v>11.53</v>
      </c>
    </row>
    <row r="188" spans="1:8">
      <c r="A188" s="1">
        <v>15</v>
      </c>
      <c r="B188" s="1" t="s">
        <v>185</v>
      </c>
      <c r="C188" s="1">
        <v>57.91</v>
      </c>
      <c r="D188" s="1">
        <v>151.77000000000001</v>
      </c>
      <c r="E188" s="1">
        <v>0.38139800000000001</v>
      </c>
      <c r="F188" s="1">
        <f>460800*(10^-6)</f>
        <v>0.46079999999999999</v>
      </c>
      <c r="G188" s="1">
        <v>26</v>
      </c>
      <c r="H188" s="1">
        <v>10.94</v>
      </c>
    </row>
    <row r="189" spans="1:8">
      <c r="A189" s="1">
        <v>16</v>
      </c>
      <c r="B189" s="1" t="s">
        <v>186</v>
      </c>
      <c r="C189" s="1">
        <v>68.180000000000007</v>
      </c>
      <c r="D189" s="1">
        <v>153.86000000000001</v>
      </c>
      <c r="E189" s="1">
        <v>0.39536700000000002</v>
      </c>
      <c r="F189" s="1">
        <f>2764800*(10^-6)</f>
        <v>2.7647999999999997</v>
      </c>
      <c r="G189" s="1">
        <v>38</v>
      </c>
      <c r="H189" s="1">
        <v>12.92</v>
      </c>
    </row>
    <row r="190" spans="1:8">
      <c r="A190" s="1">
        <v>17</v>
      </c>
      <c r="B190" s="1" t="s">
        <v>187</v>
      </c>
      <c r="C190" s="1">
        <v>61.6</v>
      </c>
      <c r="D190" s="1">
        <v>148.65</v>
      </c>
      <c r="E190" s="1">
        <v>0.34962399999999999</v>
      </c>
      <c r="F190" s="1">
        <f>499200*(10^-6)</f>
        <v>0.49919999999999998</v>
      </c>
      <c r="G190" s="1">
        <v>36</v>
      </c>
      <c r="H190" s="1">
        <v>11.7</v>
      </c>
    </row>
    <row r="191" spans="1:8">
      <c r="A191" s="1">
        <v>18</v>
      </c>
      <c r="B191" s="1" t="s">
        <v>188</v>
      </c>
      <c r="C191" s="1">
        <v>72.48</v>
      </c>
      <c r="D191" s="1">
        <v>153.31</v>
      </c>
      <c r="E191" s="1">
        <v>0.41245900000000002</v>
      </c>
      <c r="F191" s="1">
        <f>422400*(10^-6)</f>
        <v>0.4224</v>
      </c>
      <c r="G191" s="1">
        <v>26</v>
      </c>
      <c r="H191" s="1">
        <v>13.73</v>
      </c>
    </row>
    <row r="192" spans="1:8">
      <c r="A192" s="1">
        <v>19</v>
      </c>
      <c r="B192" s="1" t="s">
        <v>189</v>
      </c>
      <c r="C192" s="1">
        <v>59.6</v>
      </c>
      <c r="D192" s="1">
        <v>148.83000000000001</v>
      </c>
      <c r="E192" s="1">
        <v>0.32722299999999999</v>
      </c>
      <c r="F192" s="1">
        <f>1612800*(10^-6)</f>
        <v>1.6128</v>
      </c>
      <c r="G192" s="1">
        <v>20</v>
      </c>
      <c r="H192" s="1">
        <v>11.31</v>
      </c>
    </row>
    <row r="193" spans="1:8">
      <c r="A193" s="1">
        <v>20</v>
      </c>
      <c r="B193" s="1" t="s">
        <v>190</v>
      </c>
      <c r="C193" s="1">
        <v>79.63</v>
      </c>
      <c r="D193" s="1">
        <v>154.46</v>
      </c>
      <c r="E193" s="1">
        <v>0.41722500000000001</v>
      </c>
      <c r="F193" s="1">
        <f>2112000*(10^-6)</f>
        <v>2.1120000000000001</v>
      </c>
      <c r="G193" s="1">
        <v>24</v>
      </c>
      <c r="H193" s="1">
        <v>15.1</v>
      </c>
    </row>
    <row r="194" spans="1:8">
      <c r="A194" s="1">
        <v>21</v>
      </c>
      <c r="B194" s="1" t="s">
        <v>191</v>
      </c>
      <c r="C194" s="1">
        <v>76.39</v>
      </c>
      <c r="D194" s="1">
        <v>154.25</v>
      </c>
      <c r="E194" s="1">
        <v>0.41825099999999998</v>
      </c>
      <c r="F194" s="1">
        <f>422400*(10^-6)</f>
        <v>0.4224</v>
      </c>
      <c r="G194" s="1">
        <v>6</v>
      </c>
      <c r="H194" s="1">
        <v>14.47</v>
      </c>
    </row>
    <row r="195" spans="1:8">
      <c r="A195" s="1">
        <v>22</v>
      </c>
      <c r="B195" s="1" t="s">
        <v>192</v>
      </c>
      <c r="C195" s="1">
        <v>71.62</v>
      </c>
      <c r="D195" s="1">
        <v>154.88</v>
      </c>
      <c r="E195" s="1">
        <v>0.42975799999999997</v>
      </c>
      <c r="F195" s="1">
        <f>499200*(10^-6)</f>
        <v>0.49919999999999998</v>
      </c>
      <c r="G195" s="1">
        <v>4</v>
      </c>
      <c r="H195" s="1">
        <v>13.6</v>
      </c>
    </row>
    <row r="196" spans="1:8">
      <c r="A196" s="1">
        <v>23</v>
      </c>
      <c r="B196" s="1" t="s">
        <v>193</v>
      </c>
      <c r="C196" s="1">
        <v>73.349999999999994</v>
      </c>
      <c r="D196" s="1">
        <v>153.66</v>
      </c>
      <c r="E196" s="1">
        <v>0.40624199999999999</v>
      </c>
      <c r="F196" s="1">
        <f>960000*(10^-6)</f>
        <v>0.96</v>
      </c>
      <c r="G196" s="1">
        <v>18</v>
      </c>
      <c r="H196" s="1">
        <v>13.91</v>
      </c>
    </row>
    <row r="197" spans="1:8">
      <c r="A197" s="1">
        <v>24</v>
      </c>
      <c r="B197" s="1" t="s">
        <v>194</v>
      </c>
      <c r="C197" s="1">
        <v>72.16</v>
      </c>
      <c r="D197" s="1">
        <v>156.37</v>
      </c>
      <c r="E197" s="1">
        <v>0.43382700000000002</v>
      </c>
      <c r="F197" s="1">
        <f>25689600*(10^-6)</f>
        <v>25.689599999999999</v>
      </c>
      <c r="G197" s="1">
        <v>2</v>
      </c>
      <c r="H197" s="1">
        <v>13.71</v>
      </c>
    </row>
    <row r="198" spans="1:8">
      <c r="A198" s="1">
        <v>25</v>
      </c>
      <c r="B198" s="1" t="s">
        <v>195</v>
      </c>
      <c r="C198" s="1">
        <v>73.86</v>
      </c>
      <c r="D198" s="1">
        <v>150.96</v>
      </c>
      <c r="E198" s="1">
        <v>0.38903199999999999</v>
      </c>
      <c r="F198" s="1">
        <f>345600*(10^-6)</f>
        <v>0.34559999999999996</v>
      </c>
      <c r="G198" s="1">
        <v>28</v>
      </c>
      <c r="H198" s="1">
        <v>14</v>
      </c>
    </row>
    <row r="199" spans="1:8">
      <c r="A199" s="1">
        <v>26</v>
      </c>
      <c r="B199" s="1" t="s">
        <v>196</v>
      </c>
      <c r="C199" s="1">
        <v>71.44</v>
      </c>
      <c r="D199" s="1">
        <v>153.57</v>
      </c>
      <c r="E199" s="1">
        <v>0.38721800000000001</v>
      </c>
      <c r="F199" s="1">
        <f>3148800*(10^-6)</f>
        <v>3.1488</v>
      </c>
      <c r="G199" s="1">
        <v>30</v>
      </c>
      <c r="H199" s="1">
        <v>13.58</v>
      </c>
    </row>
    <row r="200" spans="1:8">
      <c r="A200" s="1">
        <v>27</v>
      </c>
      <c r="B200" s="1" t="s">
        <v>197</v>
      </c>
      <c r="C200" s="1">
        <v>57.47</v>
      </c>
      <c r="D200" s="1">
        <v>150.56</v>
      </c>
      <c r="E200" s="1">
        <v>0.37953599999999998</v>
      </c>
      <c r="F200" s="1">
        <f>76800*(10^-6)</f>
        <v>7.6799999999999993E-2</v>
      </c>
      <c r="G200" s="1">
        <v>38</v>
      </c>
      <c r="H200" s="1">
        <v>10.88</v>
      </c>
    </row>
    <row r="201" spans="1:8">
      <c r="A201" s="1">
        <v>28</v>
      </c>
      <c r="B201" s="1" t="s">
        <v>198</v>
      </c>
      <c r="C201" s="1">
        <v>67.010000000000005</v>
      </c>
      <c r="D201" s="1">
        <v>153.02000000000001</v>
      </c>
      <c r="E201" s="1">
        <v>0.39202599999999999</v>
      </c>
      <c r="F201" s="1">
        <f>844800*(10^-6)</f>
        <v>0.8448</v>
      </c>
      <c r="G201" s="1">
        <v>22</v>
      </c>
      <c r="H201" s="1">
        <v>12.68</v>
      </c>
    </row>
    <row r="202" spans="1:8">
      <c r="A202" s="1">
        <v>29</v>
      </c>
      <c r="B202" s="1" t="s">
        <v>199</v>
      </c>
      <c r="C202" s="1">
        <v>58.4</v>
      </c>
      <c r="D202" s="1">
        <v>153.30000000000001</v>
      </c>
      <c r="E202" s="1">
        <v>0.42057600000000001</v>
      </c>
      <c r="F202" s="1">
        <f>729600*(10^-6)</f>
        <v>0.72959999999999992</v>
      </c>
      <c r="G202" s="1">
        <v>30</v>
      </c>
      <c r="H202" s="1">
        <v>11.06</v>
      </c>
    </row>
    <row r="203" spans="1:8">
      <c r="A203" s="1">
        <v>30</v>
      </c>
      <c r="B203" s="1" t="s">
        <v>200</v>
      </c>
      <c r="C203" s="1">
        <v>60.45</v>
      </c>
      <c r="D203" s="1">
        <v>154.22999999999999</v>
      </c>
      <c r="E203" s="1">
        <v>0.39445999999999998</v>
      </c>
      <c r="F203" s="1">
        <f>15705600*(10^-6)</f>
        <v>15.705599999999999</v>
      </c>
      <c r="G203" s="1">
        <v>16</v>
      </c>
      <c r="H203" s="1">
        <v>11.48</v>
      </c>
    </row>
    <row r="204" spans="1:8">
      <c r="A204" s="1">
        <v>31</v>
      </c>
      <c r="B204" s="1" t="s">
        <v>201</v>
      </c>
      <c r="C204" s="1">
        <v>67.040000000000006</v>
      </c>
      <c r="D204" s="1">
        <v>153.24</v>
      </c>
      <c r="E204" s="1">
        <v>0.40857399999999999</v>
      </c>
      <c r="F204" s="1">
        <f>76800*(10^-6)</f>
        <v>7.6799999999999993E-2</v>
      </c>
      <c r="G204" s="1">
        <v>32</v>
      </c>
      <c r="H204" s="1">
        <v>12.72</v>
      </c>
    </row>
    <row r="205" spans="1:8">
      <c r="A205" s="1">
        <v>32</v>
      </c>
      <c r="B205" s="1" t="s">
        <v>202</v>
      </c>
      <c r="C205" s="1">
        <v>77.16</v>
      </c>
      <c r="D205" s="1">
        <v>153.94</v>
      </c>
      <c r="E205" s="1">
        <v>0.42028700000000002</v>
      </c>
      <c r="F205" s="1">
        <f>537600*(10^-6)</f>
        <v>0.53759999999999997</v>
      </c>
      <c r="G205" s="1">
        <v>36</v>
      </c>
      <c r="H205" s="1">
        <v>14.59</v>
      </c>
    </row>
    <row r="206" spans="1:8">
      <c r="A206" s="1">
        <v>33</v>
      </c>
      <c r="B206" s="1" t="s">
        <v>203</v>
      </c>
      <c r="C206" s="1">
        <v>70.150000000000006</v>
      </c>
      <c r="D206" s="1">
        <v>156.22999999999999</v>
      </c>
      <c r="E206" s="1">
        <v>0.43775900000000001</v>
      </c>
      <c r="F206" s="1">
        <f>30067200*(10^-6)</f>
        <v>30.0672</v>
      </c>
      <c r="G206" s="1">
        <v>34</v>
      </c>
      <c r="H206" s="1">
        <v>13.29</v>
      </c>
    </row>
    <row r="207" spans="1:8">
      <c r="A207" s="1">
        <v>34</v>
      </c>
      <c r="B207" s="1" t="s">
        <v>204</v>
      </c>
      <c r="C207" s="1">
        <v>66.98</v>
      </c>
      <c r="D207" s="1">
        <v>155.62</v>
      </c>
      <c r="E207" s="1">
        <v>0.42338300000000001</v>
      </c>
      <c r="F207" s="1">
        <f>26841600*(10^-6)</f>
        <v>26.8416</v>
      </c>
      <c r="G207" s="1">
        <v>26</v>
      </c>
      <c r="H207" s="1">
        <v>12.71</v>
      </c>
    </row>
    <row r="208" spans="1:8">
      <c r="A208" s="1">
        <v>35</v>
      </c>
      <c r="B208" s="1" t="s">
        <v>205</v>
      </c>
      <c r="C208" s="1">
        <v>57</v>
      </c>
      <c r="D208" s="1">
        <v>153.94</v>
      </c>
      <c r="E208" s="1">
        <v>0.408138</v>
      </c>
      <c r="F208" s="1">
        <f>13670400*(10^-6)</f>
        <v>13.670399999999999</v>
      </c>
      <c r="G208" s="1">
        <v>36</v>
      </c>
      <c r="H208" s="1">
        <v>10.81</v>
      </c>
    </row>
    <row r="209" spans="1:8">
      <c r="A209" s="1">
        <v>36</v>
      </c>
      <c r="B209" s="1" t="s">
        <v>206</v>
      </c>
      <c r="C209" s="1">
        <v>71.989999999999995</v>
      </c>
      <c r="D209" s="1" t="e">
        <f>-inf</f>
        <v>#NAME?</v>
      </c>
      <c r="E209" s="1">
        <v>0.398169</v>
      </c>
      <c r="F209" s="1">
        <f>0*(10^-6)</f>
        <v>0</v>
      </c>
      <c r="G209" s="1">
        <v>28</v>
      </c>
      <c r="H209" s="1">
        <v>13.67</v>
      </c>
    </row>
    <row r="210" spans="1:8">
      <c r="A210" s="1">
        <v>37</v>
      </c>
      <c r="B210" s="1" t="s">
        <v>207</v>
      </c>
      <c r="C210" s="1">
        <v>72.31</v>
      </c>
      <c r="D210" s="1">
        <v>156.31</v>
      </c>
      <c r="E210" s="1">
        <v>0.42985200000000001</v>
      </c>
      <c r="F210" s="1">
        <f>24998400*(10^-6)</f>
        <v>24.9984</v>
      </c>
      <c r="G210" s="1">
        <v>24</v>
      </c>
      <c r="H210" s="1">
        <v>13.71</v>
      </c>
    </row>
    <row r="211" spans="1:8">
      <c r="A211" s="1">
        <v>38</v>
      </c>
      <c r="B211" s="1" t="s">
        <v>208</v>
      </c>
      <c r="C211" s="1">
        <v>65.72</v>
      </c>
      <c r="D211" s="1">
        <v>154.30000000000001</v>
      </c>
      <c r="E211" s="1">
        <v>0.40586800000000001</v>
      </c>
      <c r="F211" s="1">
        <f>1843200*(10^-6)</f>
        <v>1.8431999999999999</v>
      </c>
      <c r="G211" s="1">
        <v>32</v>
      </c>
      <c r="H211" s="1">
        <v>12.44</v>
      </c>
    </row>
    <row r="212" spans="1:8">
      <c r="A212" s="1">
        <v>39</v>
      </c>
      <c r="B212" s="1" t="s">
        <v>209</v>
      </c>
      <c r="C212" s="1">
        <v>80.36</v>
      </c>
      <c r="D212" s="1">
        <v>157.44999999999999</v>
      </c>
      <c r="E212" s="1">
        <v>0.44872600000000001</v>
      </c>
      <c r="F212" s="1">
        <f>31257600*(10^-6)</f>
        <v>31.2576</v>
      </c>
      <c r="G212" s="1">
        <v>12</v>
      </c>
      <c r="H212" s="1">
        <v>15.2</v>
      </c>
    </row>
    <row r="213" spans="1:8">
      <c r="A213" s="1">
        <v>40</v>
      </c>
      <c r="B213" s="1" t="s">
        <v>210</v>
      </c>
      <c r="C213" s="1">
        <v>70.959999999999994</v>
      </c>
      <c r="D213" s="1">
        <v>154.19</v>
      </c>
      <c r="E213" s="1">
        <v>0.405057</v>
      </c>
      <c r="F213" s="1">
        <f>1996800*(10^-6)</f>
        <v>1.9967999999999999</v>
      </c>
      <c r="G213" s="1">
        <v>20</v>
      </c>
      <c r="H213" s="1">
        <v>13.45</v>
      </c>
    </row>
    <row r="214" spans="1:8">
      <c r="A214" s="1">
        <v>41</v>
      </c>
      <c r="B214" s="1" t="s">
        <v>211</v>
      </c>
      <c r="C214" s="1">
        <v>71.989999999999995</v>
      </c>
      <c r="D214" s="1">
        <v>155.44999999999999</v>
      </c>
      <c r="E214" s="1">
        <v>0.42338399999999998</v>
      </c>
      <c r="F214" s="1">
        <f>2611200*(10^-6)</f>
        <v>2.6111999999999997</v>
      </c>
      <c r="G214" s="1">
        <v>14</v>
      </c>
      <c r="H214" s="1">
        <v>13.67</v>
      </c>
    </row>
    <row r="215" spans="1:8">
      <c r="A215" s="1">
        <v>42</v>
      </c>
      <c r="B215" s="1" t="s">
        <v>212</v>
      </c>
      <c r="C215" s="1">
        <v>67.78</v>
      </c>
      <c r="D215" s="1">
        <v>154.6</v>
      </c>
      <c r="E215" s="1">
        <v>0.41649199999999997</v>
      </c>
      <c r="F215" s="1">
        <f>1113600*(10^-6)</f>
        <v>1.1135999999999999</v>
      </c>
      <c r="G215" s="1">
        <v>4</v>
      </c>
      <c r="H215" s="1">
        <v>12.88</v>
      </c>
    </row>
    <row r="216" spans="1:8">
      <c r="A216" s="1">
        <v>43</v>
      </c>
      <c r="B216" s="1" t="s">
        <v>213</v>
      </c>
      <c r="C216" s="1">
        <v>57.3</v>
      </c>
      <c r="D216" s="1">
        <v>153.38999999999999</v>
      </c>
      <c r="E216" s="1">
        <v>0.38515500000000003</v>
      </c>
      <c r="F216" s="1">
        <f>4416000*(10^-6)</f>
        <v>4.4159999999999995</v>
      </c>
      <c r="G216" s="1">
        <v>16</v>
      </c>
      <c r="H216" s="1">
        <v>10.85</v>
      </c>
    </row>
    <row r="217" spans="1:8">
      <c r="A217" s="1">
        <v>44</v>
      </c>
      <c r="B217" s="1" t="s">
        <v>214</v>
      </c>
      <c r="C217" s="1">
        <v>72.14</v>
      </c>
      <c r="D217" s="1">
        <v>154.37</v>
      </c>
      <c r="E217" s="1">
        <v>0.408586</v>
      </c>
      <c r="F217" s="1">
        <f>460800*(10^-6)</f>
        <v>0.46079999999999999</v>
      </c>
      <c r="G217" s="1">
        <v>28</v>
      </c>
      <c r="H217" s="1">
        <v>13.67</v>
      </c>
    </row>
    <row r="218" spans="1:8">
      <c r="A218" s="1">
        <v>45</v>
      </c>
      <c r="B218" s="1" t="s">
        <v>215</v>
      </c>
      <c r="C218" s="1">
        <v>67.63</v>
      </c>
      <c r="D218" s="1">
        <v>154.21</v>
      </c>
      <c r="E218" s="1">
        <v>0.40478799999999998</v>
      </c>
      <c r="F218" s="1">
        <f>1228800*(10^-6)</f>
        <v>1.2287999999999999</v>
      </c>
      <c r="G218" s="1">
        <v>2</v>
      </c>
      <c r="H218" s="1">
        <v>12.83</v>
      </c>
    </row>
    <row r="219" spans="1:8">
      <c r="A219" s="1">
        <v>46</v>
      </c>
      <c r="B219" s="1" t="s">
        <v>216</v>
      </c>
      <c r="C219" s="1">
        <v>66.239999999999995</v>
      </c>
      <c r="D219" s="1">
        <v>155.11000000000001</v>
      </c>
      <c r="E219" s="1">
        <v>0.412941</v>
      </c>
      <c r="F219" s="1">
        <f>8332800*(10^-6)</f>
        <v>8.3327999999999989</v>
      </c>
      <c r="G219" s="1">
        <v>26</v>
      </c>
      <c r="H219" s="1">
        <v>12.55</v>
      </c>
    </row>
    <row r="220" spans="1:8">
      <c r="A220" s="1">
        <v>47</v>
      </c>
      <c r="B220" s="1" t="s">
        <v>217</v>
      </c>
      <c r="C220" s="1">
        <v>71.680000000000007</v>
      </c>
      <c r="D220" s="1">
        <v>151.57</v>
      </c>
      <c r="E220" s="1">
        <v>0.396038</v>
      </c>
      <c r="F220" s="1">
        <f>153600*(10^-6)</f>
        <v>0.15359999999999999</v>
      </c>
      <c r="G220" s="1">
        <v>2</v>
      </c>
      <c r="H220" s="1">
        <v>13.61</v>
      </c>
    </row>
    <row r="221" spans="1:8">
      <c r="A221" s="1">
        <v>48</v>
      </c>
      <c r="B221" s="1" t="s">
        <v>218</v>
      </c>
      <c r="C221" s="1">
        <v>57.04</v>
      </c>
      <c r="D221" s="1">
        <v>151.21</v>
      </c>
      <c r="E221" s="1">
        <v>0.36992999999999998</v>
      </c>
      <c r="F221" s="1">
        <f>576000*(10^-6)</f>
        <v>0.57599999999999996</v>
      </c>
      <c r="G221" s="1">
        <v>36</v>
      </c>
      <c r="H221" s="1">
        <v>10.81</v>
      </c>
    </row>
    <row r="222" spans="1:8">
      <c r="A222" s="1">
        <v>49</v>
      </c>
      <c r="B222" s="1" t="s">
        <v>219</v>
      </c>
      <c r="C222" s="1">
        <v>73.39</v>
      </c>
      <c r="D222" s="1">
        <v>154.57</v>
      </c>
      <c r="E222" s="1">
        <v>0.40243200000000001</v>
      </c>
      <c r="F222" s="1">
        <f>1689600*(10^-6)</f>
        <v>1.6896</v>
      </c>
      <c r="G222" s="1">
        <v>22</v>
      </c>
      <c r="H222" s="1">
        <v>13.89</v>
      </c>
    </row>
    <row r="223" spans="1:8">
      <c r="A223" s="1">
        <v>50</v>
      </c>
      <c r="B223" s="1" t="s">
        <v>220</v>
      </c>
      <c r="C223" s="1">
        <v>62.17</v>
      </c>
      <c r="D223" s="1">
        <v>153.47</v>
      </c>
      <c r="E223" s="1">
        <v>0.401638</v>
      </c>
      <c r="F223" s="1">
        <f>768000*(10^-6)</f>
        <v>0.76800000000000002</v>
      </c>
      <c r="G223" s="1">
        <v>2</v>
      </c>
      <c r="H223" s="1">
        <v>11.79</v>
      </c>
    </row>
    <row r="224" spans="1:8">
      <c r="B224" s="1" t="s">
        <v>19</v>
      </c>
      <c r="C224" s="1">
        <f>AVERAGE(C174:C223)</f>
        <v>68.74339999999998</v>
      </c>
      <c r="D224" s="1" t="e">
        <f t="shared" ref="D224" si="19">AVERAGE(D174:D223)</f>
        <v>#NAME?</v>
      </c>
      <c r="E224" s="1">
        <f t="shared" ref="E224" si="20">AVERAGE(E174:E223)</f>
        <v>0.40647374000000008</v>
      </c>
      <c r="F224" s="1">
        <f t="shared" ref="F224" si="21">AVERAGE(F174:F223)</f>
        <v>7.395839999999998</v>
      </c>
      <c r="H224" s="1">
        <f t="shared" ref="H224" si="22">AVERAGE(H174:H223)</f>
        <v>13.032599999999997</v>
      </c>
    </row>
    <row r="225" spans="1:8">
      <c r="B225" s="1" t="s">
        <v>20</v>
      </c>
      <c r="C225" s="1">
        <f>MIN(C173:C223)</f>
        <v>57</v>
      </c>
      <c r="D225" s="1" t="e">
        <f t="shared" ref="D225:F225" si="23">MIN(D173:D223)</f>
        <v>#NAME?</v>
      </c>
      <c r="E225" s="1">
        <f t="shared" si="23"/>
        <v>0.32722299999999999</v>
      </c>
      <c r="F225" s="1">
        <f t="shared" si="23"/>
        <v>0</v>
      </c>
      <c r="H225" s="1">
        <f t="shared" ref="H225" si="24">MIN(H173:H223)</f>
        <v>10.81</v>
      </c>
    </row>
    <row r="226" spans="1:8">
      <c r="B226" s="1" t="s">
        <v>3</v>
      </c>
      <c r="C226" s="1">
        <f>STDEV(C174:C223)</f>
        <v>7.0245173005784194</v>
      </c>
      <c r="D226" s="1" t="e">
        <f t="shared" ref="D226:E226" si="25">STDEV(D174:D223)</f>
        <v>#NAME?</v>
      </c>
      <c r="E226" s="1">
        <f t="shared" si="25"/>
        <v>2.595575703809699E-2</v>
      </c>
      <c r="F226" s="1">
        <f>STDEV(F174:F223)</f>
        <v>11.263938849555716</v>
      </c>
      <c r="H226" s="1">
        <f>STDEV(H174:H223)</f>
        <v>1.3341339925975022</v>
      </c>
    </row>
    <row r="228" spans="1:8">
      <c r="H228" s="2" t="s">
        <v>1435</v>
      </c>
    </row>
    <row r="229" spans="1:8" ht="18">
      <c r="A229" s="2" t="s">
        <v>7</v>
      </c>
      <c r="B229" s="3" t="s">
        <v>2</v>
      </c>
      <c r="C229" s="2" t="s">
        <v>4</v>
      </c>
      <c r="D229" s="2" t="s">
        <v>322</v>
      </c>
      <c r="E229" s="2" t="s">
        <v>321</v>
      </c>
      <c r="F229" s="2" t="s">
        <v>324</v>
      </c>
      <c r="G229" s="2" t="s">
        <v>323</v>
      </c>
      <c r="H229" s="2" t="s">
        <v>1436</v>
      </c>
    </row>
    <row r="230" spans="1:8">
      <c r="A230" s="1">
        <v>1</v>
      </c>
      <c r="B230" s="1" t="s">
        <v>221</v>
      </c>
      <c r="C230" s="1">
        <v>65.03</v>
      </c>
      <c r="D230" s="1">
        <v>231.28</v>
      </c>
      <c r="E230" s="1">
        <v>0.41139999999999999</v>
      </c>
      <c r="F230" s="1">
        <f>1420800*(10^-6)</f>
        <v>1.4207999999999998</v>
      </c>
      <c r="G230" s="1">
        <v>44</v>
      </c>
      <c r="H230" s="1">
        <v>12.33</v>
      </c>
    </row>
    <row r="231" spans="1:8">
      <c r="A231" s="1">
        <v>2</v>
      </c>
      <c r="B231" s="1" t="s">
        <v>222</v>
      </c>
      <c r="C231" s="1">
        <v>65.88</v>
      </c>
      <c r="D231" s="1">
        <v>226.56</v>
      </c>
      <c r="E231" s="1">
        <v>0.367178</v>
      </c>
      <c r="F231" s="1">
        <f>76800*(10^-6)</f>
        <v>7.6799999999999993E-2</v>
      </c>
      <c r="G231" s="1">
        <v>18</v>
      </c>
      <c r="H231" s="1">
        <v>12.46</v>
      </c>
    </row>
    <row r="232" spans="1:8">
      <c r="A232" s="1">
        <v>3</v>
      </c>
      <c r="B232" s="1" t="s">
        <v>223</v>
      </c>
      <c r="C232" s="1">
        <v>59.41</v>
      </c>
      <c r="D232" s="1">
        <v>228.2</v>
      </c>
      <c r="E232" s="1">
        <v>0.37441799999999997</v>
      </c>
      <c r="F232" s="1">
        <f>1459200*(10^-6)</f>
        <v>1.4591999999999998</v>
      </c>
      <c r="G232" s="1">
        <v>32</v>
      </c>
      <c r="H232" s="1">
        <v>11.26</v>
      </c>
    </row>
    <row r="233" spans="1:8">
      <c r="A233" s="1">
        <v>4</v>
      </c>
      <c r="B233" s="1" t="s">
        <v>224</v>
      </c>
      <c r="C233" s="1">
        <v>60.83</v>
      </c>
      <c r="D233" s="1">
        <v>229.18</v>
      </c>
      <c r="E233" s="1">
        <v>0.380436</v>
      </c>
      <c r="F233" s="1">
        <f>2112000*(10^-6)</f>
        <v>2.1120000000000001</v>
      </c>
      <c r="G233" s="1">
        <v>30</v>
      </c>
      <c r="H233" s="1">
        <v>11.52</v>
      </c>
    </row>
    <row r="234" spans="1:8">
      <c r="A234" s="1">
        <v>5</v>
      </c>
      <c r="B234" s="1" t="s">
        <v>225</v>
      </c>
      <c r="C234" s="1">
        <v>59.49</v>
      </c>
      <c r="D234" s="1">
        <v>225.07</v>
      </c>
      <c r="E234" s="1">
        <v>0.37105199999999999</v>
      </c>
      <c r="F234" s="1">
        <f>38400*(10^-6)</f>
        <v>3.8399999999999997E-2</v>
      </c>
      <c r="G234" s="1">
        <v>28</v>
      </c>
      <c r="H234" s="1">
        <v>11.3</v>
      </c>
    </row>
    <row r="235" spans="1:8">
      <c r="A235" s="1">
        <v>6</v>
      </c>
      <c r="B235" s="1" t="s">
        <v>226</v>
      </c>
      <c r="C235" s="1">
        <v>53.31</v>
      </c>
      <c r="D235" s="1">
        <v>228.61</v>
      </c>
      <c r="E235" s="1">
        <v>0.38035600000000003</v>
      </c>
      <c r="F235" s="1">
        <f>3110400*(10^-6)</f>
        <v>3.1103999999999998</v>
      </c>
      <c r="G235" s="1">
        <v>28</v>
      </c>
      <c r="H235" s="1">
        <v>10.130000000000001</v>
      </c>
    </row>
    <row r="236" spans="1:8">
      <c r="A236" s="1">
        <v>7</v>
      </c>
      <c r="B236" s="1" t="s">
        <v>227</v>
      </c>
      <c r="C236" s="1">
        <v>61.13</v>
      </c>
      <c r="D236" s="1">
        <v>225.85</v>
      </c>
      <c r="E236" s="1">
        <v>0.35767900000000002</v>
      </c>
      <c r="F236" s="1">
        <f>230400*(10^-6)</f>
        <v>0.23039999999999999</v>
      </c>
      <c r="G236" s="1">
        <v>0</v>
      </c>
      <c r="H236" s="1">
        <v>11.58</v>
      </c>
    </row>
    <row r="237" spans="1:8">
      <c r="A237" s="1">
        <v>8</v>
      </c>
      <c r="B237" s="1" t="s">
        <v>228</v>
      </c>
      <c r="C237" s="1">
        <v>55.43</v>
      </c>
      <c r="D237" s="1">
        <v>231.06</v>
      </c>
      <c r="E237" s="1">
        <v>0.41416700000000001</v>
      </c>
      <c r="F237" s="1">
        <f>21081600*(10^-6)</f>
        <v>21.081599999999998</v>
      </c>
      <c r="G237" s="1">
        <v>36</v>
      </c>
      <c r="H237" s="1">
        <v>10.52</v>
      </c>
    </row>
    <row r="238" spans="1:8">
      <c r="A238" s="1">
        <v>9</v>
      </c>
      <c r="B238" s="1" t="s">
        <v>229</v>
      </c>
      <c r="C238" s="1">
        <v>62.06</v>
      </c>
      <c r="D238" s="1">
        <v>231.64</v>
      </c>
      <c r="E238" s="1">
        <v>0.40647800000000001</v>
      </c>
      <c r="F238" s="1">
        <f>7603200*(10^-6)</f>
        <v>7.6031999999999993</v>
      </c>
      <c r="G238" s="1">
        <v>4</v>
      </c>
      <c r="H238" s="1">
        <v>11.74</v>
      </c>
    </row>
    <row r="239" spans="1:8">
      <c r="A239" s="1">
        <v>10</v>
      </c>
      <c r="B239" s="1" t="s">
        <v>230</v>
      </c>
      <c r="C239" s="1">
        <v>57.87</v>
      </c>
      <c r="D239" s="1">
        <v>226.73</v>
      </c>
      <c r="E239" s="1">
        <v>0.37279499999999999</v>
      </c>
      <c r="F239" s="1">
        <f>268800*(10^-6)</f>
        <v>0.26879999999999998</v>
      </c>
      <c r="G239" s="1">
        <v>2</v>
      </c>
      <c r="H239" s="1">
        <v>10.96</v>
      </c>
    </row>
    <row r="240" spans="1:8">
      <c r="A240" s="1">
        <v>11</v>
      </c>
      <c r="B240" s="1" t="s">
        <v>231</v>
      </c>
      <c r="C240" s="1">
        <v>67.17</v>
      </c>
      <c r="D240" s="1">
        <v>229.16</v>
      </c>
      <c r="E240" s="1">
        <v>0.38700299999999999</v>
      </c>
      <c r="F240" s="1">
        <f>537600*(10^-6)</f>
        <v>0.53759999999999997</v>
      </c>
      <c r="G240" s="1">
        <v>48</v>
      </c>
      <c r="H240" s="1">
        <v>12.75</v>
      </c>
    </row>
    <row r="241" spans="1:8">
      <c r="A241" s="1">
        <v>12</v>
      </c>
      <c r="B241" s="1" t="s">
        <v>232</v>
      </c>
      <c r="C241" s="1">
        <v>67.08</v>
      </c>
      <c r="D241" s="1">
        <v>229.02</v>
      </c>
      <c r="E241" s="1">
        <v>0.39930399999999999</v>
      </c>
      <c r="F241" s="1">
        <f>614400*(10^-6)</f>
        <v>0.61439999999999995</v>
      </c>
      <c r="G241" s="1">
        <v>24</v>
      </c>
      <c r="H241" s="1">
        <v>12.7</v>
      </c>
    </row>
    <row r="242" spans="1:8">
      <c r="A242" s="1">
        <v>13</v>
      </c>
      <c r="B242" s="1" t="s">
        <v>233</v>
      </c>
      <c r="C242" s="1">
        <v>58.42</v>
      </c>
      <c r="D242" s="1">
        <v>226.55</v>
      </c>
      <c r="E242" s="1">
        <v>0.373608</v>
      </c>
      <c r="F242" s="1">
        <f>268800*(10^-6)</f>
        <v>0.26879999999999998</v>
      </c>
      <c r="G242" s="1">
        <v>42</v>
      </c>
      <c r="H242" s="1">
        <v>11.06</v>
      </c>
    </row>
    <row r="243" spans="1:8">
      <c r="A243" s="1">
        <v>14</v>
      </c>
      <c r="B243" s="1" t="s">
        <v>234</v>
      </c>
      <c r="C243" s="1">
        <v>57.04</v>
      </c>
      <c r="D243" s="1">
        <v>229.29</v>
      </c>
      <c r="E243" s="1">
        <v>0.40558899999999998</v>
      </c>
      <c r="F243" s="1">
        <f>1420800*(10^-6)</f>
        <v>1.4207999999999998</v>
      </c>
      <c r="G243" s="1">
        <v>38</v>
      </c>
      <c r="H243" s="1">
        <v>10.81</v>
      </c>
    </row>
    <row r="244" spans="1:8">
      <c r="A244" s="1">
        <v>15</v>
      </c>
      <c r="B244" s="1" t="s">
        <v>235</v>
      </c>
      <c r="C244" s="1">
        <v>60.44</v>
      </c>
      <c r="D244" s="1">
        <v>228.85</v>
      </c>
      <c r="E244" s="1">
        <v>0.39490599999999998</v>
      </c>
      <c r="F244" s="1">
        <f>384000*(10^-6)</f>
        <v>0.38400000000000001</v>
      </c>
      <c r="G244" s="1">
        <v>48</v>
      </c>
      <c r="H244" s="1">
        <v>11.46</v>
      </c>
    </row>
    <row r="245" spans="1:8">
      <c r="A245" s="1">
        <v>16</v>
      </c>
      <c r="B245" s="1" t="s">
        <v>236</v>
      </c>
      <c r="C245" s="1">
        <v>56.77</v>
      </c>
      <c r="D245" s="1">
        <v>229.36</v>
      </c>
      <c r="E245" s="1">
        <v>0.38583600000000001</v>
      </c>
      <c r="F245" s="1">
        <f>3571200*(10^-6)</f>
        <v>3.5711999999999997</v>
      </c>
      <c r="G245" s="1">
        <v>2</v>
      </c>
      <c r="H245" s="1">
        <v>10.79</v>
      </c>
    </row>
    <row r="246" spans="1:8">
      <c r="A246" s="1">
        <v>17</v>
      </c>
      <c r="B246" s="1" t="s">
        <v>237</v>
      </c>
      <c r="C246" s="1">
        <v>64.31</v>
      </c>
      <c r="D246" s="1">
        <v>222.75</v>
      </c>
      <c r="E246" s="1">
        <v>0.35722500000000001</v>
      </c>
      <c r="F246" s="1">
        <f>38400*(10^-6)</f>
        <v>3.8399999999999997E-2</v>
      </c>
      <c r="G246" s="1">
        <v>16</v>
      </c>
      <c r="H246" s="1">
        <v>12.19</v>
      </c>
    </row>
    <row r="247" spans="1:8">
      <c r="A247" s="1">
        <v>18</v>
      </c>
      <c r="B247" s="1" t="s">
        <v>238</v>
      </c>
      <c r="C247" s="1">
        <v>63.37</v>
      </c>
      <c r="D247" s="1">
        <v>227.78</v>
      </c>
      <c r="E247" s="1">
        <v>0.39599699999999999</v>
      </c>
      <c r="F247" s="1">
        <f>115200*(10^-6)</f>
        <v>0.1152</v>
      </c>
      <c r="G247" s="1">
        <v>56</v>
      </c>
      <c r="H247" s="1">
        <v>12.05</v>
      </c>
    </row>
    <row r="248" spans="1:8">
      <c r="A248" s="1">
        <v>19</v>
      </c>
      <c r="B248" s="1" t="s">
        <v>239</v>
      </c>
      <c r="C248" s="1">
        <v>64.42</v>
      </c>
      <c r="D248" s="1">
        <v>228.9</v>
      </c>
      <c r="E248" s="1">
        <v>0.38186199999999998</v>
      </c>
      <c r="F248" s="1">
        <f>691200*(10^-6)</f>
        <v>0.69119999999999993</v>
      </c>
      <c r="G248" s="1">
        <v>10</v>
      </c>
      <c r="H248" s="1">
        <v>12.22</v>
      </c>
    </row>
    <row r="249" spans="1:8">
      <c r="A249" s="1">
        <v>20</v>
      </c>
      <c r="B249" s="1" t="s">
        <v>240</v>
      </c>
      <c r="C249" s="1">
        <v>59.2</v>
      </c>
      <c r="D249" s="1">
        <v>227.44</v>
      </c>
      <c r="E249" s="1">
        <v>0.37892799999999999</v>
      </c>
      <c r="F249" s="1">
        <f>153600*(10^-6)</f>
        <v>0.15359999999999999</v>
      </c>
      <c r="G249" s="1">
        <v>30</v>
      </c>
      <c r="H249" s="1">
        <v>11.24</v>
      </c>
    </row>
    <row r="250" spans="1:8">
      <c r="A250" s="1">
        <v>21</v>
      </c>
      <c r="B250" s="1" t="s">
        <v>241</v>
      </c>
      <c r="C250" s="1">
        <v>53.05</v>
      </c>
      <c r="D250" s="1">
        <v>226.81</v>
      </c>
      <c r="E250" s="1">
        <v>0.37919199999999997</v>
      </c>
      <c r="F250" s="1">
        <f>230400*(10^-6)</f>
        <v>0.23039999999999999</v>
      </c>
      <c r="G250" s="1">
        <v>20</v>
      </c>
      <c r="H250" s="1">
        <v>10.039999999999999</v>
      </c>
    </row>
    <row r="251" spans="1:8">
      <c r="A251" s="1">
        <v>22</v>
      </c>
      <c r="B251" s="1" t="s">
        <v>242</v>
      </c>
      <c r="C251" s="1">
        <v>55.86</v>
      </c>
      <c r="D251" s="1">
        <v>229.1</v>
      </c>
      <c r="E251" s="1">
        <v>0.38701400000000002</v>
      </c>
      <c r="F251" s="1">
        <f>1036800*(10^-6)</f>
        <v>1.0367999999999999</v>
      </c>
      <c r="G251" s="1">
        <v>10</v>
      </c>
      <c r="H251" s="1">
        <v>10.58</v>
      </c>
    </row>
    <row r="252" spans="1:8">
      <c r="A252" s="1">
        <v>23</v>
      </c>
      <c r="B252" s="1" t="s">
        <v>243</v>
      </c>
      <c r="C252" s="1">
        <v>64.989999999999995</v>
      </c>
      <c r="D252" s="1">
        <v>229.26</v>
      </c>
      <c r="E252" s="1">
        <v>0.381577</v>
      </c>
      <c r="F252" s="1">
        <f>998400*(10^-6)</f>
        <v>0.99839999999999995</v>
      </c>
      <c r="G252" s="1">
        <v>44</v>
      </c>
      <c r="H252" s="1">
        <v>12.33</v>
      </c>
    </row>
    <row r="253" spans="1:8">
      <c r="A253" s="1">
        <v>24</v>
      </c>
      <c r="B253" s="1" t="s">
        <v>244</v>
      </c>
      <c r="C253" s="1">
        <v>58.37</v>
      </c>
      <c r="D253" s="1">
        <v>222.87</v>
      </c>
      <c r="E253" s="1">
        <v>0.34067999999999998</v>
      </c>
      <c r="F253" s="1">
        <f>268800*(10^-6)</f>
        <v>0.26879999999999998</v>
      </c>
      <c r="G253" s="1">
        <v>58</v>
      </c>
      <c r="H253" s="1">
        <v>11.05</v>
      </c>
    </row>
    <row r="254" spans="1:8">
      <c r="A254" s="1">
        <v>25</v>
      </c>
      <c r="B254" s="1" t="s">
        <v>245</v>
      </c>
      <c r="C254" s="1">
        <v>58.5</v>
      </c>
      <c r="D254" s="1">
        <v>228.74</v>
      </c>
      <c r="E254" s="1">
        <v>0.38232899999999997</v>
      </c>
      <c r="F254" s="1">
        <f>1152000*(10^-6)</f>
        <v>1.1519999999999999</v>
      </c>
      <c r="G254" s="1">
        <v>38</v>
      </c>
      <c r="H254" s="1">
        <v>11.14</v>
      </c>
    </row>
    <row r="255" spans="1:8">
      <c r="A255" s="1">
        <v>26</v>
      </c>
      <c r="B255" s="1" t="s">
        <v>246</v>
      </c>
      <c r="C255" s="1">
        <v>64.45</v>
      </c>
      <c r="D255" s="1">
        <v>226.79</v>
      </c>
      <c r="E255" s="1">
        <v>0.37853100000000001</v>
      </c>
      <c r="F255" s="1">
        <f>883200*(10^-6)</f>
        <v>0.88319999999999999</v>
      </c>
      <c r="G255" s="1">
        <v>6</v>
      </c>
      <c r="H255" s="1">
        <v>12.2</v>
      </c>
    </row>
    <row r="256" spans="1:8">
      <c r="A256" s="1">
        <v>27</v>
      </c>
      <c r="B256" s="1" t="s">
        <v>247</v>
      </c>
      <c r="C256" s="1">
        <v>65.069999999999993</v>
      </c>
      <c r="D256" s="1">
        <v>228.21</v>
      </c>
      <c r="E256" s="1">
        <v>0.38550800000000002</v>
      </c>
      <c r="F256" s="1">
        <f>537600*(10^-6)</f>
        <v>0.53759999999999997</v>
      </c>
      <c r="G256" s="1">
        <v>0</v>
      </c>
      <c r="H256" s="1">
        <v>12.33</v>
      </c>
    </row>
    <row r="257" spans="1:8">
      <c r="A257" s="1">
        <v>28</v>
      </c>
      <c r="B257" s="1" t="s">
        <v>248</v>
      </c>
      <c r="C257" s="1">
        <v>58.5</v>
      </c>
      <c r="D257" s="1">
        <v>223.42</v>
      </c>
      <c r="E257" s="1">
        <v>0.35076800000000002</v>
      </c>
      <c r="F257" s="1">
        <f>384000*(10^-6)</f>
        <v>0.38400000000000001</v>
      </c>
      <c r="G257" s="1">
        <v>14</v>
      </c>
      <c r="H257" s="1">
        <v>11.1</v>
      </c>
    </row>
    <row r="258" spans="1:8">
      <c r="A258" s="1">
        <v>29</v>
      </c>
      <c r="B258" s="1" t="s">
        <v>249</v>
      </c>
      <c r="C258" s="1">
        <v>62.9</v>
      </c>
      <c r="D258" s="1">
        <v>230.22</v>
      </c>
      <c r="E258" s="1">
        <v>0.393652</v>
      </c>
      <c r="F258" s="1">
        <f>998400*(10^-6)</f>
        <v>0.99839999999999995</v>
      </c>
      <c r="G258" s="1">
        <v>34</v>
      </c>
      <c r="H258" s="1">
        <v>11.9</v>
      </c>
    </row>
    <row r="259" spans="1:8">
      <c r="A259" s="1">
        <v>30</v>
      </c>
      <c r="B259" s="1" t="s">
        <v>250</v>
      </c>
      <c r="C259" s="1">
        <v>60.72</v>
      </c>
      <c r="D259" s="1">
        <v>227.68</v>
      </c>
      <c r="E259" s="1">
        <v>0.38026799999999999</v>
      </c>
      <c r="F259" s="1">
        <f>76800*(10^-6)</f>
        <v>7.6799999999999993E-2</v>
      </c>
      <c r="G259" s="1">
        <v>2</v>
      </c>
      <c r="H259" s="1">
        <v>11.52</v>
      </c>
    </row>
    <row r="260" spans="1:8">
      <c r="A260" s="1">
        <v>31</v>
      </c>
      <c r="B260" s="1" t="s">
        <v>251</v>
      </c>
      <c r="C260" s="1">
        <v>65.790000000000006</v>
      </c>
      <c r="D260" s="1">
        <v>227.32</v>
      </c>
      <c r="E260" s="1">
        <v>0.38384400000000002</v>
      </c>
      <c r="F260" s="1">
        <f>652800*(10^-6)</f>
        <v>0.65279999999999994</v>
      </c>
      <c r="G260" s="1">
        <v>8</v>
      </c>
      <c r="H260" s="1">
        <v>12.48</v>
      </c>
    </row>
    <row r="261" spans="1:8">
      <c r="A261" s="1">
        <v>32</v>
      </c>
      <c r="B261" s="1" t="s">
        <v>252</v>
      </c>
      <c r="C261" s="1">
        <v>58.56</v>
      </c>
      <c r="D261" s="1">
        <v>226.61</v>
      </c>
      <c r="E261" s="1">
        <v>0.36510700000000001</v>
      </c>
      <c r="F261" s="1">
        <f>537600*(10^-6)</f>
        <v>0.53759999999999997</v>
      </c>
      <c r="G261" s="1">
        <v>40</v>
      </c>
      <c r="H261" s="1">
        <v>11.1</v>
      </c>
    </row>
    <row r="262" spans="1:8">
      <c r="A262" s="1">
        <v>33</v>
      </c>
      <c r="B262" s="1" t="s">
        <v>253</v>
      </c>
      <c r="C262" s="1">
        <v>59.48</v>
      </c>
      <c r="D262" s="1">
        <v>227.25</v>
      </c>
      <c r="E262" s="1">
        <v>0.35913899999999999</v>
      </c>
      <c r="F262" s="1">
        <f>1574400*(10^-6)</f>
        <v>1.5744</v>
      </c>
      <c r="G262" s="1">
        <v>44</v>
      </c>
      <c r="H262" s="1">
        <v>11.26</v>
      </c>
    </row>
    <row r="263" spans="1:8">
      <c r="A263" s="1">
        <v>34</v>
      </c>
      <c r="B263" s="1" t="s">
        <v>254</v>
      </c>
      <c r="C263" s="1">
        <v>59.69</v>
      </c>
      <c r="D263" s="1">
        <v>228.04</v>
      </c>
      <c r="E263" s="1">
        <v>0.381971</v>
      </c>
      <c r="F263" s="1">
        <f>614400*(10^-6)</f>
        <v>0.61439999999999995</v>
      </c>
      <c r="G263" s="1">
        <v>20</v>
      </c>
      <c r="H263" s="1">
        <v>11.3</v>
      </c>
    </row>
    <row r="264" spans="1:8">
      <c r="A264" s="1">
        <v>35</v>
      </c>
      <c r="B264" s="1" t="s">
        <v>255</v>
      </c>
      <c r="C264" s="1">
        <v>62.99</v>
      </c>
      <c r="D264" s="1">
        <v>227.99</v>
      </c>
      <c r="E264" s="1">
        <v>0.38923999999999997</v>
      </c>
      <c r="F264" s="1">
        <f>307200*(10^-6)</f>
        <v>0.30719999999999997</v>
      </c>
      <c r="G264" s="1">
        <v>40</v>
      </c>
      <c r="H264" s="1">
        <v>11.94</v>
      </c>
    </row>
    <row r="265" spans="1:8">
      <c r="A265" s="1">
        <v>36</v>
      </c>
      <c r="B265" s="1" t="s">
        <v>256</v>
      </c>
      <c r="C265" s="1">
        <v>61.13</v>
      </c>
      <c r="D265" s="1">
        <v>228.97</v>
      </c>
      <c r="E265" s="1">
        <v>0.37275999999999998</v>
      </c>
      <c r="F265" s="1">
        <f>1804800*(10^-6)</f>
        <v>1.8048</v>
      </c>
      <c r="G265" s="1">
        <v>42</v>
      </c>
      <c r="H265" s="1">
        <v>11.61</v>
      </c>
    </row>
    <row r="266" spans="1:8">
      <c r="A266" s="1">
        <v>37</v>
      </c>
      <c r="B266" s="1" t="s">
        <v>257</v>
      </c>
      <c r="C266" s="1">
        <v>57.02</v>
      </c>
      <c r="D266" s="1">
        <v>231.41</v>
      </c>
      <c r="E266" s="1">
        <v>0.43251299999999998</v>
      </c>
      <c r="F266" s="1">
        <f>7795200*(10^-6)</f>
        <v>7.7951999999999995</v>
      </c>
      <c r="G266" s="1">
        <v>56</v>
      </c>
      <c r="H266" s="1">
        <v>10.81</v>
      </c>
    </row>
    <row r="267" spans="1:8">
      <c r="A267" s="1">
        <v>38</v>
      </c>
      <c r="B267" s="1" t="s">
        <v>258</v>
      </c>
      <c r="C267" s="1">
        <v>62.27</v>
      </c>
      <c r="D267" s="1">
        <v>229.68</v>
      </c>
      <c r="E267" s="1">
        <v>0.39171600000000001</v>
      </c>
      <c r="F267" s="1">
        <f>307200*(10^-6)</f>
        <v>0.30719999999999997</v>
      </c>
      <c r="G267" s="1">
        <v>28</v>
      </c>
      <c r="H267" s="1">
        <v>11.81</v>
      </c>
    </row>
    <row r="268" spans="1:8">
      <c r="A268" s="1">
        <v>39</v>
      </c>
      <c r="B268" s="1" t="s">
        <v>259</v>
      </c>
      <c r="C268" s="1">
        <v>61.68</v>
      </c>
      <c r="D268" s="1">
        <v>226.75</v>
      </c>
      <c r="E268" s="1">
        <v>0.37011699999999997</v>
      </c>
      <c r="F268" s="1">
        <f>921600*(10^-6)</f>
        <v>0.92159999999999997</v>
      </c>
      <c r="G268" s="1">
        <v>10</v>
      </c>
      <c r="H268" s="1">
        <v>11.7</v>
      </c>
    </row>
    <row r="269" spans="1:8">
      <c r="A269" s="1">
        <v>40</v>
      </c>
      <c r="B269" s="1" t="s">
        <v>260</v>
      </c>
      <c r="C269" s="1">
        <v>59.36</v>
      </c>
      <c r="D269" s="1">
        <v>228.51</v>
      </c>
      <c r="E269" s="1">
        <v>0.389928</v>
      </c>
      <c r="F269" s="1">
        <f>806400*(10^-6)</f>
        <v>0.80640000000000001</v>
      </c>
      <c r="G269" s="1">
        <v>12</v>
      </c>
      <c r="H269" s="1">
        <v>11.26</v>
      </c>
    </row>
    <row r="270" spans="1:8">
      <c r="A270" s="1">
        <v>41</v>
      </c>
      <c r="B270" s="1" t="s">
        <v>261</v>
      </c>
      <c r="C270" s="1">
        <v>59.76</v>
      </c>
      <c r="D270" s="1">
        <v>226.66</v>
      </c>
      <c r="E270" s="1">
        <v>0.37660700000000003</v>
      </c>
      <c r="F270" s="1">
        <f>537600*(10^-6)</f>
        <v>0.53759999999999997</v>
      </c>
      <c r="G270" s="1">
        <v>26</v>
      </c>
      <c r="H270" s="1">
        <v>11.33</v>
      </c>
    </row>
    <row r="271" spans="1:8">
      <c r="A271" s="1">
        <v>42</v>
      </c>
      <c r="B271" s="1" t="s">
        <v>262</v>
      </c>
      <c r="C271" s="1">
        <v>54.85</v>
      </c>
      <c r="D271" s="1">
        <v>228.12</v>
      </c>
      <c r="E271" s="1">
        <v>0.37594499999999997</v>
      </c>
      <c r="F271" s="1">
        <f>384000*(10^-6)</f>
        <v>0.38400000000000001</v>
      </c>
      <c r="G271" s="1">
        <v>36</v>
      </c>
      <c r="H271" s="1">
        <v>10.38</v>
      </c>
    </row>
    <row r="272" spans="1:8">
      <c r="A272" s="1">
        <v>43</v>
      </c>
      <c r="B272" s="1" t="s">
        <v>263</v>
      </c>
      <c r="C272" s="1">
        <v>58.41</v>
      </c>
      <c r="D272" s="1">
        <v>225.09</v>
      </c>
      <c r="E272" s="1">
        <v>0.35142499999999999</v>
      </c>
      <c r="F272" s="1">
        <f>153600*(10^-6)</f>
        <v>0.15359999999999999</v>
      </c>
      <c r="G272" s="1">
        <v>20</v>
      </c>
      <c r="H272" s="1">
        <v>11.08</v>
      </c>
    </row>
    <row r="273" spans="1:8">
      <c r="A273" s="1">
        <v>44</v>
      </c>
      <c r="B273" s="1" t="s">
        <v>264</v>
      </c>
      <c r="C273" s="1">
        <v>61.11</v>
      </c>
      <c r="D273" s="1">
        <v>227.93</v>
      </c>
      <c r="E273" s="1">
        <v>0.39106099999999999</v>
      </c>
      <c r="F273" s="1">
        <f>307200*(10^-6)</f>
        <v>0.30719999999999997</v>
      </c>
      <c r="G273" s="1">
        <v>26</v>
      </c>
      <c r="H273" s="1">
        <v>11.59</v>
      </c>
    </row>
    <row r="274" spans="1:8">
      <c r="A274" s="1">
        <v>45</v>
      </c>
      <c r="B274" s="1" t="s">
        <v>265</v>
      </c>
      <c r="C274" s="1">
        <v>57.38</v>
      </c>
      <c r="D274" s="1">
        <v>231.54</v>
      </c>
      <c r="E274" s="1">
        <v>0.41759400000000002</v>
      </c>
      <c r="F274" s="1">
        <f>25958400*(10^-6)</f>
        <v>25.958399999999997</v>
      </c>
      <c r="G274" s="1">
        <v>18</v>
      </c>
      <c r="H274" s="1">
        <v>10.87</v>
      </c>
    </row>
    <row r="275" spans="1:8">
      <c r="A275" s="1">
        <v>46</v>
      </c>
      <c r="B275" s="1" t="s">
        <v>266</v>
      </c>
      <c r="C275" s="1">
        <v>66.75</v>
      </c>
      <c r="D275" s="1">
        <v>231.54</v>
      </c>
      <c r="E275" s="1">
        <v>0.41008</v>
      </c>
      <c r="F275" s="1">
        <f>1958400*(10^-6)</f>
        <v>1.9583999999999999</v>
      </c>
      <c r="G275" s="1">
        <v>2</v>
      </c>
      <c r="H275" s="1">
        <v>12.66</v>
      </c>
    </row>
    <row r="276" spans="1:8">
      <c r="A276" s="1">
        <v>47</v>
      </c>
      <c r="B276" s="1" t="s">
        <v>267</v>
      </c>
      <c r="C276" s="1">
        <v>66.430000000000007</v>
      </c>
      <c r="D276" s="1">
        <v>233.34</v>
      </c>
      <c r="E276" s="1">
        <v>0.43090699999999998</v>
      </c>
      <c r="F276" s="1">
        <f>15705600*(10^-6)</f>
        <v>15.705599999999999</v>
      </c>
      <c r="G276" s="1">
        <v>18</v>
      </c>
      <c r="H276" s="1">
        <v>12.61</v>
      </c>
    </row>
    <row r="277" spans="1:8">
      <c r="A277" s="1">
        <v>48</v>
      </c>
      <c r="B277" s="1" t="s">
        <v>268</v>
      </c>
      <c r="C277" s="1">
        <v>69.209999999999994</v>
      </c>
      <c r="D277" s="1">
        <v>231.97</v>
      </c>
      <c r="E277" s="1">
        <v>0.41916399999999998</v>
      </c>
      <c r="F277" s="1">
        <f>230400*(10^-6)</f>
        <v>0.23039999999999999</v>
      </c>
      <c r="G277" s="1">
        <v>0</v>
      </c>
      <c r="H277" s="1">
        <v>13.11</v>
      </c>
    </row>
    <row r="278" spans="1:8">
      <c r="A278" s="1">
        <v>49</v>
      </c>
      <c r="B278" s="1" t="s">
        <v>269</v>
      </c>
      <c r="C278" s="1">
        <v>56.43</v>
      </c>
      <c r="D278" s="1">
        <v>229.84</v>
      </c>
      <c r="E278" s="1">
        <v>0.40494200000000002</v>
      </c>
      <c r="F278" s="1">
        <f>1651200*(10^-6)</f>
        <v>1.6512</v>
      </c>
      <c r="G278" s="1">
        <v>38</v>
      </c>
      <c r="H278" s="1">
        <v>10.71</v>
      </c>
    </row>
    <row r="279" spans="1:8">
      <c r="A279" s="1">
        <v>50</v>
      </c>
      <c r="B279" s="1" t="s">
        <v>270</v>
      </c>
      <c r="C279" s="1">
        <v>61.84</v>
      </c>
      <c r="D279" s="1">
        <v>226.72</v>
      </c>
      <c r="E279" s="1">
        <v>0.36094500000000002</v>
      </c>
      <c r="F279" s="1">
        <f>268800*(10^-6)</f>
        <v>0.26879999999999998</v>
      </c>
      <c r="G279" s="1">
        <v>16</v>
      </c>
      <c r="H279" s="1">
        <v>11.72</v>
      </c>
    </row>
    <row r="280" spans="1:8">
      <c r="B280" s="1" t="s">
        <v>19</v>
      </c>
      <c r="C280" s="1">
        <f>AVERAGE(C230:C279)</f>
        <v>60.82419999999999</v>
      </c>
      <c r="D280" s="1">
        <f t="shared" ref="D280" si="26">AVERAGE(D230:D279)</f>
        <v>228.23320000000004</v>
      </c>
      <c r="E280" s="1">
        <f t="shared" ref="E280" si="27">AVERAGE(E230:E279)</f>
        <v>0.38461482000000002</v>
      </c>
      <c r="F280" s="1">
        <f t="shared" ref="F280" si="28">AVERAGE(F230:F279)</f>
        <v>2.2847999999999993</v>
      </c>
      <c r="H280" s="1">
        <f t="shared" ref="H280" si="29">AVERAGE(H230:H279)</f>
        <v>11.531799999999999</v>
      </c>
    </row>
    <row r="281" spans="1:8">
      <c r="B281" s="1" t="s">
        <v>20</v>
      </c>
      <c r="C281" s="1">
        <f>MIN(C229:C279)</f>
        <v>53.05</v>
      </c>
      <c r="D281" s="1">
        <f t="shared" ref="D281:F281" si="30">MIN(D229:D279)</f>
        <v>222.75</v>
      </c>
      <c r="E281" s="1">
        <f t="shared" si="30"/>
        <v>0.34067999999999998</v>
      </c>
      <c r="F281" s="1">
        <f t="shared" si="30"/>
        <v>3.8399999999999997E-2</v>
      </c>
      <c r="H281" s="1">
        <f t="shared" ref="H281" si="31">MIN(H229:H279)</f>
        <v>10.039999999999999</v>
      </c>
    </row>
    <row r="282" spans="1:8">
      <c r="B282" s="1" t="s">
        <v>3</v>
      </c>
      <c r="C282" s="1">
        <f>STDEV(C230:C279)</f>
        <v>3.8249524953702077</v>
      </c>
      <c r="D282" s="1">
        <f t="shared" ref="D282:E282" si="32">STDEV(D230:D279)</f>
        <v>2.2597773413884039</v>
      </c>
      <c r="E282" s="1">
        <f t="shared" si="32"/>
        <v>2.0074257577639532E-2</v>
      </c>
      <c r="F282" s="1">
        <f>STDEV(F230:F279)</f>
        <v>5.1081942257673862</v>
      </c>
      <c r="H282" s="1">
        <f>STDEV(H230:H279)</f>
        <v>0.72410589483776544</v>
      </c>
    </row>
    <row r="284" spans="1:8">
      <c r="H284" s="2" t="s">
        <v>1435</v>
      </c>
    </row>
    <row r="285" spans="1:8" ht="18">
      <c r="A285" s="2" t="s">
        <v>7</v>
      </c>
      <c r="B285" s="3" t="s">
        <v>10</v>
      </c>
      <c r="C285" s="2" t="s">
        <v>4</v>
      </c>
      <c r="D285" s="2" t="s">
        <v>322</v>
      </c>
      <c r="E285" s="2" t="s">
        <v>321</v>
      </c>
      <c r="F285" s="2" t="s">
        <v>324</v>
      </c>
      <c r="G285" s="2" t="s">
        <v>323</v>
      </c>
      <c r="H285" s="2" t="s">
        <v>1436</v>
      </c>
    </row>
    <row r="286" spans="1:8">
      <c r="A286" s="1">
        <v>1</v>
      </c>
      <c r="B286" s="1" t="s">
        <v>271</v>
      </c>
      <c r="C286" s="1">
        <v>52.73</v>
      </c>
      <c r="D286" s="1">
        <v>299.44</v>
      </c>
      <c r="E286" s="1">
        <v>0.34811999999999999</v>
      </c>
      <c r="F286" s="1">
        <f>153600*(10^-6)</f>
        <v>0.15359999999999999</v>
      </c>
      <c r="G286" s="1">
        <v>24</v>
      </c>
      <c r="H286" s="1">
        <v>10.02</v>
      </c>
    </row>
    <row r="287" spans="1:8">
      <c r="A287" s="1">
        <v>2</v>
      </c>
      <c r="B287" s="1" t="s">
        <v>272</v>
      </c>
      <c r="C287" s="1">
        <v>56.33</v>
      </c>
      <c r="D287" s="1">
        <v>305.08999999999997</v>
      </c>
      <c r="E287" s="1">
        <v>0.37071399999999999</v>
      </c>
      <c r="F287" s="1">
        <f>1459200*(10^-6)</f>
        <v>1.4591999999999998</v>
      </c>
      <c r="G287" s="1">
        <v>42</v>
      </c>
      <c r="H287" s="1">
        <v>10.69</v>
      </c>
    </row>
    <row r="288" spans="1:8">
      <c r="A288" s="1">
        <v>3</v>
      </c>
      <c r="B288" s="1" t="s">
        <v>273</v>
      </c>
      <c r="C288" s="1">
        <v>53.63</v>
      </c>
      <c r="D288" s="1">
        <v>301.56</v>
      </c>
      <c r="E288" s="1">
        <v>0.35404099999999999</v>
      </c>
      <c r="F288" s="1">
        <f>537600*(10^-6)</f>
        <v>0.53759999999999997</v>
      </c>
      <c r="G288" s="1">
        <v>76</v>
      </c>
      <c r="H288" s="1">
        <v>10.17</v>
      </c>
    </row>
    <row r="289" spans="1:8">
      <c r="A289" s="1">
        <v>4</v>
      </c>
      <c r="B289" s="1" t="s">
        <v>274</v>
      </c>
      <c r="C289" s="1">
        <v>57.63</v>
      </c>
      <c r="D289" s="1">
        <v>305.52999999999997</v>
      </c>
      <c r="E289" s="1">
        <v>0.38118299999999999</v>
      </c>
      <c r="F289" s="1">
        <f>1420800*(10^-6)</f>
        <v>1.4207999999999998</v>
      </c>
      <c r="G289" s="1">
        <v>22</v>
      </c>
      <c r="H289" s="1">
        <v>10.94</v>
      </c>
    </row>
    <row r="290" spans="1:8">
      <c r="A290" s="1">
        <v>5</v>
      </c>
      <c r="B290" s="1" t="s">
        <v>275</v>
      </c>
      <c r="C290" s="1">
        <v>56.26</v>
      </c>
      <c r="D290" s="1">
        <v>297.13</v>
      </c>
      <c r="E290" s="1">
        <v>0.328704</v>
      </c>
      <c r="F290" s="1">
        <f>268800*(10^-6)</f>
        <v>0.26879999999999998</v>
      </c>
      <c r="G290" s="1">
        <v>68</v>
      </c>
      <c r="H290" s="1">
        <v>10.67</v>
      </c>
    </row>
    <row r="291" spans="1:8">
      <c r="A291" s="1">
        <v>6</v>
      </c>
      <c r="B291" s="1" t="s">
        <v>276</v>
      </c>
      <c r="C291" s="1">
        <v>59.15</v>
      </c>
      <c r="D291" s="1">
        <v>295.87</v>
      </c>
      <c r="E291" s="1">
        <v>0.33890799999999999</v>
      </c>
      <c r="F291" s="1">
        <f>153600*(10^-6)</f>
        <v>0.15359999999999999</v>
      </c>
      <c r="G291" s="1">
        <v>0</v>
      </c>
      <c r="H291" s="1">
        <v>11.21</v>
      </c>
    </row>
    <row r="292" spans="1:8">
      <c r="A292" s="1">
        <v>7</v>
      </c>
      <c r="B292" s="1" t="s">
        <v>277</v>
      </c>
      <c r="C292" s="1">
        <v>48.91</v>
      </c>
      <c r="D292" s="1">
        <v>300.89999999999998</v>
      </c>
      <c r="E292" s="1">
        <v>0.36848700000000001</v>
      </c>
      <c r="F292" s="1">
        <f>115200*(10^-6)</f>
        <v>0.1152</v>
      </c>
      <c r="G292" s="1">
        <v>32</v>
      </c>
      <c r="H292" s="1">
        <v>9.2799999999999994</v>
      </c>
    </row>
    <row r="293" spans="1:8">
      <c r="A293" s="1">
        <v>8</v>
      </c>
      <c r="B293" s="1" t="s">
        <v>278</v>
      </c>
      <c r="C293" s="1">
        <v>59.18</v>
      </c>
      <c r="D293" s="1">
        <v>299.58999999999997</v>
      </c>
      <c r="E293" s="1">
        <v>0.36254700000000001</v>
      </c>
      <c r="F293" s="1">
        <f>76800*(10^-6)</f>
        <v>7.6799999999999993E-2</v>
      </c>
      <c r="G293" s="1">
        <v>46</v>
      </c>
      <c r="H293" s="1">
        <v>11.21</v>
      </c>
    </row>
    <row r="294" spans="1:8">
      <c r="A294" s="1">
        <v>9</v>
      </c>
      <c r="B294" s="1" t="s">
        <v>279</v>
      </c>
      <c r="C294" s="1">
        <v>52.49</v>
      </c>
      <c r="D294" s="1">
        <v>303.57</v>
      </c>
      <c r="E294" s="1">
        <v>0.37804300000000002</v>
      </c>
      <c r="F294" s="1">
        <f>1420800*(10^-6)</f>
        <v>1.4207999999999998</v>
      </c>
      <c r="G294" s="1">
        <v>8</v>
      </c>
      <c r="H294" s="1">
        <v>9.9600000000000009</v>
      </c>
    </row>
    <row r="295" spans="1:8">
      <c r="A295" s="1">
        <v>10</v>
      </c>
      <c r="B295" s="1" t="s">
        <v>280</v>
      </c>
      <c r="C295" s="1">
        <v>41.37</v>
      </c>
      <c r="D295" s="1">
        <v>302.37</v>
      </c>
      <c r="E295" s="1">
        <v>0.385021</v>
      </c>
      <c r="F295" s="1">
        <f>11136000*(10^-6)</f>
        <v>11.135999999999999</v>
      </c>
      <c r="G295" s="1">
        <v>72</v>
      </c>
      <c r="H295" s="1">
        <v>7.85</v>
      </c>
    </row>
    <row r="296" spans="1:8">
      <c r="A296" s="1">
        <v>11</v>
      </c>
      <c r="B296" s="1" t="s">
        <v>281</v>
      </c>
      <c r="C296" s="1">
        <v>52.89</v>
      </c>
      <c r="D296" s="1">
        <v>303.58999999999997</v>
      </c>
      <c r="E296" s="1">
        <v>0.37260700000000002</v>
      </c>
      <c r="F296" s="1">
        <f>1036800*(10^-6)</f>
        <v>1.0367999999999999</v>
      </c>
      <c r="G296" s="1">
        <v>8</v>
      </c>
      <c r="H296" s="1">
        <v>10.039999999999999</v>
      </c>
    </row>
    <row r="297" spans="1:8">
      <c r="A297" s="1">
        <v>12</v>
      </c>
      <c r="B297" s="1" t="s">
        <v>282</v>
      </c>
      <c r="C297" s="1">
        <v>54.61</v>
      </c>
      <c r="D297" s="1">
        <v>301.77</v>
      </c>
      <c r="E297" s="1">
        <v>0.366533</v>
      </c>
      <c r="F297" s="1">
        <f>38400*(10^-6)</f>
        <v>3.8399999999999997E-2</v>
      </c>
      <c r="G297" s="1">
        <v>22</v>
      </c>
      <c r="H297" s="1">
        <v>10.36</v>
      </c>
    </row>
    <row r="298" spans="1:8">
      <c r="A298" s="1">
        <v>13</v>
      </c>
      <c r="B298" s="1" t="s">
        <v>283</v>
      </c>
      <c r="C298" s="1">
        <v>54.58</v>
      </c>
      <c r="D298" s="1">
        <v>304.33</v>
      </c>
      <c r="E298" s="1">
        <v>0.37178600000000001</v>
      </c>
      <c r="F298" s="1">
        <f>384000*(10^-6)</f>
        <v>0.38400000000000001</v>
      </c>
      <c r="G298" s="1">
        <v>64</v>
      </c>
      <c r="H298" s="1">
        <v>10.36</v>
      </c>
    </row>
    <row r="299" spans="1:8">
      <c r="A299" s="1">
        <v>14</v>
      </c>
      <c r="B299" s="1" t="s">
        <v>284</v>
      </c>
      <c r="C299" s="1">
        <v>51.21</v>
      </c>
      <c r="D299" s="1">
        <v>302.07</v>
      </c>
      <c r="E299" s="1">
        <v>0.362454</v>
      </c>
      <c r="F299" s="1">
        <f>499200*(10^-6)</f>
        <v>0.49919999999999998</v>
      </c>
      <c r="G299" s="1">
        <v>26</v>
      </c>
      <c r="H299" s="1">
        <v>9.6999999999999993</v>
      </c>
    </row>
    <row r="300" spans="1:8">
      <c r="A300" s="1">
        <v>15</v>
      </c>
      <c r="B300" s="1" t="s">
        <v>285</v>
      </c>
      <c r="C300" s="1">
        <v>47.03</v>
      </c>
      <c r="D300" s="1">
        <v>299.29000000000002</v>
      </c>
      <c r="E300" s="1">
        <v>0.35656399999999999</v>
      </c>
      <c r="F300" s="1">
        <f>1689600*(10^-6)</f>
        <v>1.6896</v>
      </c>
      <c r="G300" s="1">
        <v>8</v>
      </c>
      <c r="H300" s="1">
        <v>8.93</v>
      </c>
    </row>
    <row r="301" spans="1:8">
      <c r="A301" s="1">
        <v>16</v>
      </c>
      <c r="B301" s="1" t="s">
        <v>286</v>
      </c>
      <c r="C301" s="1">
        <v>51.16</v>
      </c>
      <c r="D301" s="1">
        <v>301.58999999999997</v>
      </c>
      <c r="E301" s="1">
        <v>0.35272700000000001</v>
      </c>
      <c r="F301" s="1">
        <f>1190400*(10^-6)</f>
        <v>1.1903999999999999</v>
      </c>
      <c r="G301" s="1">
        <v>4</v>
      </c>
      <c r="H301" s="1">
        <v>9.7100000000000009</v>
      </c>
    </row>
    <row r="302" spans="1:8">
      <c r="A302" s="1">
        <v>17</v>
      </c>
      <c r="B302" s="1" t="s">
        <v>287</v>
      </c>
      <c r="C302" s="1">
        <v>50.12</v>
      </c>
      <c r="D302" s="1">
        <v>295.91000000000003</v>
      </c>
      <c r="E302" s="1">
        <v>0.32483299999999998</v>
      </c>
      <c r="F302" s="1">
        <f>422400*(10^-6)</f>
        <v>0.4224</v>
      </c>
      <c r="G302" s="1">
        <v>70</v>
      </c>
      <c r="H302" s="1">
        <v>9.51</v>
      </c>
    </row>
    <row r="303" spans="1:8">
      <c r="A303" s="1">
        <v>18</v>
      </c>
      <c r="B303" s="1" t="s">
        <v>288</v>
      </c>
      <c r="C303" s="1">
        <v>49.13</v>
      </c>
      <c r="D303" s="1">
        <v>301.86</v>
      </c>
      <c r="E303" s="1">
        <v>0.36138199999999998</v>
      </c>
      <c r="F303" s="1">
        <f>921600*(10^-6)</f>
        <v>0.92159999999999997</v>
      </c>
      <c r="G303" s="1">
        <v>4</v>
      </c>
      <c r="H303" s="1">
        <v>9.32</v>
      </c>
    </row>
    <row r="304" spans="1:8">
      <c r="A304" s="1">
        <v>19</v>
      </c>
      <c r="B304" s="1" t="s">
        <v>289</v>
      </c>
      <c r="C304" s="1">
        <v>54.1</v>
      </c>
      <c r="D304" s="1">
        <v>302.57</v>
      </c>
      <c r="E304" s="1">
        <v>0.36811300000000002</v>
      </c>
      <c r="F304" s="1">
        <f>883200*(10^-6)</f>
        <v>0.88319999999999999</v>
      </c>
      <c r="G304" s="1">
        <v>18</v>
      </c>
      <c r="H304" s="1">
        <v>10.26</v>
      </c>
    </row>
    <row r="305" spans="1:8">
      <c r="A305" s="1">
        <v>20</v>
      </c>
      <c r="B305" s="1" t="s">
        <v>290</v>
      </c>
      <c r="C305" s="1">
        <v>51.18</v>
      </c>
      <c r="D305" s="1">
        <v>299.85000000000002</v>
      </c>
      <c r="E305" s="1">
        <v>0.34501799999999999</v>
      </c>
      <c r="F305" s="1">
        <f>384000*(10^-6)</f>
        <v>0.38400000000000001</v>
      </c>
      <c r="G305" s="1">
        <v>42</v>
      </c>
      <c r="H305" s="1">
        <v>9.7100000000000009</v>
      </c>
    </row>
    <row r="306" spans="1:8">
      <c r="A306" s="1">
        <v>21</v>
      </c>
      <c r="B306" s="1" t="s">
        <v>291</v>
      </c>
      <c r="C306" s="1">
        <v>49.76</v>
      </c>
      <c r="D306" s="1">
        <v>299.94</v>
      </c>
      <c r="E306" s="1">
        <v>0.35079199999999999</v>
      </c>
      <c r="F306" s="1">
        <f>230400*(10^-6)</f>
        <v>0.23039999999999999</v>
      </c>
      <c r="G306" s="1">
        <v>28</v>
      </c>
      <c r="H306" s="1">
        <v>9.43</v>
      </c>
    </row>
    <row r="307" spans="1:8">
      <c r="A307" s="1">
        <v>22</v>
      </c>
      <c r="B307" s="1" t="s">
        <v>292</v>
      </c>
      <c r="C307" s="1">
        <v>56.38</v>
      </c>
      <c r="D307" s="1">
        <v>303.77</v>
      </c>
      <c r="E307" s="1">
        <v>0.36794399999999999</v>
      </c>
      <c r="F307" s="1">
        <f>614400*(10^-6)</f>
        <v>0.61439999999999995</v>
      </c>
      <c r="G307" s="1">
        <v>30</v>
      </c>
      <c r="H307" s="1">
        <v>10.66</v>
      </c>
    </row>
    <row r="308" spans="1:8">
      <c r="A308" s="1">
        <v>23</v>
      </c>
      <c r="B308" s="1" t="s">
        <v>293</v>
      </c>
      <c r="C308" s="1">
        <v>55.03</v>
      </c>
      <c r="D308" s="1">
        <v>300.23</v>
      </c>
      <c r="E308" s="1">
        <v>0.35561900000000002</v>
      </c>
      <c r="F308" s="1">
        <f>230400*(10^-6)</f>
        <v>0.23039999999999999</v>
      </c>
      <c r="G308" s="1">
        <v>58</v>
      </c>
      <c r="H308" s="1">
        <v>10.43</v>
      </c>
    </row>
    <row r="309" spans="1:8">
      <c r="A309" s="1">
        <v>24</v>
      </c>
      <c r="B309" s="1" t="s">
        <v>294</v>
      </c>
      <c r="C309" s="1">
        <v>52.09</v>
      </c>
      <c r="D309" s="1">
        <v>299.52999999999997</v>
      </c>
      <c r="E309" s="1">
        <v>0.348136</v>
      </c>
      <c r="F309" s="1">
        <f>576000*(10^-6)</f>
        <v>0.57599999999999996</v>
      </c>
      <c r="G309" s="1">
        <v>56</v>
      </c>
      <c r="H309" s="1">
        <v>9.89</v>
      </c>
    </row>
    <row r="310" spans="1:8">
      <c r="A310" s="1">
        <v>25</v>
      </c>
      <c r="B310" s="1" t="s">
        <v>295</v>
      </c>
      <c r="C310" s="1">
        <v>55.4</v>
      </c>
      <c r="D310" s="1">
        <v>304</v>
      </c>
      <c r="E310" s="1">
        <v>0.37315799999999999</v>
      </c>
      <c r="F310" s="1">
        <f>576000*(10^-6)</f>
        <v>0.57599999999999996</v>
      </c>
      <c r="G310" s="1">
        <v>76</v>
      </c>
      <c r="H310" s="1">
        <v>10.49</v>
      </c>
    </row>
    <row r="311" spans="1:8">
      <c r="A311" s="1">
        <v>26</v>
      </c>
      <c r="B311" s="1" t="s">
        <v>296</v>
      </c>
      <c r="C311" s="1">
        <v>58.64</v>
      </c>
      <c r="D311" s="1">
        <v>300.77999999999997</v>
      </c>
      <c r="E311" s="1">
        <v>0.38502999999999998</v>
      </c>
      <c r="F311" s="1">
        <f>115200*(10^-6)</f>
        <v>0.1152</v>
      </c>
      <c r="G311" s="1">
        <v>6</v>
      </c>
      <c r="H311" s="1">
        <v>11.1</v>
      </c>
    </row>
    <row r="312" spans="1:8">
      <c r="A312" s="1">
        <v>27</v>
      </c>
      <c r="B312" s="1" t="s">
        <v>297</v>
      </c>
      <c r="C312" s="1">
        <v>53.36</v>
      </c>
      <c r="D312" s="1">
        <v>305.18</v>
      </c>
      <c r="E312" s="1">
        <v>0.39650999999999997</v>
      </c>
      <c r="F312" s="1">
        <f>960000*(10^-6)</f>
        <v>0.96</v>
      </c>
      <c r="G312" s="1">
        <v>38</v>
      </c>
      <c r="H312" s="1">
        <v>10.119999999999999</v>
      </c>
    </row>
    <row r="313" spans="1:8">
      <c r="A313" s="1">
        <v>28</v>
      </c>
      <c r="B313" s="1" t="s">
        <v>298</v>
      </c>
      <c r="C313" s="1">
        <v>55.67</v>
      </c>
      <c r="D313" s="1">
        <v>302.47000000000003</v>
      </c>
      <c r="E313" s="1">
        <v>0.35768899999999998</v>
      </c>
      <c r="F313" s="1">
        <f>806400*(10^-6)</f>
        <v>0.80640000000000001</v>
      </c>
      <c r="G313" s="1">
        <v>50</v>
      </c>
      <c r="H313" s="1">
        <v>10.57</v>
      </c>
    </row>
    <row r="314" spans="1:8">
      <c r="A314" s="1">
        <v>29</v>
      </c>
      <c r="B314" s="1" t="s">
        <v>299</v>
      </c>
      <c r="C314" s="1">
        <v>47.79</v>
      </c>
      <c r="D314" s="1">
        <v>303.27</v>
      </c>
      <c r="E314" s="1">
        <v>0.36824600000000002</v>
      </c>
      <c r="F314" s="1">
        <f>3763200*(10^-6)</f>
        <v>3.7631999999999999</v>
      </c>
      <c r="G314" s="1">
        <v>24</v>
      </c>
      <c r="H314" s="1">
        <v>9.07</v>
      </c>
    </row>
    <row r="315" spans="1:8">
      <c r="A315" s="1">
        <v>30</v>
      </c>
      <c r="B315" s="1" t="s">
        <v>300</v>
      </c>
      <c r="C315" s="1">
        <v>56.3</v>
      </c>
      <c r="D315" s="1">
        <v>295.45</v>
      </c>
      <c r="E315" s="1">
        <v>0.324938</v>
      </c>
      <c r="F315" s="1">
        <f>38400*(10^-6)</f>
        <v>3.8399999999999997E-2</v>
      </c>
      <c r="G315" s="1">
        <v>68</v>
      </c>
      <c r="H315" s="1">
        <v>10.68</v>
      </c>
    </row>
    <row r="316" spans="1:8">
      <c r="A316" s="1">
        <v>31</v>
      </c>
      <c r="B316" s="1" t="s">
        <v>301</v>
      </c>
      <c r="C316" s="1">
        <v>51.46</v>
      </c>
      <c r="D316" s="1">
        <v>301.74</v>
      </c>
      <c r="E316" s="1">
        <v>0.36493900000000001</v>
      </c>
      <c r="F316" s="1">
        <f>652800*(10^-6)</f>
        <v>0.65279999999999994</v>
      </c>
      <c r="G316" s="1">
        <v>62</v>
      </c>
      <c r="H316" s="1">
        <v>9.74</v>
      </c>
    </row>
    <row r="317" spans="1:8">
      <c r="A317" s="1">
        <v>32</v>
      </c>
      <c r="B317" s="1" t="s">
        <v>302</v>
      </c>
      <c r="C317" s="1">
        <v>56.89</v>
      </c>
      <c r="D317" s="1">
        <v>297.2</v>
      </c>
      <c r="E317" s="1">
        <v>0.34667799999999999</v>
      </c>
      <c r="F317" s="1">
        <f>115200*(10^-6)</f>
        <v>0.1152</v>
      </c>
      <c r="G317" s="1">
        <v>40</v>
      </c>
      <c r="H317" s="1">
        <v>10.77</v>
      </c>
    </row>
    <row r="318" spans="1:8">
      <c r="A318" s="1">
        <v>33</v>
      </c>
      <c r="B318" s="1" t="s">
        <v>303</v>
      </c>
      <c r="C318" s="1">
        <v>50.27</v>
      </c>
      <c r="D318" s="1">
        <v>303.27</v>
      </c>
      <c r="E318" s="1">
        <v>0.35502400000000001</v>
      </c>
      <c r="F318" s="1">
        <f>2995200*(10^-6)</f>
        <v>2.9952000000000001</v>
      </c>
      <c r="G318" s="1">
        <v>2</v>
      </c>
      <c r="H318" s="1">
        <v>9.5299999999999994</v>
      </c>
    </row>
    <row r="319" spans="1:8">
      <c r="A319" s="1">
        <v>34</v>
      </c>
      <c r="B319" s="1" t="s">
        <v>304</v>
      </c>
      <c r="C319" s="1">
        <v>51.34</v>
      </c>
      <c r="D319" s="1">
        <v>297.74</v>
      </c>
      <c r="E319" s="1">
        <v>0.33060800000000001</v>
      </c>
      <c r="F319" s="1">
        <f>652800*(10^-6)</f>
        <v>0.65279999999999994</v>
      </c>
      <c r="G319" s="1">
        <v>72</v>
      </c>
      <c r="H319" s="1">
        <v>9.7200000000000006</v>
      </c>
    </row>
    <row r="320" spans="1:8">
      <c r="A320" s="1">
        <v>35</v>
      </c>
      <c r="B320" s="1" t="s">
        <v>305</v>
      </c>
      <c r="C320" s="1">
        <v>52.01</v>
      </c>
      <c r="D320" s="1">
        <v>299.25</v>
      </c>
      <c r="E320" s="1">
        <v>0.34467700000000001</v>
      </c>
      <c r="F320" s="1">
        <f>614400*(10^-6)</f>
        <v>0.61439999999999995</v>
      </c>
      <c r="G320" s="1">
        <v>20</v>
      </c>
      <c r="H320" s="1">
        <v>9.8800000000000008</v>
      </c>
    </row>
    <row r="321" spans="1:8">
      <c r="A321" s="1">
        <v>36</v>
      </c>
      <c r="B321" s="1" t="s">
        <v>306</v>
      </c>
      <c r="C321" s="1">
        <v>48.7</v>
      </c>
      <c r="D321" s="1">
        <v>299.33</v>
      </c>
      <c r="E321" s="1">
        <v>0.33688800000000002</v>
      </c>
      <c r="F321" s="1">
        <f>883200*(10^-6)</f>
        <v>0.88319999999999999</v>
      </c>
      <c r="G321" s="1">
        <v>62</v>
      </c>
      <c r="H321" s="1">
        <v>9.2100000000000009</v>
      </c>
    </row>
    <row r="322" spans="1:8">
      <c r="A322" s="1">
        <v>37</v>
      </c>
      <c r="B322" s="1" t="s">
        <v>307</v>
      </c>
      <c r="C322" s="1">
        <v>55.23</v>
      </c>
      <c r="D322" s="1">
        <v>303.95999999999998</v>
      </c>
      <c r="E322" s="1">
        <v>0.36686299999999999</v>
      </c>
      <c r="F322" s="1">
        <f>1536000*(10^-6)</f>
        <v>1.536</v>
      </c>
      <c r="G322" s="1">
        <v>34</v>
      </c>
      <c r="H322" s="1">
        <v>10.48</v>
      </c>
    </row>
    <row r="323" spans="1:8">
      <c r="A323" s="1">
        <v>38</v>
      </c>
      <c r="B323" s="1" t="s">
        <v>308</v>
      </c>
      <c r="C323" s="1">
        <v>50.02</v>
      </c>
      <c r="D323" s="1">
        <v>301.33</v>
      </c>
      <c r="E323" s="1">
        <v>0.37327399999999999</v>
      </c>
      <c r="F323" s="1">
        <f>499200*(10^-6)</f>
        <v>0.49919999999999998</v>
      </c>
      <c r="G323" s="1">
        <v>50</v>
      </c>
      <c r="H323" s="1">
        <v>9.4600000000000009</v>
      </c>
    </row>
    <row r="324" spans="1:8">
      <c r="A324" s="1">
        <v>39</v>
      </c>
      <c r="B324" s="1" t="s">
        <v>309</v>
      </c>
      <c r="C324" s="1">
        <v>55.32</v>
      </c>
      <c r="D324" s="1">
        <v>300.11</v>
      </c>
      <c r="E324" s="1">
        <v>0.35862699999999997</v>
      </c>
      <c r="F324" s="1">
        <f>499200*(10^-6)</f>
        <v>0.49919999999999998</v>
      </c>
      <c r="G324" s="1">
        <v>50</v>
      </c>
      <c r="H324" s="1">
        <v>10.48</v>
      </c>
    </row>
    <row r="325" spans="1:8">
      <c r="A325" s="1">
        <v>40</v>
      </c>
      <c r="B325" s="1" t="s">
        <v>310</v>
      </c>
      <c r="C325" s="1">
        <v>57.31</v>
      </c>
      <c r="D325" s="1">
        <v>300.61</v>
      </c>
      <c r="E325" s="1">
        <v>0.35160999999999998</v>
      </c>
      <c r="F325" s="1">
        <f>1152000*(10^-6)</f>
        <v>1.1519999999999999</v>
      </c>
      <c r="G325" s="1">
        <v>60</v>
      </c>
      <c r="H325" s="1">
        <v>10.88</v>
      </c>
    </row>
    <row r="326" spans="1:8">
      <c r="A326" s="1">
        <v>41</v>
      </c>
      <c r="B326" s="1" t="s">
        <v>311</v>
      </c>
      <c r="C326" s="1">
        <v>58.47</v>
      </c>
      <c r="D326" s="1">
        <v>300.20999999999998</v>
      </c>
      <c r="E326" s="1">
        <v>0.347076</v>
      </c>
      <c r="F326" s="1">
        <f>153600*(10^-6)</f>
        <v>0.15359999999999999</v>
      </c>
      <c r="G326" s="1">
        <v>54</v>
      </c>
      <c r="H326" s="1">
        <v>11.1</v>
      </c>
    </row>
    <row r="327" spans="1:8">
      <c r="A327" s="1">
        <v>42</v>
      </c>
      <c r="B327" s="1" t="s">
        <v>312</v>
      </c>
      <c r="C327" s="1">
        <v>51.08</v>
      </c>
      <c r="D327" s="1">
        <v>298.99</v>
      </c>
      <c r="E327" s="1">
        <v>0.32989000000000002</v>
      </c>
      <c r="F327" s="1">
        <f>960000*(10^-6)</f>
        <v>0.96</v>
      </c>
      <c r="G327" s="1">
        <v>12</v>
      </c>
      <c r="H327" s="1">
        <v>9.6999999999999993</v>
      </c>
    </row>
    <row r="328" spans="1:8">
      <c r="A328" s="1">
        <v>43</v>
      </c>
      <c r="B328" s="1" t="s">
        <v>313</v>
      </c>
      <c r="C328" s="1">
        <v>47.41</v>
      </c>
      <c r="D328" s="1">
        <v>297.12</v>
      </c>
      <c r="E328" s="1">
        <v>0.33852500000000002</v>
      </c>
      <c r="F328" s="1">
        <f>576000*(10^-6)</f>
        <v>0.57599999999999996</v>
      </c>
      <c r="G328" s="1">
        <v>62</v>
      </c>
      <c r="H328" s="1">
        <v>8.99</v>
      </c>
    </row>
    <row r="329" spans="1:8">
      <c r="A329" s="1">
        <v>44</v>
      </c>
      <c r="B329" s="1" t="s">
        <v>314</v>
      </c>
      <c r="C329" s="1">
        <v>51.16</v>
      </c>
      <c r="D329" s="1">
        <v>299.05</v>
      </c>
      <c r="E329" s="1">
        <v>0.339694</v>
      </c>
      <c r="F329" s="1">
        <f>384000*(10^-6)</f>
        <v>0.38400000000000001</v>
      </c>
      <c r="G329" s="1">
        <v>10</v>
      </c>
      <c r="H329" s="1">
        <v>9.6999999999999993</v>
      </c>
    </row>
    <row r="330" spans="1:8">
      <c r="A330" s="1">
        <v>45</v>
      </c>
      <c r="B330" s="1" t="s">
        <v>315</v>
      </c>
      <c r="C330" s="1">
        <v>51.52</v>
      </c>
      <c r="D330" s="1">
        <v>301.45999999999998</v>
      </c>
      <c r="E330" s="1">
        <v>0.35805300000000001</v>
      </c>
      <c r="F330" s="1">
        <f>576000*(10^-6)</f>
        <v>0.57599999999999996</v>
      </c>
      <c r="G330" s="1">
        <v>58</v>
      </c>
      <c r="H330" s="1">
        <v>9.77</v>
      </c>
    </row>
    <row r="331" spans="1:8">
      <c r="A331" s="1">
        <v>46</v>
      </c>
      <c r="B331" s="1" t="s">
        <v>316</v>
      </c>
      <c r="C331" s="1">
        <v>58.89</v>
      </c>
      <c r="D331" s="1">
        <v>302.92</v>
      </c>
      <c r="E331" s="1">
        <v>0.37258000000000002</v>
      </c>
      <c r="F331" s="1">
        <f>76800*(10^-6)</f>
        <v>7.6799999999999993E-2</v>
      </c>
      <c r="G331" s="1">
        <v>60</v>
      </c>
      <c r="H331" s="1">
        <v>11.18</v>
      </c>
    </row>
    <row r="332" spans="1:8">
      <c r="A332" s="1">
        <v>47</v>
      </c>
      <c r="B332" s="1" t="s">
        <v>317</v>
      </c>
      <c r="C332" s="1">
        <v>54.36</v>
      </c>
      <c r="D332" s="1">
        <v>296.77</v>
      </c>
      <c r="E332" s="1">
        <v>0.34915200000000002</v>
      </c>
      <c r="F332" s="1">
        <f>38400*(10^-6)</f>
        <v>3.8399999999999997E-2</v>
      </c>
      <c r="G332" s="1">
        <v>64</v>
      </c>
      <c r="H332" s="1">
        <v>10.31</v>
      </c>
    </row>
    <row r="333" spans="1:8">
      <c r="A333" s="1">
        <v>48</v>
      </c>
      <c r="B333" s="1" t="s">
        <v>318</v>
      </c>
      <c r="C333" s="1">
        <v>57.49</v>
      </c>
      <c r="D333" s="1">
        <v>305.81</v>
      </c>
      <c r="E333" s="1">
        <v>0.39336900000000002</v>
      </c>
      <c r="F333" s="1">
        <f>499200*(10^-6)</f>
        <v>0.49919999999999998</v>
      </c>
      <c r="G333" s="1">
        <v>42</v>
      </c>
      <c r="H333" s="1">
        <v>10.92</v>
      </c>
    </row>
    <row r="334" spans="1:8">
      <c r="A334" s="1">
        <v>49</v>
      </c>
      <c r="B334" s="1" t="s">
        <v>319</v>
      </c>
      <c r="C334" s="1">
        <v>51.93</v>
      </c>
      <c r="D334" s="1">
        <v>298.66000000000003</v>
      </c>
      <c r="E334" s="1">
        <v>0.33696700000000002</v>
      </c>
      <c r="F334" s="1">
        <f>1036800*(10^-6)</f>
        <v>1.0367999999999999</v>
      </c>
      <c r="G334" s="1">
        <v>32</v>
      </c>
      <c r="H334" s="1">
        <v>9.86</v>
      </c>
    </row>
    <row r="335" spans="1:8">
      <c r="A335" s="1">
        <v>50</v>
      </c>
      <c r="B335" s="1" t="s">
        <v>320</v>
      </c>
      <c r="C335" s="1">
        <v>53.27</v>
      </c>
      <c r="D335" s="1">
        <v>301.01</v>
      </c>
      <c r="E335" s="1">
        <v>0.36965100000000001</v>
      </c>
      <c r="F335" s="1">
        <f>192000*(10^-6)</f>
        <v>0.192</v>
      </c>
      <c r="G335" s="1">
        <v>66</v>
      </c>
      <c r="H335" s="1">
        <v>10.11</v>
      </c>
    </row>
    <row r="336" spans="1:8">
      <c r="B336" s="1" t="s">
        <v>19</v>
      </c>
      <c r="C336" s="1">
        <f>AVERAGE(C286:C335)</f>
        <v>53.164799999999985</v>
      </c>
      <c r="D336" s="1">
        <f t="shared" ref="D336" si="33">AVERAGE(D286:D335)</f>
        <v>300.9008</v>
      </c>
      <c r="E336" s="1">
        <f t="shared" ref="E336" si="34">AVERAGE(E286:E335)</f>
        <v>0.35779984000000004</v>
      </c>
      <c r="F336" s="1">
        <f t="shared" ref="F336" si="35">AVERAGE(F286:F335)</f>
        <v>0.92390400000000028</v>
      </c>
      <c r="H336" s="1">
        <f t="shared" ref="H336" si="36">AVERAGE(H286:H335)</f>
        <v>10.082600000000001</v>
      </c>
    </row>
    <row r="337" spans="1:8">
      <c r="B337" s="1" t="s">
        <v>20</v>
      </c>
      <c r="C337" s="1">
        <f>MIN(C285:C335)</f>
        <v>41.37</v>
      </c>
      <c r="D337" s="1">
        <f t="shared" ref="D337:F337" si="37">MIN(D285:D335)</f>
        <v>295.45</v>
      </c>
      <c r="E337" s="1">
        <f t="shared" si="37"/>
        <v>0.32483299999999998</v>
      </c>
      <c r="F337" s="1">
        <f t="shared" si="37"/>
        <v>3.8399999999999997E-2</v>
      </c>
      <c r="H337" s="1">
        <f t="shared" ref="H337" si="38">MIN(H285:H335)</f>
        <v>7.85</v>
      </c>
    </row>
    <row r="338" spans="1:8">
      <c r="B338" s="1" t="s">
        <v>3</v>
      </c>
      <c r="C338" s="1">
        <f>STDEV(C286:C335)</f>
        <v>3.6942549109313965</v>
      </c>
      <c r="D338" s="1">
        <f t="shared" ref="D338:E338" si="39">STDEV(D286:D335)</f>
        <v>2.6382793093784143</v>
      </c>
      <c r="E338" s="1">
        <f t="shared" si="39"/>
        <v>1.7352837848676191E-2</v>
      </c>
      <c r="F338" s="1">
        <f>STDEV(F286:F335)</f>
        <v>1.6339770708755184</v>
      </c>
      <c r="H338" s="1">
        <f>STDEV(H286:H335)</f>
        <v>0.70029675925310286</v>
      </c>
    </row>
    <row r="340" spans="1:8">
      <c r="H340" s="2" t="s">
        <v>1435</v>
      </c>
    </row>
    <row r="341" spans="1:8" ht="18">
      <c r="A341" s="2" t="s">
        <v>7</v>
      </c>
      <c r="B341" s="3" t="s">
        <v>6</v>
      </c>
      <c r="C341" s="2" t="s">
        <v>4</v>
      </c>
      <c r="D341" s="2" t="s">
        <v>322</v>
      </c>
      <c r="E341" s="2" t="s">
        <v>321</v>
      </c>
      <c r="F341" s="2" t="s">
        <v>324</v>
      </c>
      <c r="G341" s="2" t="s">
        <v>323</v>
      </c>
      <c r="H341" s="2" t="s">
        <v>1436</v>
      </c>
    </row>
    <row r="342" spans="1:8">
      <c r="A342" s="1">
        <v>1</v>
      </c>
      <c r="B342" s="1" t="s">
        <v>1234</v>
      </c>
      <c r="C342" s="1">
        <v>47.09</v>
      </c>
      <c r="D342" s="1">
        <v>373.57</v>
      </c>
      <c r="E342" s="1">
        <v>0.34245999999999999</v>
      </c>
      <c r="F342" s="1">
        <v>0.27</v>
      </c>
      <c r="G342" s="1">
        <v>38</v>
      </c>
      <c r="H342" s="1">
        <v>8.93</v>
      </c>
    </row>
    <row r="343" spans="1:8">
      <c r="A343" s="1">
        <v>2</v>
      </c>
      <c r="B343" s="1" t="s">
        <v>1235</v>
      </c>
      <c r="C343" s="1">
        <v>46.67</v>
      </c>
      <c r="D343" s="1">
        <v>374.74</v>
      </c>
      <c r="E343" s="1">
        <v>0.35306599999999999</v>
      </c>
      <c r="F343" s="1">
        <v>0.54</v>
      </c>
      <c r="G343" s="1">
        <v>70</v>
      </c>
      <c r="H343" s="1">
        <v>8.85</v>
      </c>
    </row>
    <row r="344" spans="1:8">
      <c r="A344" s="1">
        <v>3</v>
      </c>
      <c r="B344" s="1" t="s">
        <v>1236</v>
      </c>
      <c r="C344" s="1">
        <v>48.23</v>
      </c>
      <c r="D344" s="1">
        <v>373.06</v>
      </c>
      <c r="E344" s="1">
        <v>0.35023900000000002</v>
      </c>
      <c r="F344" s="1">
        <v>0.38</v>
      </c>
      <c r="G344" s="1">
        <v>18</v>
      </c>
      <c r="H344" s="1">
        <v>9.15</v>
      </c>
    </row>
    <row r="345" spans="1:8">
      <c r="A345" s="1">
        <v>4</v>
      </c>
      <c r="B345" s="1" t="s">
        <v>1237</v>
      </c>
      <c r="C345" s="1">
        <v>45.86</v>
      </c>
      <c r="D345" s="1">
        <v>375.38</v>
      </c>
      <c r="E345" s="1">
        <v>0.36362100000000003</v>
      </c>
      <c r="F345" s="1">
        <v>0.5</v>
      </c>
      <c r="G345" s="1">
        <v>20</v>
      </c>
      <c r="H345" s="1">
        <v>8.69</v>
      </c>
    </row>
    <row r="346" spans="1:8">
      <c r="A346" s="1">
        <v>5</v>
      </c>
      <c r="B346" s="1" t="s">
        <v>1238</v>
      </c>
      <c r="C346" s="1">
        <v>46.36</v>
      </c>
      <c r="D346" s="1">
        <v>376</v>
      </c>
      <c r="E346" s="1">
        <v>0.35285</v>
      </c>
      <c r="F346" s="1">
        <v>1.1499999999999999</v>
      </c>
      <c r="G346" s="1">
        <v>34</v>
      </c>
      <c r="H346" s="1">
        <v>8.7799999999999994</v>
      </c>
    </row>
    <row r="347" spans="1:8">
      <c r="A347" s="1">
        <v>6</v>
      </c>
      <c r="B347" s="1" t="s">
        <v>1239</v>
      </c>
      <c r="C347" s="1">
        <v>46.32</v>
      </c>
      <c r="D347" s="1">
        <v>372.22</v>
      </c>
      <c r="E347" s="1">
        <v>0.329542</v>
      </c>
      <c r="F347" s="1">
        <v>0.19</v>
      </c>
      <c r="G347" s="1">
        <v>30</v>
      </c>
      <c r="H347" s="1">
        <v>8.76</v>
      </c>
    </row>
    <row r="348" spans="1:8">
      <c r="A348" s="1">
        <v>7</v>
      </c>
      <c r="B348" s="1" t="s">
        <v>1240</v>
      </c>
      <c r="C348" s="1">
        <v>47.95</v>
      </c>
      <c r="D348" s="1">
        <v>377.47</v>
      </c>
      <c r="E348" s="1">
        <v>0.35982700000000001</v>
      </c>
      <c r="F348" s="1">
        <v>1.5</v>
      </c>
      <c r="G348" s="1">
        <v>4</v>
      </c>
      <c r="H348" s="1">
        <v>9.1</v>
      </c>
    </row>
    <row r="349" spans="1:8">
      <c r="A349" s="1">
        <v>8</v>
      </c>
      <c r="B349" s="1" t="s">
        <v>1241</v>
      </c>
      <c r="C349" s="1">
        <v>43.34</v>
      </c>
      <c r="D349" s="1">
        <v>374.3</v>
      </c>
      <c r="E349" s="1">
        <v>0.35239900000000002</v>
      </c>
      <c r="F349" s="1">
        <v>0.88</v>
      </c>
      <c r="G349" s="1">
        <v>2</v>
      </c>
      <c r="H349" s="1">
        <v>8.2100000000000009</v>
      </c>
    </row>
    <row r="350" spans="1:8">
      <c r="A350" s="1">
        <v>9</v>
      </c>
      <c r="B350" s="1" t="s">
        <v>1242</v>
      </c>
      <c r="C350" s="1">
        <v>42.22</v>
      </c>
      <c r="D350" s="1" t="e">
        <f>-inf</f>
        <v>#NAME?</v>
      </c>
      <c r="E350" s="1">
        <v>0.346109</v>
      </c>
      <c r="F350" s="1">
        <v>0</v>
      </c>
      <c r="G350" s="1">
        <v>80</v>
      </c>
      <c r="H350" s="1">
        <v>8.01</v>
      </c>
    </row>
    <row r="351" spans="1:8">
      <c r="A351" s="1">
        <v>10</v>
      </c>
      <c r="B351" s="1" t="s">
        <v>1243</v>
      </c>
      <c r="C351" s="1">
        <v>45.17</v>
      </c>
      <c r="D351" s="1">
        <v>363.75</v>
      </c>
      <c r="E351" s="1">
        <v>0.29850300000000002</v>
      </c>
      <c r="F351" s="1">
        <v>0.04</v>
      </c>
      <c r="G351" s="1">
        <v>34</v>
      </c>
      <c r="H351" s="1">
        <v>8.57</v>
      </c>
    </row>
    <row r="352" spans="1:8">
      <c r="A352" s="1">
        <v>11</v>
      </c>
      <c r="B352" s="1" t="s">
        <v>1244</v>
      </c>
      <c r="C352" s="1">
        <v>44.77</v>
      </c>
      <c r="D352" s="1">
        <v>371.13</v>
      </c>
      <c r="E352" s="1">
        <v>0.34334500000000001</v>
      </c>
      <c r="F352" s="1">
        <v>0.08</v>
      </c>
      <c r="G352" s="1">
        <v>36</v>
      </c>
      <c r="H352" s="1">
        <v>8.5</v>
      </c>
    </row>
    <row r="353" spans="1:8">
      <c r="A353" s="1">
        <v>12</v>
      </c>
      <c r="B353" s="1" t="s">
        <v>1245</v>
      </c>
      <c r="C353" s="1">
        <v>46.46</v>
      </c>
      <c r="D353" s="1">
        <v>376.57</v>
      </c>
      <c r="E353" s="1">
        <v>0.35315000000000002</v>
      </c>
      <c r="F353" s="1">
        <v>2.5</v>
      </c>
      <c r="G353" s="1">
        <v>68</v>
      </c>
      <c r="H353" s="1">
        <v>8.81</v>
      </c>
    </row>
    <row r="354" spans="1:8">
      <c r="A354" s="1">
        <v>13</v>
      </c>
      <c r="B354" s="1" t="s">
        <v>1246</v>
      </c>
      <c r="C354" s="1">
        <v>46.62</v>
      </c>
      <c r="D354" s="1">
        <v>372.98</v>
      </c>
      <c r="E354" s="1">
        <v>0.33369700000000002</v>
      </c>
      <c r="F354" s="1">
        <v>0.96</v>
      </c>
      <c r="G354" s="1">
        <v>26</v>
      </c>
      <c r="H354" s="1">
        <v>8.84</v>
      </c>
    </row>
    <row r="355" spans="1:8">
      <c r="A355" s="1">
        <v>14</v>
      </c>
      <c r="B355" s="1" t="s">
        <v>1247</v>
      </c>
      <c r="C355" s="1">
        <v>49.92</v>
      </c>
      <c r="D355" s="1" t="e">
        <f>-inf</f>
        <v>#NAME?</v>
      </c>
      <c r="E355" s="1">
        <v>0.34762100000000001</v>
      </c>
      <c r="F355" s="1">
        <v>0</v>
      </c>
      <c r="G355" s="1">
        <v>44</v>
      </c>
      <c r="H355" s="1">
        <v>9.4700000000000006</v>
      </c>
    </row>
    <row r="356" spans="1:8">
      <c r="A356" s="1">
        <v>15</v>
      </c>
      <c r="B356" s="1" t="s">
        <v>1248</v>
      </c>
      <c r="C356" s="1">
        <v>46.94</v>
      </c>
      <c r="D356" s="1">
        <v>375.78</v>
      </c>
      <c r="E356" s="1">
        <v>0.35261999999999999</v>
      </c>
      <c r="F356" s="1">
        <v>0.57999999999999996</v>
      </c>
      <c r="G356" s="1">
        <v>74</v>
      </c>
      <c r="H356" s="1">
        <v>8.91</v>
      </c>
    </row>
    <row r="357" spans="1:8">
      <c r="A357" s="1">
        <v>16</v>
      </c>
      <c r="B357" s="1" t="s">
        <v>1249</v>
      </c>
      <c r="C357" s="1">
        <v>45.67</v>
      </c>
      <c r="D357" s="1">
        <v>378.64</v>
      </c>
      <c r="E357" s="1">
        <v>0.38944899999999999</v>
      </c>
      <c r="F357" s="1">
        <v>2.92</v>
      </c>
      <c r="G357" s="1">
        <v>44</v>
      </c>
      <c r="H357" s="1">
        <v>8.6300000000000008</v>
      </c>
    </row>
    <row r="358" spans="1:8">
      <c r="A358" s="1">
        <v>17</v>
      </c>
      <c r="B358" s="1" t="s">
        <v>1250</v>
      </c>
      <c r="C358" s="1">
        <v>47.21</v>
      </c>
      <c r="D358" s="1">
        <v>369.11</v>
      </c>
      <c r="E358" s="1">
        <v>0.33007500000000001</v>
      </c>
      <c r="F358" s="1">
        <v>0.19</v>
      </c>
      <c r="G358" s="1">
        <v>6</v>
      </c>
      <c r="H358" s="1">
        <v>8.94</v>
      </c>
    </row>
    <row r="359" spans="1:8">
      <c r="A359" s="1">
        <v>18</v>
      </c>
      <c r="B359" s="1" t="s">
        <v>1251</v>
      </c>
      <c r="C359" s="1">
        <v>41.8</v>
      </c>
      <c r="D359" s="1">
        <v>371.74</v>
      </c>
      <c r="E359" s="1">
        <v>0.30727100000000002</v>
      </c>
      <c r="F359" s="1">
        <v>3.23</v>
      </c>
      <c r="G359" s="1">
        <v>6</v>
      </c>
      <c r="H359" s="1">
        <v>7.93</v>
      </c>
    </row>
    <row r="360" spans="1:8">
      <c r="A360" s="1">
        <v>19</v>
      </c>
      <c r="B360" s="1" t="s">
        <v>1252</v>
      </c>
      <c r="C360" s="1">
        <v>46.98</v>
      </c>
      <c r="D360" s="1">
        <v>370.01</v>
      </c>
      <c r="E360" s="1">
        <v>0.30461199999999999</v>
      </c>
      <c r="F360" s="1">
        <v>1.27</v>
      </c>
      <c r="G360" s="1">
        <v>90</v>
      </c>
      <c r="H360" s="1">
        <v>8.8800000000000008</v>
      </c>
    </row>
    <row r="361" spans="1:8">
      <c r="A361" s="1">
        <v>20</v>
      </c>
      <c r="B361" s="1" t="s">
        <v>1253</v>
      </c>
      <c r="C361" s="1">
        <v>50.83</v>
      </c>
      <c r="D361" s="1">
        <v>368.07</v>
      </c>
      <c r="E361" s="1">
        <v>0.31450600000000001</v>
      </c>
      <c r="F361" s="1">
        <v>0.19</v>
      </c>
      <c r="G361" s="1">
        <v>98</v>
      </c>
      <c r="H361" s="1">
        <v>9.6300000000000008</v>
      </c>
    </row>
    <row r="362" spans="1:8">
      <c r="A362" s="1">
        <v>21</v>
      </c>
      <c r="B362" s="1" t="s">
        <v>1254</v>
      </c>
      <c r="C362" s="1">
        <v>48.63</v>
      </c>
      <c r="D362" s="1">
        <v>373.54</v>
      </c>
      <c r="E362" s="1">
        <v>0.33945900000000001</v>
      </c>
      <c r="F362" s="1">
        <v>0.04</v>
      </c>
      <c r="G362" s="1">
        <v>70</v>
      </c>
      <c r="H362" s="1">
        <v>9.23</v>
      </c>
    </row>
    <row r="363" spans="1:8">
      <c r="A363" s="1">
        <v>22</v>
      </c>
      <c r="B363" s="1" t="s">
        <v>1255</v>
      </c>
      <c r="C363" s="1">
        <v>41.48</v>
      </c>
      <c r="D363" s="1">
        <v>372.11</v>
      </c>
      <c r="E363" s="1">
        <v>0.31443100000000002</v>
      </c>
      <c r="F363" s="1">
        <v>1.27</v>
      </c>
      <c r="G363" s="1">
        <v>10</v>
      </c>
      <c r="H363" s="1">
        <v>7.87</v>
      </c>
    </row>
    <row r="364" spans="1:8">
      <c r="A364" s="1">
        <v>23</v>
      </c>
      <c r="B364" s="1" t="s">
        <v>1256</v>
      </c>
      <c r="C364" s="1">
        <v>43.02</v>
      </c>
      <c r="D364" s="1">
        <v>368.19</v>
      </c>
      <c r="E364" s="1">
        <v>0.32178499999999999</v>
      </c>
      <c r="F364" s="1">
        <v>0.04</v>
      </c>
      <c r="G364" s="1">
        <v>84</v>
      </c>
      <c r="H364" s="1">
        <v>8.17</v>
      </c>
    </row>
    <row r="365" spans="1:8">
      <c r="A365" s="1">
        <v>24</v>
      </c>
      <c r="B365" s="1" t="s">
        <v>1257</v>
      </c>
      <c r="C365" s="1">
        <v>51.71</v>
      </c>
      <c r="D365" s="1">
        <v>374.49</v>
      </c>
      <c r="E365" s="1">
        <v>0.359402</v>
      </c>
      <c r="F365" s="1">
        <v>0.42</v>
      </c>
      <c r="G365" s="1">
        <v>72</v>
      </c>
      <c r="H365" s="1">
        <v>9.8000000000000007</v>
      </c>
    </row>
    <row r="366" spans="1:8">
      <c r="A366" s="1">
        <v>25</v>
      </c>
      <c r="B366" s="1" t="s">
        <v>1258</v>
      </c>
      <c r="C366" s="1">
        <v>50.44</v>
      </c>
      <c r="D366" s="1">
        <v>380.68</v>
      </c>
      <c r="E366" s="1">
        <v>0.38006600000000001</v>
      </c>
      <c r="F366" s="1">
        <v>4.22</v>
      </c>
      <c r="G366" s="1">
        <v>68</v>
      </c>
      <c r="H366" s="1">
        <v>9.58</v>
      </c>
    </row>
    <row r="367" spans="1:8">
      <c r="A367" s="1">
        <v>26</v>
      </c>
      <c r="B367" s="1" t="s">
        <v>1259</v>
      </c>
      <c r="C367" s="1">
        <v>50.57</v>
      </c>
      <c r="D367" s="1">
        <v>379.73</v>
      </c>
      <c r="E367" s="1">
        <v>0.36899900000000002</v>
      </c>
      <c r="F367" s="1">
        <v>2.11</v>
      </c>
      <c r="G367" s="1">
        <v>88</v>
      </c>
      <c r="H367" s="1">
        <v>9.59</v>
      </c>
    </row>
    <row r="368" spans="1:8">
      <c r="A368" s="1">
        <v>27</v>
      </c>
      <c r="B368" s="1" t="s">
        <v>1260</v>
      </c>
      <c r="C368" s="1">
        <v>47.95</v>
      </c>
      <c r="D368" s="1" t="e">
        <f>-inf</f>
        <v>#NAME?</v>
      </c>
      <c r="E368" s="1">
        <v>0.30573800000000001</v>
      </c>
      <c r="F368" s="1">
        <v>0</v>
      </c>
      <c r="G368" s="1">
        <v>22</v>
      </c>
      <c r="H368" s="1">
        <v>9.09</v>
      </c>
    </row>
    <row r="369" spans="1:8">
      <c r="A369" s="1">
        <v>28</v>
      </c>
      <c r="B369" s="1" t="s">
        <v>1261</v>
      </c>
      <c r="C369" s="1">
        <v>44.03</v>
      </c>
      <c r="D369" s="1">
        <v>374.16</v>
      </c>
      <c r="E369" s="1">
        <v>0.34595399999999998</v>
      </c>
      <c r="F369" s="1">
        <v>1.27</v>
      </c>
      <c r="G369" s="1">
        <v>10</v>
      </c>
      <c r="H369" s="1">
        <v>8.35</v>
      </c>
    </row>
    <row r="370" spans="1:8">
      <c r="A370" s="1">
        <v>29</v>
      </c>
      <c r="B370" s="1" t="s">
        <v>1262</v>
      </c>
      <c r="C370" s="1">
        <v>50.36</v>
      </c>
      <c r="D370" s="1">
        <v>374.95</v>
      </c>
      <c r="E370" s="1">
        <v>0.34376000000000001</v>
      </c>
      <c r="F370" s="1">
        <v>0.65</v>
      </c>
      <c r="G370" s="1">
        <v>84</v>
      </c>
      <c r="H370" s="1">
        <v>9.5500000000000007</v>
      </c>
    </row>
    <row r="371" spans="1:8">
      <c r="A371" s="1">
        <v>30</v>
      </c>
      <c r="B371" s="1" t="s">
        <v>1263</v>
      </c>
      <c r="C371" s="1">
        <v>43.75</v>
      </c>
      <c r="D371" s="1">
        <v>376.33</v>
      </c>
      <c r="E371" s="1">
        <v>0.35811100000000001</v>
      </c>
      <c r="F371" s="1">
        <v>0.81</v>
      </c>
      <c r="G371" s="1">
        <v>68</v>
      </c>
      <c r="H371" s="1">
        <v>8.2799999999999994</v>
      </c>
    </row>
    <row r="372" spans="1:8">
      <c r="A372" s="1">
        <v>31</v>
      </c>
      <c r="B372" s="1" t="s">
        <v>1264</v>
      </c>
      <c r="C372" s="1">
        <v>45.05</v>
      </c>
      <c r="D372" s="1">
        <v>371.42</v>
      </c>
      <c r="E372" s="1">
        <v>0.33798800000000001</v>
      </c>
      <c r="F372" s="1">
        <v>0.61</v>
      </c>
      <c r="G372" s="1">
        <v>38</v>
      </c>
      <c r="H372" s="1">
        <v>8.5399999999999991</v>
      </c>
    </row>
    <row r="373" spans="1:8">
      <c r="A373" s="1">
        <v>32</v>
      </c>
      <c r="B373" s="1" t="s">
        <v>1265</v>
      </c>
      <c r="C373" s="1">
        <v>50.76</v>
      </c>
      <c r="D373" s="1">
        <v>373.89</v>
      </c>
      <c r="E373" s="1">
        <v>0.35600999999999999</v>
      </c>
      <c r="F373" s="1">
        <v>0.19</v>
      </c>
      <c r="G373" s="1">
        <v>18</v>
      </c>
      <c r="H373" s="1">
        <v>9.61</v>
      </c>
    </row>
    <row r="374" spans="1:8">
      <c r="A374" s="1">
        <v>33</v>
      </c>
      <c r="B374" s="1" t="s">
        <v>1266</v>
      </c>
      <c r="C374" s="1">
        <v>51.74</v>
      </c>
      <c r="D374" s="1">
        <v>376.4</v>
      </c>
      <c r="E374" s="1">
        <v>0.35044599999999998</v>
      </c>
      <c r="F374" s="1">
        <v>0.61</v>
      </c>
      <c r="G374" s="1">
        <v>98</v>
      </c>
      <c r="H374" s="1">
        <v>9.82</v>
      </c>
    </row>
    <row r="375" spans="1:8">
      <c r="A375" s="1">
        <v>34</v>
      </c>
      <c r="B375" s="1" t="s">
        <v>1267</v>
      </c>
      <c r="C375" s="1">
        <v>43.12</v>
      </c>
      <c r="D375" s="1">
        <v>372.73</v>
      </c>
      <c r="E375" s="1">
        <v>0.355626</v>
      </c>
      <c r="F375" s="1">
        <v>0.5</v>
      </c>
      <c r="G375" s="1">
        <v>54</v>
      </c>
      <c r="H375" s="1">
        <v>8.19</v>
      </c>
    </row>
    <row r="376" spans="1:8">
      <c r="A376" s="1">
        <v>35</v>
      </c>
      <c r="B376" s="1" t="s">
        <v>1268</v>
      </c>
      <c r="C376" s="1">
        <v>40.93</v>
      </c>
      <c r="D376" s="1">
        <v>369.61</v>
      </c>
      <c r="E376" s="1">
        <v>0.32538800000000001</v>
      </c>
      <c r="F376" s="1">
        <v>0.38</v>
      </c>
      <c r="G376" s="1">
        <v>58</v>
      </c>
      <c r="H376" s="1">
        <v>7.77</v>
      </c>
    </row>
    <row r="377" spans="1:8">
      <c r="A377" s="1">
        <v>36</v>
      </c>
      <c r="B377" s="1" t="s">
        <v>1269</v>
      </c>
      <c r="C377" s="1">
        <v>44.91</v>
      </c>
      <c r="D377" s="1">
        <v>374.22</v>
      </c>
      <c r="E377" s="1">
        <v>0.33982000000000001</v>
      </c>
      <c r="F377" s="1">
        <v>0.35</v>
      </c>
      <c r="G377" s="1">
        <v>88</v>
      </c>
      <c r="H377" s="1">
        <v>8.52</v>
      </c>
    </row>
    <row r="378" spans="1:8">
      <c r="A378" s="1">
        <v>37</v>
      </c>
      <c r="B378" s="1" t="s">
        <v>1270</v>
      </c>
      <c r="C378" s="1">
        <v>45.94</v>
      </c>
      <c r="D378" s="1">
        <v>378.59</v>
      </c>
      <c r="E378" s="1">
        <v>0.38044899999999998</v>
      </c>
      <c r="F378" s="1">
        <v>0.96</v>
      </c>
      <c r="G378" s="1">
        <v>68</v>
      </c>
      <c r="H378" s="1">
        <v>8.6999999999999993</v>
      </c>
    </row>
    <row r="379" spans="1:8">
      <c r="A379" s="1">
        <v>38</v>
      </c>
      <c r="B379" s="1" t="s">
        <v>1271</v>
      </c>
      <c r="C379" s="1">
        <v>50.92</v>
      </c>
      <c r="D379" s="1">
        <v>375.86</v>
      </c>
      <c r="E379" s="1">
        <v>0.34074599999999999</v>
      </c>
      <c r="F379" s="1">
        <v>1.04</v>
      </c>
      <c r="G379" s="1">
        <v>72</v>
      </c>
      <c r="H379" s="1">
        <v>9.65</v>
      </c>
    </row>
    <row r="380" spans="1:8">
      <c r="A380" s="1">
        <v>39</v>
      </c>
      <c r="B380" s="1" t="s">
        <v>1272</v>
      </c>
      <c r="C380" s="1">
        <v>44.24</v>
      </c>
      <c r="D380" s="1">
        <v>364.98</v>
      </c>
      <c r="E380" s="1">
        <v>0.30175400000000002</v>
      </c>
      <c r="F380" s="1">
        <v>0.27</v>
      </c>
      <c r="G380" s="1">
        <v>88</v>
      </c>
      <c r="H380" s="1">
        <v>8.3800000000000008</v>
      </c>
    </row>
    <row r="381" spans="1:8">
      <c r="A381" s="1">
        <v>40</v>
      </c>
      <c r="B381" s="1" t="s">
        <v>1273</v>
      </c>
      <c r="C381" s="1">
        <v>43.83</v>
      </c>
      <c r="D381" s="1">
        <v>373.91</v>
      </c>
      <c r="E381" s="1">
        <v>0.349493</v>
      </c>
      <c r="F381" s="1">
        <v>0.81</v>
      </c>
      <c r="G381" s="1">
        <v>12</v>
      </c>
      <c r="H381" s="1">
        <v>8.33</v>
      </c>
    </row>
    <row r="382" spans="1:8">
      <c r="A382" s="1">
        <v>41</v>
      </c>
      <c r="B382" s="1" t="s">
        <v>1274</v>
      </c>
      <c r="C382" s="1">
        <v>44.13</v>
      </c>
      <c r="D382" s="1">
        <v>369.47</v>
      </c>
      <c r="E382" s="1">
        <v>0.31457200000000002</v>
      </c>
      <c r="F382" s="1">
        <v>0.23</v>
      </c>
      <c r="G382" s="1">
        <v>62</v>
      </c>
      <c r="H382" s="1">
        <v>8.3800000000000008</v>
      </c>
    </row>
    <row r="383" spans="1:8">
      <c r="A383" s="1">
        <v>42</v>
      </c>
      <c r="B383" s="1" t="s">
        <v>1275</v>
      </c>
      <c r="C383" s="1">
        <v>45.82</v>
      </c>
      <c r="D383" s="1">
        <v>375.04</v>
      </c>
      <c r="E383" s="1">
        <v>0.35726400000000003</v>
      </c>
      <c r="F383" s="1">
        <v>0.38</v>
      </c>
      <c r="G383" s="1">
        <v>68</v>
      </c>
      <c r="H383" s="1">
        <v>8.69</v>
      </c>
    </row>
    <row r="384" spans="1:8">
      <c r="A384" s="1">
        <v>43</v>
      </c>
      <c r="B384" s="1" t="s">
        <v>1276</v>
      </c>
      <c r="C384" s="1">
        <v>48.99</v>
      </c>
      <c r="D384" s="1" t="e">
        <f>-inf</f>
        <v>#NAME?</v>
      </c>
      <c r="E384" s="1">
        <v>0.33240700000000001</v>
      </c>
      <c r="F384" s="1">
        <v>0</v>
      </c>
      <c r="G384" s="1">
        <v>22</v>
      </c>
      <c r="H384" s="1">
        <v>9.2899999999999991</v>
      </c>
    </row>
    <row r="385" spans="1:8">
      <c r="A385" s="1">
        <v>44</v>
      </c>
      <c r="B385" s="1" t="s">
        <v>1277</v>
      </c>
      <c r="C385" s="1">
        <v>47.91</v>
      </c>
      <c r="D385" s="1">
        <v>371.35</v>
      </c>
      <c r="E385" s="1">
        <v>0.33433299999999999</v>
      </c>
      <c r="F385" s="1">
        <v>0.27</v>
      </c>
      <c r="G385" s="1">
        <v>80</v>
      </c>
      <c r="H385" s="1">
        <v>9.09</v>
      </c>
    </row>
    <row r="386" spans="1:8">
      <c r="A386" s="1">
        <v>45</v>
      </c>
      <c r="B386" s="1" t="s">
        <v>1278</v>
      </c>
      <c r="C386" s="1">
        <v>47.21</v>
      </c>
      <c r="D386" s="1">
        <v>376.48</v>
      </c>
      <c r="E386" s="1">
        <v>0.35262900000000003</v>
      </c>
      <c r="F386" s="1">
        <v>1.46</v>
      </c>
      <c r="G386" s="1">
        <v>68</v>
      </c>
      <c r="H386" s="1">
        <v>8.9499999999999993</v>
      </c>
    </row>
    <row r="387" spans="1:8">
      <c r="A387" s="1">
        <v>46</v>
      </c>
      <c r="B387" s="1" t="s">
        <v>1279</v>
      </c>
      <c r="C387" s="1">
        <v>45.65</v>
      </c>
      <c r="D387" s="1">
        <v>372.26</v>
      </c>
      <c r="E387" s="1">
        <v>0.34070499999999998</v>
      </c>
      <c r="F387" s="1">
        <v>0.57999999999999996</v>
      </c>
      <c r="G387" s="1">
        <v>6</v>
      </c>
      <c r="H387" s="1">
        <v>8.67</v>
      </c>
    </row>
    <row r="388" spans="1:8">
      <c r="A388" s="1">
        <v>47</v>
      </c>
      <c r="B388" s="1" t="s">
        <v>1280</v>
      </c>
      <c r="C388" s="1">
        <v>48.99</v>
      </c>
      <c r="D388" s="1">
        <v>372.73</v>
      </c>
      <c r="E388" s="1">
        <v>0.346941</v>
      </c>
      <c r="F388" s="1">
        <v>0.04</v>
      </c>
      <c r="G388" s="1">
        <v>0</v>
      </c>
      <c r="H388" s="1">
        <v>9.31</v>
      </c>
    </row>
    <row r="389" spans="1:8">
      <c r="A389" s="1">
        <v>48</v>
      </c>
      <c r="B389" s="1" t="s">
        <v>1281</v>
      </c>
      <c r="C389" s="1">
        <v>51.96</v>
      </c>
      <c r="D389" s="1">
        <v>371.97</v>
      </c>
      <c r="E389" s="1">
        <v>0.32920300000000002</v>
      </c>
      <c r="F389" s="1">
        <v>0.19</v>
      </c>
      <c r="G389" s="1">
        <v>50</v>
      </c>
      <c r="H389" s="1">
        <v>9.8699999999999992</v>
      </c>
    </row>
    <row r="390" spans="1:8">
      <c r="A390" s="1">
        <v>49</v>
      </c>
      <c r="B390" s="1" t="s">
        <v>1282</v>
      </c>
      <c r="C390" s="1">
        <v>46.21</v>
      </c>
      <c r="D390" s="1">
        <v>368.44</v>
      </c>
      <c r="E390" s="1">
        <v>0.32837</v>
      </c>
      <c r="F390" s="1">
        <v>0.08</v>
      </c>
      <c r="G390" s="1">
        <v>84</v>
      </c>
      <c r="H390" s="1">
        <v>8.76</v>
      </c>
    </row>
    <row r="391" spans="1:8">
      <c r="A391" s="1">
        <v>50</v>
      </c>
      <c r="B391" s="1" t="s">
        <v>1283</v>
      </c>
      <c r="C391" s="1">
        <v>44.85</v>
      </c>
      <c r="D391" s="1">
        <v>370.48</v>
      </c>
      <c r="E391" s="1">
        <v>0.322156</v>
      </c>
      <c r="F391" s="1">
        <v>1.1499999999999999</v>
      </c>
      <c r="G391" s="1">
        <v>38</v>
      </c>
      <c r="H391" s="1">
        <v>8.5</v>
      </c>
    </row>
    <row r="392" spans="1:8">
      <c r="B392" s="1" t="s">
        <v>19</v>
      </c>
      <c r="C392" s="1">
        <f>AVERAGE(C342:C391)</f>
        <v>46.630200000000002</v>
      </c>
      <c r="D392" s="1" t="e">
        <f t="shared" ref="D392" si="40">AVERAGE(D342:D391)</f>
        <v>#NAME?</v>
      </c>
      <c r="E392" s="1">
        <f t="shared" ref="E392" si="41">AVERAGE(E342:E391)</f>
        <v>0.34117934</v>
      </c>
      <c r="F392" s="1">
        <f t="shared" ref="F392" si="42">AVERAGE(F342:F391)</f>
        <v>0.7659999999999999</v>
      </c>
      <c r="H392" s="1">
        <f t="shared" ref="H392" si="43">AVERAGE(H342:H391)</f>
        <v>8.8423999999999978</v>
      </c>
    </row>
    <row r="393" spans="1:8">
      <c r="B393" s="1" t="s">
        <v>20</v>
      </c>
      <c r="C393" s="1">
        <f>MIN(C341:C391)</f>
        <v>40.93</v>
      </c>
      <c r="D393" s="1" t="e">
        <f t="shared" ref="D393:F393" si="44">MIN(D341:D391)</f>
        <v>#NAME?</v>
      </c>
      <c r="E393" s="1">
        <f t="shared" si="44"/>
        <v>0.29850300000000002</v>
      </c>
      <c r="F393" s="1">
        <f t="shared" si="44"/>
        <v>0</v>
      </c>
      <c r="H393" s="1">
        <f t="shared" ref="H393" si="45">MIN(H341:H391)</f>
        <v>7.77</v>
      </c>
    </row>
    <row r="394" spans="1:8">
      <c r="B394" s="1" t="s">
        <v>3</v>
      </c>
      <c r="C394" s="1">
        <f>STDEV(C342:C391)</f>
        <v>2.868371855607303</v>
      </c>
      <c r="D394" s="1" t="e">
        <f t="shared" ref="D394:E394" si="46">STDEV(D342:D391)</f>
        <v>#NAME?</v>
      </c>
      <c r="E394" s="1">
        <f t="shared" si="46"/>
        <v>2.0453314916807717E-2</v>
      </c>
      <c r="F394" s="1">
        <f>STDEV(F342:F391)</f>
        <v>0.89034732961184271</v>
      </c>
      <c r="H394" s="1">
        <f>STDEV(H342:H391)</f>
        <v>0.54374573889957234</v>
      </c>
    </row>
    <row r="397" spans="1:8" ht="18">
      <c r="A397" s="2"/>
      <c r="B397" s="3"/>
      <c r="C397" s="2"/>
      <c r="D397" s="2"/>
      <c r="E397" s="2"/>
      <c r="F397" s="2"/>
      <c r="G397" s="2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5"/>
  <sheetViews>
    <sheetView topLeftCell="B361" zoomScale="55" zoomScaleNormal="55" workbookViewId="0">
      <selection activeCell="F399" sqref="F399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10" width="10.109375" style="1" bestFit="1" customWidth="1"/>
    <col min="11" max="11" width="8.88671875" style="1"/>
    <col min="12" max="12" width="23.5546875" style="1" customWidth="1"/>
    <col min="13" max="16384" width="8.88671875" style="1"/>
  </cols>
  <sheetData>
    <row r="1" spans="1:8" ht="14.4" customHeight="1">
      <c r="B1" s="18" t="s">
        <v>17</v>
      </c>
      <c r="C1" s="18"/>
      <c r="D1" s="18"/>
    </row>
    <row r="2" spans="1:8" ht="14.4" customHeight="1">
      <c r="B2" s="18"/>
      <c r="C2" s="18"/>
      <c r="D2" s="18"/>
    </row>
    <row r="4" spans="1:8">
      <c r="H4" s="2" t="s">
        <v>1435</v>
      </c>
    </row>
    <row r="5" spans="1:8" ht="18">
      <c r="A5" s="2" t="s">
        <v>7</v>
      </c>
      <c r="B5" s="3" t="s">
        <v>0</v>
      </c>
      <c r="C5" s="2" t="s">
        <v>4</v>
      </c>
      <c r="D5" s="2" t="s">
        <v>322</v>
      </c>
      <c r="E5" s="2" t="s">
        <v>321</v>
      </c>
      <c r="F5" s="2" t="s">
        <v>324</v>
      </c>
      <c r="G5" s="2" t="s">
        <v>323</v>
      </c>
      <c r="H5" s="2" t="s">
        <v>1436</v>
      </c>
    </row>
    <row r="6" spans="1:8">
      <c r="A6" s="1">
        <v>1</v>
      </c>
      <c r="B6" s="1" t="s">
        <v>430</v>
      </c>
      <c r="C6" s="1">
        <v>102.16</v>
      </c>
      <c r="D6" s="1">
        <v>16.02</v>
      </c>
      <c r="E6" s="1">
        <v>0.49999399999999999</v>
      </c>
      <c r="F6" s="1">
        <f>101798400*(10^-6)</f>
        <v>101.7984</v>
      </c>
      <c r="G6" s="1">
        <v>2</v>
      </c>
      <c r="H6" s="1">
        <v>19.309999999999999</v>
      </c>
    </row>
    <row r="7" spans="1:8">
      <c r="A7" s="1">
        <v>2</v>
      </c>
      <c r="B7" s="1" t="s">
        <v>431</v>
      </c>
      <c r="C7" s="1">
        <v>235.24</v>
      </c>
      <c r="D7" s="1">
        <v>16.57</v>
      </c>
      <c r="E7" s="1">
        <v>0.37790699999999999</v>
      </c>
      <c r="F7" s="1">
        <f>101529600*(10^-6)</f>
        <v>101.5296</v>
      </c>
      <c r="G7" s="1">
        <v>0</v>
      </c>
      <c r="H7" s="1">
        <v>44.63</v>
      </c>
    </row>
    <row r="8" spans="1:8">
      <c r="A8" s="1">
        <v>3</v>
      </c>
      <c r="B8" s="1" t="s">
        <v>432</v>
      </c>
      <c r="C8" s="1">
        <v>281.26</v>
      </c>
      <c r="D8" s="1">
        <v>16.850000000000001</v>
      </c>
      <c r="E8" s="1">
        <v>0.45403500000000002</v>
      </c>
      <c r="F8" s="1">
        <f>191769600*(10^-6)</f>
        <v>191.7696</v>
      </c>
      <c r="G8" s="1">
        <v>0</v>
      </c>
      <c r="H8" s="1">
        <v>53.64</v>
      </c>
    </row>
    <row r="9" spans="1:8">
      <c r="A9" s="1">
        <v>4</v>
      </c>
      <c r="B9" s="1" t="s">
        <v>433</v>
      </c>
      <c r="C9" s="1">
        <v>368.6</v>
      </c>
      <c r="D9" s="1">
        <v>17.13</v>
      </c>
      <c r="E9" s="1">
        <v>0.49999500000000002</v>
      </c>
      <c r="F9" s="1">
        <f>367411200*(10^-6)</f>
        <v>367.41120000000001</v>
      </c>
      <c r="G9" s="1">
        <v>0</v>
      </c>
      <c r="H9" s="1">
        <v>69.900000000000006</v>
      </c>
    </row>
    <row r="10" spans="1:8">
      <c r="A10" s="1">
        <v>5</v>
      </c>
      <c r="B10" s="1" t="s">
        <v>434</v>
      </c>
      <c r="C10" s="1">
        <v>50.78</v>
      </c>
      <c r="D10" s="1">
        <v>12.89</v>
      </c>
      <c r="E10" s="1">
        <v>0.25037799999999999</v>
      </c>
      <c r="F10" s="1">
        <f>76800*(10^-6)</f>
        <v>7.6799999999999993E-2</v>
      </c>
      <c r="G10" s="1">
        <v>0</v>
      </c>
      <c r="H10" s="1">
        <v>9.66</v>
      </c>
    </row>
    <row r="11" spans="1:8">
      <c r="A11" s="1">
        <v>6</v>
      </c>
      <c r="B11" s="1" t="s">
        <v>435</v>
      </c>
      <c r="C11" s="1">
        <v>386.86</v>
      </c>
      <c r="D11" s="1">
        <v>17.05</v>
      </c>
      <c r="E11" s="1">
        <v>0.400754</v>
      </c>
      <c r="F11" s="1">
        <f>194342400*(10^-6)</f>
        <v>194.3424</v>
      </c>
      <c r="G11" s="1">
        <v>2</v>
      </c>
      <c r="H11" s="1">
        <v>82.75</v>
      </c>
    </row>
    <row r="12" spans="1:8">
      <c r="A12" s="1">
        <v>7</v>
      </c>
      <c r="B12" s="1" t="s">
        <v>436</v>
      </c>
      <c r="C12" s="1">
        <v>234.05</v>
      </c>
      <c r="D12" s="1">
        <v>16.57</v>
      </c>
      <c r="E12" s="1">
        <v>0.37739499999999998</v>
      </c>
      <c r="F12" s="1">
        <f>100646400*(10^-6)</f>
        <v>100.6464</v>
      </c>
      <c r="G12" s="1">
        <v>0</v>
      </c>
      <c r="H12" s="1">
        <v>44.63</v>
      </c>
    </row>
    <row r="13" spans="1:8">
      <c r="A13" s="1">
        <v>8</v>
      </c>
      <c r="B13" s="1" t="s">
        <v>437</v>
      </c>
      <c r="C13" s="1">
        <v>149.88999999999999</v>
      </c>
      <c r="D13" s="1">
        <v>16.350000000000001</v>
      </c>
      <c r="E13" s="1">
        <v>0.49857800000000002</v>
      </c>
      <c r="F13" s="1">
        <f>141888000*(10^-6)</f>
        <v>141.88800000000001</v>
      </c>
      <c r="G13" s="1">
        <v>2</v>
      </c>
      <c r="H13" s="1">
        <v>30.31</v>
      </c>
    </row>
    <row r="14" spans="1:8">
      <c r="A14" s="1">
        <v>9</v>
      </c>
      <c r="B14" s="1" t="s">
        <v>438</v>
      </c>
      <c r="C14" s="1">
        <v>148.16999999999999</v>
      </c>
      <c r="D14" s="1">
        <v>16.3</v>
      </c>
      <c r="E14" s="1">
        <v>0.45425100000000002</v>
      </c>
      <c r="F14" s="1">
        <f>101145600*(10^-6)</f>
        <v>101.1456</v>
      </c>
      <c r="G14" s="1">
        <v>0</v>
      </c>
      <c r="H14" s="1">
        <v>28.34</v>
      </c>
    </row>
    <row r="15" spans="1:8">
      <c r="A15" s="1">
        <v>10</v>
      </c>
      <c r="B15" s="1" t="s">
        <v>439</v>
      </c>
      <c r="C15" s="1">
        <v>84.13</v>
      </c>
      <c r="D15" s="1">
        <v>15.85</v>
      </c>
      <c r="E15" s="1">
        <v>0.49845499999999998</v>
      </c>
      <c r="F15" s="1">
        <f>79449600*(10^-6)</f>
        <v>79.44959999999999</v>
      </c>
      <c r="G15" s="1">
        <v>2</v>
      </c>
      <c r="H15" s="1">
        <v>17.3</v>
      </c>
    </row>
    <row r="16" spans="1:8">
      <c r="A16" s="1">
        <v>11</v>
      </c>
      <c r="B16" s="1" t="s">
        <v>440</v>
      </c>
      <c r="C16" s="1">
        <v>147.99</v>
      </c>
      <c r="D16" s="1">
        <v>16.29</v>
      </c>
      <c r="E16" s="1">
        <v>0.45432400000000001</v>
      </c>
      <c r="F16" s="1">
        <f>101068800*(10^-6)</f>
        <v>101.0688</v>
      </c>
      <c r="G16" s="1">
        <v>0</v>
      </c>
      <c r="H16" s="1">
        <v>28.33</v>
      </c>
    </row>
    <row r="17" spans="1:8">
      <c r="A17" s="1">
        <v>12</v>
      </c>
      <c r="B17" s="1" t="s">
        <v>441</v>
      </c>
      <c r="C17" s="1">
        <v>147.99</v>
      </c>
      <c r="D17" s="1">
        <v>16.29</v>
      </c>
      <c r="E17" s="1">
        <v>0.45432400000000001</v>
      </c>
      <c r="F17" s="1">
        <f>101068800*(10^-6)</f>
        <v>101.0688</v>
      </c>
      <c r="G17" s="1">
        <v>0</v>
      </c>
      <c r="H17" s="1">
        <v>28.33</v>
      </c>
    </row>
    <row r="18" spans="1:8">
      <c r="A18" s="1">
        <v>13</v>
      </c>
      <c r="B18" s="1" t="s">
        <v>442</v>
      </c>
      <c r="C18" s="1">
        <v>362.19</v>
      </c>
      <c r="D18" s="1">
        <v>16.8</v>
      </c>
      <c r="E18" s="1">
        <v>0.32902999999999999</v>
      </c>
      <c r="F18" s="1">
        <f>101107200*(10^-6)</f>
        <v>101.10719999999999</v>
      </c>
      <c r="G18" s="1">
        <v>2</v>
      </c>
      <c r="H18" s="1">
        <v>72.650000000000006</v>
      </c>
    </row>
    <row r="19" spans="1:8">
      <c r="A19" s="1">
        <v>14</v>
      </c>
      <c r="B19" s="1" t="s">
        <v>443</v>
      </c>
      <c r="C19" s="1">
        <v>447.65</v>
      </c>
      <c r="D19" s="1">
        <v>17.29</v>
      </c>
      <c r="E19" s="1">
        <v>0.48472399999999999</v>
      </c>
      <c r="F19" s="1">
        <f>368179200*(10^-6)</f>
        <v>368.17919999999998</v>
      </c>
      <c r="G19" s="1">
        <v>0</v>
      </c>
      <c r="H19" s="1">
        <v>99.97</v>
      </c>
    </row>
    <row r="20" spans="1:8">
      <c r="A20" s="1">
        <v>15</v>
      </c>
      <c r="B20" s="1" t="s">
        <v>444</v>
      </c>
      <c r="C20" s="1">
        <v>315.45999999999998</v>
      </c>
      <c r="D20" s="1">
        <v>16.73</v>
      </c>
      <c r="E20" s="1">
        <v>0.34303499999999998</v>
      </c>
      <c r="F20" s="1">
        <f>102067200*(10^-6)</f>
        <v>102.0672</v>
      </c>
      <c r="G20" s="1">
        <v>2</v>
      </c>
      <c r="H20" s="1">
        <v>75.08</v>
      </c>
    </row>
    <row r="21" spans="1:8">
      <c r="A21" s="1">
        <v>16</v>
      </c>
      <c r="B21" s="1" t="s">
        <v>445</v>
      </c>
      <c r="C21" s="1">
        <v>140.26</v>
      </c>
      <c r="D21" s="1">
        <v>16.29</v>
      </c>
      <c r="E21" s="1">
        <v>0.49865799999999999</v>
      </c>
      <c r="F21" s="1">
        <f>132979200*(10^-6)</f>
        <v>132.97919999999999</v>
      </c>
      <c r="G21" s="1">
        <v>0</v>
      </c>
      <c r="H21" s="1">
        <v>30.65</v>
      </c>
    </row>
    <row r="22" spans="1:8">
      <c r="A22" s="1">
        <v>17</v>
      </c>
      <c r="B22" s="1" t="s">
        <v>446</v>
      </c>
      <c r="C22" s="1">
        <v>147.61000000000001</v>
      </c>
      <c r="D22" s="1">
        <v>16.29</v>
      </c>
      <c r="E22" s="1">
        <v>0.45376699999999998</v>
      </c>
      <c r="F22" s="1">
        <f>100492800*(10^-6)</f>
        <v>100.49279999999999</v>
      </c>
      <c r="G22" s="1">
        <v>2</v>
      </c>
      <c r="H22" s="1">
        <v>28.32</v>
      </c>
    </row>
    <row r="23" spans="1:8">
      <c r="A23" s="1">
        <v>18</v>
      </c>
      <c r="B23" s="1" t="s">
        <v>447</v>
      </c>
      <c r="C23" s="1">
        <v>147.91999999999999</v>
      </c>
      <c r="D23" s="1">
        <v>16.29</v>
      </c>
      <c r="E23" s="1">
        <v>0.45414500000000002</v>
      </c>
      <c r="F23" s="1">
        <f>100915200*(10^-6)</f>
        <v>100.9152</v>
      </c>
      <c r="G23" s="1">
        <v>2</v>
      </c>
      <c r="H23" s="1">
        <v>28.33</v>
      </c>
    </row>
    <row r="24" spans="1:8">
      <c r="A24" s="1">
        <v>19</v>
      </c>
      <c r="B24" s="1" t="s">
        <v>448</v>
      </c>
      <c r="C24" s="1">
        <v>83.14</v>
      </c>
      <c r="D24" s="1">
        <v>15.84</v>
      </c>
      <c r="E24" s="1">
        <v>0.49849399999999999</v>
      </c>
      <c r="F24" s="1">
        <f>78566400*(10^-6)</f>
        <v>78.566400000000002</v>
      </c>
      <c r="G24" s="1">
        <v>2</v>
      </c>
      <c r="H24" s="1">
        <v>18.13</v>
      </c>
    </row>
    <row r="25" spans="1:8">
      <c r="A25" s="1">
        <v>20</v>
      </c>
      <c r="B25" s="1" t="s">
        <v>449</v>
      </c>
      <c r="C25" s="1">
        <v>234.05</v>
      </c>
      <c r="D25" s="1">
        <v>16.57</v>
      </c>
      <c r="E25" s="1">
        <v>0.37739499999999998</v>
      </c>
      <c r="F25" s="1">
        <f>100646400*(10^-6)</f>
        <v>100.6464</v>
      </c>
      <c r="G25" s="1">
        <v>0</v>
      </c>
      <c r="H25" s="1">
        <v>44.63</v>
      </c>
    </row>
    <row r="26" spans="1:8">
      <c r="A26" s="1">
        <v>21</v>
      </c>
      <c r="B26" s="1" t="s">
        <v>450</v>
      </c>
      <c r="C26" s="1">
        <v>302.32</v>
      </c>
      <c r="D26" s="1">
        <v>16.96</v>
      </c>
      <c r="E26" s="1">
        <v>0.499969</v>
      </c>
      <c r="F26" s="1">
        <f>299942400*(10^-6)</f>
        <v>299.94239999999996</v>
      </c>
      <c r="G26" s="1">
        <v>2</v>
      </c>
      <c r="H26" s="1">
        <v>70.510000000000005</v>
      </c>
    </row>
    <row r="27" spans="1:8">
      <c r="A27" s="1">
        <v>22</v>
      </c>
      <c r="B27" s="1" t="s">
        <v>451</v>
      </c>
      <c r="C27" s="1">
        <v>102.16</v>
      </c>
      <c r="D27" s="1">
        <v>16.02</v>
      </c>
      <c r="E27" s="1">
        <v>0.49999399999999999</v>
      </c>
      <c r="F27" s="1">
        <f>101798400*(10^-6)</f>
        <v>101.7984</v>
      </c>
      <c r="G27" s="1">
        <v>2</v>
      </c>
      <c r="H27" s="1">
        <v>19.309999999999999</v>
      </c>
    </row>
    <row r="28" spans="1:8">
      <c r="A28" s="1">
        <v>23</v>
      </c>
      <c r="B28" s="1" t="s">
        <v>452</v>
      </c>
      <c r="C28" s="1">
        <v>363.01</v>
      </c>
      <c r="D28" s="1">
        <v>17.010000000000002</v>
      </c>
      <c r="E28" s="1">
        <v>0.41152</v>
      </c>
      <c r="F28" s="1">
        <f>194688000*(10^-6)</f>
        <v>194.68799999999999</v>
      </c>
      <c r="G28" s="1">
        <v>0</v>
      </c>
      <c r="H28" s="1">
        <v>84.13</v>
      </c>
    </row>
    <row r="29" spans="1:8">
      <c r="A29" s="1">
        <v>24</v>
      </c>
      <c r="B29" s="1" t="s">
        <v>453</v>
      </c>
      <c r="C29" s="1">
        <v>234.05</v>
      </c>
      <c r="D29" s="1">
        <v>16.57</v>
      </c>
      <c r="E29" s="1">
        <v>0.37739499999999998</v>
      </c>
      <c r="F29" s="1">
        <f>100646400*(10^-6)</f>
        <v>100.6464</v>
      </c>
      <c r="G29" s="1">
        <v>0</v>
      </c>
      <c r="H29" s="1">
        <v>44.63</v>
      </c>
    </row>
    <row r="30" spans="1:8">
      <c r="A30" s="1">
        <v>25</v>
      </c>
      <c r="B30" s="1" t="s">
        <v>454</v>
      </c>
      <c r="C30" s="1">
        <v>281.26</v>
      </c>
      <c r="D30" s="1">
        <v>16.850000000000001</v>
      </c>
      <c r="E30" s="1">
        <v>0.45403500000000002</v>
      </c>
      <c r="F30" s="1">
        <f>191769600*(10^-6)</f>
        <v>191.7696</v>
      </c>
      <c r="G30" s="1">
        <v>0</v>
      </c>
      <c r="H30" s="1">
        <v>53.64</v>
      </c>
    </row>
    <row r="31" spans="1:8">
      <c r="A31" s="1">
        <v>26</v>
      </c>
      <c r="B31" s="1" t="s">
        <v>455</v>
      </c>
      <c r="C31" s="1">
        <v>361.54</v>
      </c>
      <c r="D31" s="1">
        <v>17.010000000000002</v>
      </c>
      <c r="E31" s="1">
        <v>0.41067300000000001</v>
      </c>
      <c r="F31" s="1">
        <f>192921600*(10^-6)</f>
        <v>192.92159999999998</v>
      </c>
      <c r="G31" s="1">
        <v>2</v>
      </c>
      <c r="H31" s="1">
        <v>84.12</v>
      </c>
    </row>
    <row r="32" spans="1:8">
      <c r="A32" s="1">
        <v>27</v>
      </c>
      <c r="B32" s="1" t="s">
        <v>456</v>
      </c>
      <c r="C32" s="1">
        <v>351.09</v>
      </c>
      <c r="D32" s="1">
        <v>17.09</v>
      </c>
      <c r="E32" s="1">
        <v>0.49895200000000001</v>
      </c>
      <c r="F32" s="1">
        <f>335001600*(10^-6)</f>
        <v>335.0016</v>
      </c>
      <c r="G32" s="1">
        <v>2</v>
      </c>
      <c r="H32" s="1">
        <v>70.33</v>
      </c>
    </row>
    <row r="33" spans="1:8">
      <c r="A33" s="1">
        <v>28</v>
      </c>
      <c r="B33" s="1" t="s">
        <v>457</v>
      </c>
      <c r="C33" s="1">
        <v>83.71</v>
      </c>
      <c r="D33" s="1">
        <v>15.84</v>
      </c>
      <c r="E33" s="1">
        <v>0.49785800000000002</v>
      </c>
      <c r="F33" s="1">
        <f>78220800*(10^-6)</f>
        <v>78.220799999999997</v>
      </c>
      <c r="G33" s="1">
        <v>2</v>
      </c>
      <c r="H33" s="1">
        <v>17.21</v>
      </c>
    </row>
    <row r="34" spans="1:8">
      <c r="A34" s="1">
        <v>29</v>
      </c>
      <c r="B34" s="1" t="s">
        <v>458</v>
      </c>
      <c r="C34" s="1">
        <v>363.05</v>
      </c>
      <c r="D34" s="1">
        <v>17.010000000000002</v>
      </c>
      <c r="E34" s="1">
        <v>0.41100300000000001</v>
      </c>
      <c r="F34" s="1">
        <f>194112000*(10^-6)</f>
        <v>194.11199999999999</v>
      </c>
      <c r="G34" s="1">
        <v>0</v>
      </c>
      <c r="H34" s="1">
        <v>84.15</v>
      </c>
    </row>
    <row r="35" spans="1:8">
      <c r="A35" s="1">
        <v>30</v>
      </c>
      <c r="B35" s="1" t="s">
        <v>459</v>
      </c>
      <c r="C35" s="1">
        <v>350.67</v>
      </c>
      <c r="D35" s="1">
        <v>16.79</v>
      </c>
      <c r="E35" s="1">
        <v>0.332484</v>
      </c>
      <c r="F35" s="1">
        <f>101760000*(10^-6)</f>
        <v>101.75999999999999</v>
      </c>
      <c r="G35" s="1">
        <v>2</v>
      </c>
      <c r="H35" s="1">
        <v>70.53</v>
      </c>
    </row>
    <row r="36" spans="1:8">
      <c r="A36" s="1">
        <v>31</v>
      </c>
      <c r="B36" s="1" t="s">
        <v>460</v>
      </c>
      <c r="C36" s="1">
        <v>222.64</v>
      </c>
      <c r="D36" s="1">
        <v>16.690000000000001</v>
      </c>
      <c r="E36" s="1">
        <v>0.49971700000000002</v>
      </c>
      <c r="F36" s="1">
        <f>217344000*(10^-6)</f>
        <v>217.34399999999999</v>
      </c>
      <c r="G36" s="1">
        <v>2</v>
      </c>
      <c r="H36" s="1">
        <v>45.93</v>
      </c>
    </row>
    <row r="37" spans="1:8">
      <c r="A37" s="1">
        <v>32</v>
      </c>
      <c r="B37" s="1" t="s">
        <v>461</v>
      </c>
      <c r="C37" s="1">
        <v>147.91999999999999</v>
      </c>
      <c r="D37" s="1">
        <v>16.29</v>
      </c>
      <c r="E37" s="1">
        <v>0.45414500000000002</v>
      </c>
      <c r="F37" s="1">
        <f>100915200*(10^-6)</f>
        <v>100.9152</v>
      </c>
      <c r="G37" s="1">
        <v>2</v>
      </c>
      <c r="H37" s="1">
        <v>28.33</v>
      </c>
    </row>
    <row r="38" spans="1:8">
      <c r="A38" s="1">
        <v>33</v>
      </c>
      <c r="B38" s="1" t="s">
        <v>462</v>
      </c>
      <c r="C38" s="1">
        <v>476.03</v>
      </c>
      <c r="D38" s="1">
        <v>17.329999999999998</v>
      </c>
      <c r="E38" s="1">
        <v>0.47557300000000002</v>
      </c>
      <c r="F38" s="1">
        <f>368140800*(10^-6)</f>
        <v>368.14079999999996</v>
      </c>
      <c r="G38" s="1">
        <v>2</v>
      </c>
      <c r="H38" s="1">
        <v>99.01</v>
      </c>
    </row>
    <row r="39" spans="1:8">
      <c r="A39" s="1">
        <v>34</v>
      </c>
      <c r="B39" s="1" t="s">
        <v>463</v>
      </c>
      <c r="C39" s="1">
        <v>102.16</v>
      </c>
      <c r="D39" s="1">
        <v>16.02</v>
      </c>
      <c r="E39" s="1">
        <v>0.49999399999999999</v>
      </c>
      <c r="F39" s="1">
        <f>101798400*(10^-6)</f>
        <v>101.7984</v>
      </c>
      <c r="G39" s="1">
        <v>2</v>
      </c>
      <c r="H39" s="1">
        <v>19.309999999999999</v>
      </c>
    </row>
    <row r="40" spans="1:8">
      <c r="A40" s="1">
        <v>35</v>
      </c>
      <c r="B40" s="1" t="s">
        <v>464</v>
      </c>
      <c r="C40" s="1">
        <v>281.26</v>
      </c>
      <c r="D40" s="1">
        <v>16.850000000000001</v>
      </c>
      <c r="E40" s="1">
        <v>0.45403500000000002</v>
      </c>
      <c r="F40" s="1">
        <f>191769600*(10^-6)</f>
        <v>191.7696</v>
      </c>
      <c r="G40" s="1">
        <v>0</v>
      </c>
      <c r="H40" s="1">
        <v>53.64</v>
      </c>
    </row>
    <row r="41" spans="1:8">
      <c r="A41" s="1">
        <v>36</v>
      </c>
      <c r="B41" s="1" t="s">
        <v>465</v>
      </c>
      <c r="C41" s="1">
        <v>529.71</v>
      </c>
      <c r="D41" s="1">
        <v>17.45</v>
      </c>
      <c r="E41" s="1">
        <v>0.49998999999999999</v>
      </c>
      <c r="F41" s="1">
        <f>527385600*(10^-6)</f>
        <v>527.38559999999995</v>
      </c>
      <c r="G41" s="1">
        <v>0</v>
      </c>
      <c r="H41" s="1">
        <v>130.80000000000001</v>
      </c>
    </row>
    <row r="42" spans="1:8">
      <c r="A42" s="1">
        <v>37</v>
      </c>
      <c r="B42" s="1" t="s">
        <v>466</v>
      </c>
      <c r="C42" s="1">
        <v>280.74</v>
      </c>
      <c r="D42" s="1">
        <v>16.850000000000001</v>
      </c>
      <c r="E42" s="1">
        <v>0.45663500000000001</v>
      </c>
      <c r="F42" s="1">
        <f>194227200*(10^-6)</f>
        <v>194.22719999999998</v>
      </c>
      <c r="G42" s="1">
        <v>0</v>
      </c>
      <c r="H42" s="1">
        <v>53.61</v>
      </c>
    </row>
    <row r="43" spans="1:8">
      <c r="A43" s="1">
        <v>38</v>
      </c>
      <c r="B43" s="1" t="s">
        <v>467</v>
      </c>
      <c r="C43" s="1">
        <v>280.67</v>
      </c>
      <c r="D43" s="1">
        <v>16.850000000000001</v>
      </c>
      <c r="E43" s="1">
        <v>0.45583699999999999</v>
      </c>
      <c r="F43" s="1">
        <f>193305600*(10^-6)</f>
        <v>193.3056</v>
      </c>
      <c r="G43" s="1">
        <v>0</v>
      </c>
      <c r="H43" s="1">
        <v>53.61</v>
      </c>
    </row>
    <row r="44" spans="1:8">
      <c r="A44" s="1">
        <v>39</v>
      </c>
      <c r="B44" s="1" t="s">
        <v>468</v>
      </c>
      <c r="C44" s="1">
        <v>450.22</v>
      </c>
      <c r="D44" s="1">
        <v>17.29</v>
      </c>
      <c r="E44" s="1">
        <v>0.48436499999999999</v>
      </c>
      <c r="F44" s="1">
        <f>369331200*(10^-6)</f>
        <v>369.33119999999997</v>
      </c>
      <c r="G44" s="1">
        <v>0</v>
      </c>
      <c r="H44" s="1">
        <v>100.38</v>
      </c>
    </row>
    <row r="45" spans="1:8">
      <c r="A45" s="1">
        <v>40</v>
      </c>
      <c r="B45" s="1" t="s">
        <v>469</v>
      </c>
      <c r="C45" s="1">
        <v>478.89</v>
      </c>
      <c r="D45" s="1">
        <v>17.32</v>
      </c>
      <c r="E45" s="1">
        <v>0.45898499999999998</v>
      </c>
      <c r="F45" s="1">
        <f>335731200*(10^-6)</f>
        <v>335.7312</v>
      </c>
      <c r="G45" s="1">
        <v>0</v>
      </c>
      <c r="H45" s="1">
        <v>98.27</v>
      </c>
    </row>
    <row r="46" spans="1:8">
      <c r="A46" s="1">
        <v>41</v>
      </c>
      <c r="B46" s="1" t="s">
        <v>470</v>
      </c>
      <c r="C46" s="1">
        <v>315.58999999999997</v>
      </c>
      <c r="D46" s="1">
        <v>16.73</v>
      </c>
      <c r="E46" s="1">
        <v>0.34167500000000001</v>
      </c>
      <c r="F46" s="1">
        <f>100761600*(10^-6)</f>
        <v>100.7616</v>
      </c>
      <c r="G46" s="1">
        <v>0</v>
      </c>
      <c r="H46" s="1">
        <v>75.150000000000006</v>
      </c>
    </row>
    <row r="47" spans="1:8">
      <c r="A47" s="1">
        <v>42</v>
      </c>
      <c r="B47" s="1" t="s">
        <v>471</v>
      </c>
      <c r="C47" s="1">
        <v>234.05</v>
      </c>
      <c r="D47" s="1">
        <v>16.57</v>
      </c>
      <c r="E47" s="1">
        <v>0.37739499999999998</v>
      </c>
      <c r="F47" s="1">
        <f>100646400*(10^-6)</f>
        <v>100.6464</v>
      </c>
      <c r="G47" s="1">
        <v>0</v>
      </c>
      <c r="H47" s="1">
        <v>44.63</v>
      </c>
    </row>
    <row r="48" spans="1:8">
      <c r="A48" s="1">
        <v>43</v>
      </c>
      <c r="B48" s="1" t="s">
        <v>472</v>
      </c>
      <c r="C48" s="1">
        <v>234.28</v>
      </c>
      <c r="D48" s="1">
        <v>16.57</v>
      </c>
      <c r="E48" s="1">
        <v>0.378162</v>
      </c>
      <c r="F48" s="1">
        <f>101299200*(10^-6)</f>
        <v>101.2992</v>
      </c>
      <c r="G48" s="1">
        <v>2</v>
      </c>
      <c r="H48" s="1">
        <v>44.63</v>
      </c>
    </row>
    <row r="49" spans="1:8">
      <c r="A49" s="1">
        <v>44</v>
      </c>
      <c r="B49" s="1" t="s">
        <v>473</v>
      </c>
      <c r="C49" s="1">
        <v>342.03</v>
      </c>
      <c r="D49" s="1">
        <v>16.78</v>
      </c>
      <c r="E49" s="1">
        <v>0.33592100000000003</v>
      </c>
      <c r="F49" s="1">
        <f>102988800*(10^-6)</f>
        <v>102.9888</v>
      </c>
      <c r="G49" s="1">
        <v>0</v>
      </c>
      <c r="H49" s="1">
        <v>73.760000000000005</v>
      </c>
    </row>
    <row r="50" spans="1:8">
      <c r="A50" s="1">
        <v>45</v>
      </c>
      <c r="B50" s="1" t="s">
        <v>474</v>
      </c>
      <c r="C50" s="1">
        <v>450.03</v>
      </c>
      <c r="D50" s="1">
        <v>17.29</v>
      </c>
      <c r="E50" s="1">
        <v>0.48442400000000002</v>
      </c>
      <c r="F50" s="1">
        <f>369331200*(10^-6)</f>
        <v>369.33119999999997</v>
      </c>
      <c r="G50" s="1">
        <v>2</v>
      </c>
      <c r="H50" s="1">
        <v>100.4</v>
      </c>
    </row>
    <row r="51" spans="1:8">
      <c r="A51" s="1">
        <v>46</v>
      </c>
      <c r="B51" s="1" t="s">
        <v>475</v>
      </c>
      <c r="C51" s="1">
        <v>482.13</v>
      </c>
      <c r="D51" s="1">
        <v>17.329999999999998</v>
      </c>
      <c r="E51" s="1">
        <v>0.459978</v>
      </c>
      <c r="F51" s="1">
        <f>339916800*(10^-6)</f>
        <v>339.91679999999997</v>
      </c>
      <c r="G51" s="1">
        <v>0</v>
      </c>
      <c r="H51" s="1">
        <v>98.29</v>
      </c>
    </row>
    <row r="52" spans="1:8">
      <c r="A52" s="1">
        <v>47</v>
      </c>
      <c r="B52" s="1" t="s">
        <v>476</v>
      </c>
      <c r="C52" s="1">
        <v>219.03</v>
      </c>
      <c r="D52" s="1">
        <v>16.54</v>
      </c>
      <c r="E52" s="1">
        <v>0.38922400000000001</v>
      </c>
      <c r="F52" s="1">
        <f>102182400*(10^-6)</f>
        <v>102.1824</v>
      </c>
      <c r="G52" s="1">
        <v>0</v>
      </c>
      <c r="H52" s="1">
        <v>45.05</v>
      </c>
    </row>
    <row r="53" spans="1:8">
      <c r="A53" s="1">
        <v>48</v>
      </c>
      <c r="B53" s="1" t="s">
        <v>477</v>
      </c>
      <c r="C53" s="1">
        <v>194.13</v>
      </c>
      <c r="D53" s="1">
        <v>16.579999999999998</v>
      </c>
      <c r="E53" s="1">
        <v>0.49999399999999999</v>
      </c>
      <c r="F53" s="1">
        <f>193459200*(10^-6)</f>
        <v>193.45919999999998</v>
      </c>
      <c r="G53" s="1">
        <v>2</v>
      </c>
      <c r="H53" s="1">
        <v>37.35</v>
      </c>
    </row>
    <row r="54" spans="1:8">
      <c r="A54" s="1">
        <v>49</v>
      </c>
      <c r="B54" s="1" t="s">
        <v>478</v>
      </c>
      <c r="C54" s="1">
        <v>378.99</v>
      </c>
      <c r="D54" s="1">
        <v>17.16</v>
      </c>
      <c r="E54" s="1">
        <v>0.49999900000000003</v>
      </c>
      <c r="F54" s="1">
        <f>378547200*(10^-6)</f>
        <v>378.54719999999998</v>
      </c>
      <c r="G54" s="1">
        <v>0</v>
      </c>
      <c r="H54" s="1">
        <v>83.76</v>
      </c>
    </row>
    <row r="55" spans="1:8">
      <c r="A55" s="1">
        <v>50</v>
      </c>
      <c r="B55" s="1" t="s">
        <v>479</v>
      </c>
      <c r="C55" s="1">
        <v>368.95</v>
      </c>
      <c r="D55" s="1">
        <v>17.13</v>
      </c>
      <c r="E55" s="1">
        <v>0.5</v>
      </c>
      <c r="F55" s="1">
        <f>368947200*(10^-6)</f>
        <v>368.94720000000001</v>
      </c>
      <c r="G55" s="1">
        <v>0</v>
      </c>
      <c r="H55" s="1">
        <v>69.91</v>
      </c>
    </row>
    <row r="56" spans="1:8">
      <c r="B56" s="1" t="s">
        <v>19</v>
      </c>
      <c r="C56" s="1">
        <f>AVERAGE(C6:C55)</f>
        <v>269.55419999999998</v>
      </c>
      <c r="D56" s="1">
        <f t="shared" ref="D56:F56" si="0">AVERAGE(D6:D55)</f>
        <v>16.620600000000003</v>
      </c>
      <c r="E56" s="1">
        <f t="shared" si="0"/>
        <v>0.44119137999999986</v>
      </c>
      <c r="F56" s="1">
        <f t="shared" si="0"/>
        <v>184.32076799999999</v>
      </c>
      <c r="H56" s="1">
        <f t="shared" ref="H56" si="1">AVERAGE(H6:H55)</f>
        <v>56.185400000000016</v>
      </c>
    </row>
    <row r="57" spans="1:8">
      <c r="B57" s="1" t="s">
        <v>20</v>
      </c>
      <c r="C57" s="1">
        <f>MIN(C5:C55)</f>
        <v>50.78</v>
      </c>
      <c r="D57" s="1">
        <f t="shared" ref="D57:F57" si="2">MIN(D5:D55)</f>
        <v>12.89</v>
      </c>
      <c r="E57" s="1">
        <f t="shared" si="2"/>
        <v>0.25037799999999999</v>
      </c>
      <c r="F57" s="1">
        <f t="shared" si="2"/>
        <v>7.6799999999999993E-2</v>
      </c>
      <c r="H57" s="1">
        <f t="shared" ref="H57" si="3">MIN(H5:H55)</f>
        <v>9.66</v>
      </c>
    </row>
    <row r="58" spans="1:8">
      <c r="B58" s="1" t="s">
        <v>3</v>
      </c>
      <c r="C58" s="1">
        <f>STDEV(C6:C55)</f>
        <v>125.67582151970625</v>
      </c>
      <c r="D58" s="1">
        <f t="shared" ref="D58:E58" si="4">STDEV(D6:D55)</f>
        <v>0.69043142383620959</v>
      </c>
      <c r="E58" s="1">
        <f t="shared" si="4"/>
        <v>6.1682077195724452E-2</v>
      </c>
      <c r="F58" s="1">
        <f>STDEV(F6:F55)</f>
        <v>116.12425821123314</v>
      </c>
      <c r="H58" s="1">
        <f>STDEV(H6:H55)</f>
        <v>28.920046730563161</v>
      </c>
    </row>
    <row r="60" spans="1:8">
      <c r="H60" s="2" t="s">
        <v>1435</v>
      </c>
    </row>
    <row r="61" spans="1:8" ht="18">
      <c r="A61" s="2" t="s">
        <v>7</v>
      </c>
      <c r="B61" s="3" t="s">
        <v>8</v>
      </c>
      <c r="C61" s="2" t="s">
        <v>4</v>
      </c>
      <c r="D61" s="2" t="s">
        <v>322</v>
      </c>
      <c r="E61" s="2" t="s">
        <v>321</v>
      </c>
      <c r="F61" s="2" t="s">
        <v>324</v>
      </c>
      <c r="G61" s="2" t="s">
        <v>323</v>
      </c>
      <c r="H61" s="2" t="s">
        <v>1436</v>
      </c>
    </row>
    <row r="62" spans="1:8">
      <c r="A62" s="1">
        <v>1</v>
      </c>
      <c r="B62" s="1" t="s">
        <v>580</v>
      </c>
      <c r="C62" s="1">
        <v>130.59</v>
      </c>
      <c r="D62" s="1" t="e">
        <f>-inf</f>
        <v>#NAME?</v>
      </c>
      <c r="E62" s="1">
        <v>0.36660799999999999</v>
      </c>
      <c r="F62" s="1">
        <f>0*(10^-6)</f>
        <v>0</v>
      </c>
      <c r="G62" s="1">
        <v>8</v>
      </c>
      <c r="H62" s="1">
        <v>27.56</v>
      </c>
    </row>
    <row r="63" spans="1:8">
      <c r="A63" s="1">
        <v>2</v>
      </c>
      <c r="B63" s="1" t="s">
        <v>581</v>
      </c>
      <c r="C63" s="1">
        <v>111.41</v>
      </c>
      <c r="D63" s="1">
        <v>40.1</v>
      </c>
      <c r="E63" s="1">
        <v>0.43503900000000001</v>
      </c>
      <c r="F63" s="1">
        <f>74457600*(10^-6)</f>
        <v>74.457599999999999</v>
      </c>
      <c r="G63" s="1">
        <v>4</v>
      </c>
      <c r="H63" s="1">
        <v>21.17</v>
      </c>
    </row>
    <row r="64" spans="1:8">
      <c r="A64" s="1">
        <v>3</v>
      </c>
      <c r="B64" s="1" t="s">
        <v>582</v>
      </c>
      <c r="C64" s="1">
        <v>323.32</v>
      </c>
      <c r="D64" s="1">
        <v>39.54</v>
      </c>
      <c r="E64" s="1">
        <v>0.36267899999999997</v>
      </c>
      <c r="F64" s="1">
        <f>153600*(10^-6)</f>
        <v>0.15359999999999999</v>
      </c>
      <c r="G64" s="1">
        <v>2</v>
      </c>
      <c r="H64" s="1">
        <v>66.87</v>
      </c>
    </row>
    <row r="65" spans="1:8">
      <c r="A65" s="1">
        <v>4</v>
      </c>
      <c r="B65" s="1" t="s">
        <v>583</v>
      </c>
      <c r="C65" s="1">
        <v>134.5</v>
      </c>
      <c r="D65" s="1">
        <v>38.97</v>
      </c>
      <c r="E65" s="1">
        <v>0.25855400000000001</v>
      </c>
      <c r="F65" s="1">
        <f>11366400*(10^-6)</f>
        <v>11.366399999999999</v>
      </c>
      <c r="G65" s="1">
        <v>2</v>
      </c>
      <c r="H65" s="1">
        <v>25.61</v>
      </c>
    </row>
    <row r="66" spans="1:8">
      <c r="A66" s="1">
        <v>5</v>
      </c>
      <c r="B66" s="1" t="s">
        <v>584</v>
      </c>
      <c r="C66" s="1">
        <v>118.86</v>
      </c>
      <c r="D66" s="1" t="e">
        <f>-inf</f>
        <v>#NAME?</v>
      </c>
      <c r="E66" s="1">
        <v>0.36443199999999998</v>
      </c>
      <c r="F66" s="1">
        <f>0*(10^-6)</f>
        <v>0</v>
      </c>
      <c r="G66" s="1">
        <v>8</v>
      </c>
      <c r="H66" s="1">
        <v>22.66</v>
      </c>
    </row>
    <row r="67" spans="1:8">
      <c r="A67" s="1">
        <v>6</v>
      </c>
      <c r="B67" s="1" t="s">
        <v>585</v>
      </c>
      <c r="C67" s="1">
        <v>323.77999999999997</v>
      </c>
      <c r="D67" s="1">
        <v>42.18</v>
      </c>
      <c r="E67" s="1">
        <v>0.38700499999999999</v>
      </c>
      <c r="F67" s="1">
        <f>102144000*(10^-6)</f>
        <v>102.14399999999999</v>
      </c>
      <c r="G67" s="1">
        <v>8</v>
      </c>
      <c r="H67" s="1">
        <v>64.209999999999994</v>
      </c>
    </row>
    <row r="68" spans="1:8">
      <c r="A68" s="1">
        <v>7</v>
      </c>
      <c r="B68" s="1" t="s">
        <v>586</v>
      </c>
      <c r="C68" s="1">
        <v>72.78</v>
      </c>
      <c r="D68" s="1" t="e">
        <f>-inf</f>
        <v>#NAME?</v>
      </c>
      <c r="E68" s="1">
        <v>0.39308399999999999</v>
      </c>
      <c r="F68" s="1">
        <f>0*(10^-6)</f>
        <v>0</v>
      </c>
      <c r="G68" s="1">
        <v>4</v>
      </c>
      <c r="H68" s="1">
        <v>14.67</v>
      </c>
    </row>
    <row r="69" spans="1:8">
      <c r="A69" s="1">
        <v>8</v>
      </c>
      <c r="B69" s="1" t="s">
        <v>587</v>
      </c>
      <c r="C69" s="1">
        <v>147</v>
      </c>
      <c r="D69" s="1">
        <v>39.42</v>
      </c>
      <c r="E69" s="1">
        <v>0.291491</v>
      </c>
      <c r="F69" s="1">
        <f>5068800*(10^-6)</f>
        <v>5.0687999999999995</v>
      </c>
      <c r="G69" s="1">
        <v>2</v>
      </c>
      <c r="H69" s="1">
        <v>28.26</v>
      </c>
    </row>
    <row r="70" spans="1:8">
      <c r="A70" s="1">
        <v>9</v>
      </c>
      <c r="B70" s="1" t="s">
        <v>588</v>
      </c>
      <c r="C70" s="1">
        <v>99.99</v>
      </c>
      <c r="D70" s="1" t="e">
        <f>-inf</f>
        <v>#NAME?</v>
      </c>
      <c r="E70" s="1">
        <v>0.36253000000000002</v>
      </c>
      <c r="F70" s="1">
        <f>0*(10^-6)</f>
        <v>0</v>
      </c>
      <c r="G70" s="1">
        <v>6</v>
      </c>
      <c r="H70" s="1">
        <v>19.05</v>
      </c>
    </row>
    <row r="71" spans="1:8">
      <c r="A71" s="1">
        <v>10</v>
      </c>
      <c r="B71" s="1" t="s">
        <v>589</v>
      </c>
      <c r="C71" s="1">
        <v>154.83000000000001</v>
      </c>
      <c r="D71" s="1">
        <v>40.33</v>
      </c>
      <c r="E71" s="1">
        <v>0.31554599999999999</v>
      </c>
      <c r="F71" s="1">
        <f>53606400*(10^-6)</f>
        <v>53.606400000000001</v>
      </c>
      <c r="G71" s="1">
        <v>4</v>
      </c>
      <c r="H71" s="1">
        <v>29.42</v>
      </c>
    </row>
    <row r="72" spans="1:8">
      <c r="A72" s="1">
        <v>11</v>
      </c>
      <c r="B72" s="1" t="s">
        <v>590</v>
      </c>
      <c r="C72" s="1">
        <v>171.89</v>
      </c>
      <c r="D72" s="1" t="e">
        <f>-inf</f>
        <v>#NAME?</v>
      </c>
      <c r="E72" s="1">
        <v>0.33230799999999999</v>
      </c>
      <c r="F72" s="1">
        <f>0*(10^-6)</f>
        <v>0</v>
      </c>
      <c r="G72" s="1">
        <v>8</v>
      </c>
      <c r="H72" s="1">
        <v>32.770000000000003</v>
      </c>
    </row>
    <row r="73" spans="1:8">
      <c r="A73" s="1">
        <v>12</v>
      </c>
      <c r="B73" s="1" t="s">
        <v>591</v>
      </c>
      <c r="C73" s="1">
        <v>209.95</v>
      </c>
      <c r="D73" s="1">
        <v>41.03</v>
      </c>
      <c r="E73" s="1">
        <v>0.28187499999999999</v>
      </c>
      <c r="F73" s="1">
        <f>101606400*(10^-6)</f>
        <v>101.60639999999999</v>
      </c>
      <c r="G73" s="1">
        <v>4</v>
      </c>
      <c r="H73" s="1">
        <v>43.52</v>
      </c>
    </row>
    <row r="74" spans="1:8">
      <c r="A74" s="1">
        <v>13</v>
      </c>
      <c r="B74" s="1" t="s">
        <v>592</v>
      </c>
      <c r="C74" s="1">
        <v>171.64</v>
      </c>
      <c r="D74" s="1">
        <v>39.56</v>
      </c>
      <c r="E74" s="1">
        <v>0.33350600000000002</v>
      </c>
      <c r="F74" s="1">
        <f>2649600*(10^-6)</f>
        <v>2.6496</v>
      </c>
      <c r="G74" s="1">
        <v>2</v>
      </c>
      <c r="H74" s="1">
        <v>32.83</v>
      </c>
    </row>
    <row r="75" spans="1:8">
      <c r="A75" s="1">
        <v>14</v>
      </c>
      <c r="B75" s="1" t="s">
        <v>593</v>
      </c>
      <c r="C75" s="1">
        <v>147.33000000000001</v>
      </c>
      <c r="D75" s="1">
        <v>36.200000000000003</v>
      </c>
      <c r="E75" s="1">
        <v>0.178507</v>
      </c>
      <c r="F75" s="1">
        <f>537600*(10^-6)</f>
        <v>0.53759999999999997</v>
      </c>
      <c r="G75" s="1">
        <v>2</v>
      </c>
      <c r="H75" s="1">
        <v>33.93</v>
      </c>
    </row>
    <row r="76" spans="1:8">
      <c r="A76" s="1">
        <v>15</v>
      </c>
      <c r="B76" s="1" t="s">
        <v>594</v>
      </c>
      <c r="C76" s="1">
        <v>96.11</v>
      </c>
      <c r="D76" s="1">
        <v>39.69</v>
      </c>
      <c r="E76" s="1">
        <v>0.39632000000000001</v>
      </c>
      <c r="F76" s="1">
        <f>55795200*(10^-6)</f>
        <v>55.795199999999994</v>
      </c>
      <c r="G76" s="1">
        <v>2</v>
      </c>
      <c r="H76" s="1">
        <v>20.170000000000002</v>
      </c>
    </row>
    <row r="77" spans="1:8">
      <c r="A77" s="1">
        <v>16</v>
      </c>
      <c r="B77" s="1" t="s">
        <v>595</v>
      </c>
      <c r="C77" s="1">
        <v>263.33999999999997</v>
      </c>
      <c r="D77" s="1">
        <v>41.27</v>
      </c>
      <c r="E77" s="1">
        <v>0.30327599999999999</v>
      </c>
      <c r="F77" s="1">
        <f>57792000*(10^-6)</f>
        <v>57.791999999999994</v>
      </c>
      <c r="G77" s="1">
        <v>2</v>
      </c>
      <c r="H77" s="1">
        <v>51.52</v>
      </c>
    </row>
    <row r="78" spans="1:8">
      <c r="A78" s="1">
        <v>17</v>
      </c>
      <c r="B78" s="1" t="s">
        <v>596</v>
      </c>
      <c r="C78" s="1">
        <v>165.04</v>
      </c>
      <c r="D78" s="1">
        <v>39.57</v>
      </c>
      <c r="E78" s="1">
        <v>0.34529500000000002</v>
      </c>
      <c r="F78" s="1">
        <f>2918400*(10^-6)</f>
        <v>2.9183999999999997</v>
      </c>
      <c r="G78" s="1">
        <v>0</v>
      </c>
      <c r="H78" s="1">
        <v>33</v>
      </c>
    </row>
    <row r="79" spans="1:8">
      <c r="A79" s="1">
        <v>18</v>
      </c>
      <c r="B79" s="1" t="s">
        <v>597</v>
      </c>
      <c r="C79" s="1">
        <v>224.44</v>
      </c>
      <c r="D79" s="1">
        <v>39.979999999999997</v>
      </c>
      <c r="E79" s="1">
        <v>0.26779199999999997</v>
      </c>
      <c r="F79" s="1">
        <f>4761600*(10^-6)</f>
        <v>4.7615999999999996</v>
      </c>
      <c r="G79" s="1">
        <v>0</v>
      </c>
      <c r="H79" s="1">
        <v>47.54</v>
      </c>
    </row>
    <row r="80" spans="1:8">
      <c r="A80" s="1">
        <v>19</v>
      </c>
      <c r="B80" s="1" t="s">
        <v>598</v>
      </c>
      <c r="C80" s="1">
        <v>225.73</v>
      </c>
      <c r="D80" s="1">
        <v>40.630000000000003</v>
      </c>
      <c r="E80" s="1">
        <v>0.37119799999999997</v>
      </c>
      <c r="F80" s="1">
        <f>8448000*(10^-6)</f>
        <v>8.4480000000000004</v>
      </c>
      <c r="G80" s="1">
        <v>8</v>
      </c>
      <c r="H80" s="1">
        <v>43.02</v>
      </c>
    </row>
    <row r="81" spans="1:8">
      <c r="A81" s="1">
        <v>20</v>
      </c>
      <c r="B81" s="1" t="s">
        <v>599</v>
      </c>
      <c r="C81" s="1">
        <v>214.3</v>
      </c>
      <c r="D81" s="1">
        <v>37.479999999999997</v>
      </c>
      <c r="E81" s="1">
        <v>0.30952600000000002</v>
      </c>
      <c r="F81" s="1">
        <f>38400*(10^-6)</f>
        <v>3.8399999999999997E-2</v>
      </c>
      <c r="G81" s="1">
        <v>6</v>
      </c>
      <c r="H81" s="1">
        <v>42.17</v>
      </c>
    </row>
    <row r="82" spans="1:8">
      <c r="A82" s="1">
        <v>21</v>
      </c>
      <c r="B82" s="1" t="s">
        <v>600</v>
      </c>
      <c r="C82" s="1">
        <v>176.94</v>
      </c>
      <c r="D82" s="1">
        <v>40.909999999999997</v>
      </c>
      <c r="E82" s="1">
        <v>0.410547</v>
      </c>
      <c r="F82" s="1">
        <f>54412800*(10^-6)</f>
        <v>54.412799999999997</v>
      </c>
      <c r="G82" s="1">
        <v>0</v>
      </c>
      <c r="H82" s="1">
        <v>35.119999999999997</v>
      </c>
    </row>
    <row r="83" spans="1:8">
      <c r="A83" s="1">
        <v>22</v>
      </c>
      <c r="B83" s="1" t="s">
        <v>601</v>
      </c>
      <c r="C83" s="1">
        <v>318.52</v>
      </c>
      <c r="D83" s="1">
        <v>42.34</v>
      </c>
      <c r="E83" s="1">
        <v>0.41953099999999999</v>
      </c>
      <c r="F83" s="1">
        <f>191692800*(10^-6)</f>
        <v>191.69280000000001</v>
      </c>
      <c r="G83" s="1">
        <v>6</v>
      </c>
      <c r="H83" s="1">
        <v>66.05</v>
      </c>
    </row>
    <row r="84" spans="1:8">
      <c r="A84" s="1">
        <v>23</v>
      </c>
      <c r="B84" s="1" t="s">
        <v>602</v>
      </c>
      <c r="C84" s="1">
        <v>259.18</v>
      </c>
      <c r="D84" s="1">
        <v>41.59</v>
      </c>
      <c r="E84" s="1">
        <v>0.35298499999999999</v>
      </c>
      <c r="F84" s="1">
        <f>101145600*(10^-6)</f>
        <v>101.1456</v>
      </c>
      <c r="G84" s="1">
        <v>0</v>
      </c>
      <c r="H84" s="1">
        <v>55.26</v>
      </c>
    </row>
    <row r="85" spans="1:8">
      <c r="A85" s="1">
        <v>24</v>
      </c>
      <c r="B85" s="1" t="s">
        <v>603</v>
      </c>
      <c r="C85" s="1">
        <v>98.3</v>
      </c>
      <c r="D85" s="1" t="e">
        <f>-inf</f>
        <v>#NAME?</v>
      </c>
      <c r="E85" s="1">
        <v>0.28211799999999998</v>
      </c>
      <c r="F85" s="1">
        <f>0*(10^-6)</f>
        <v>0</v>
      </c>
      <c r="G85" s="1">
        <v>8</v>
      </c>
      <c r="H85" s="1">
        <v>18.87</v>
      </c>
    </row>
    <row r="86" spans="1:8">
      <c r="A86" s="1">
        <v>25</v>
      </c>
      <c r="B86" s="1" t="s">
        <v>604</v>
      </c>
      <c r="C86" s="1">
        <v>121.57</v>
      </c>
      <c r="D86" s="1">
        <v>40.29</v>
      </c>
      <c r="E86" s="1">
        <v>0.44534699999999999</v>
      </c>
      <c r="F86" s="1">
        <f>74841600*(10^-6)</f>
        <v>74.8416</v>
      </c>
      <c r="G86" s="1">
        <v>0</v>
      </c>
      <c r="H86" s="1">
        <v>23.28</v>
      </c>
    </row>
    <row r="87" spans="1:8">
      <c r="A87" s="1">
        <v>26</v>
      </c>
      <c r="B87" s="1" t="s">
        <v>605</v>
      </c>
      <c r="C87" s="1">
        <v>167.47</v>
      </c>
      <c r="D87" s="1">
        <v>41.02</v>
      </c>
      <c r="E87" s="1">
        <v>0.45764199999999999</v>
      </c>
      <c r="F87" s="1">
        <f>101414400*(10^-6)</f>
        <v>101.4144</v>
      </c>
      <c r="G87" s="1">
        <v>6</v>
      </c>
      <c r="H87" s="1">
        <v>34.979999999999997</v>
      </c>
    </row>
    <row r="88" spans="1:8">
      <c r="A88" s="1">
        <v>27</v>
      </c>
      <c r="B88" s="1" t="s">
        <v>606</v>
      </c>
      <c r="C88" s="1">
        <v>84.81</v>
      </c>
      <c r="D88" s="1">
        <v>38.96</v>
      </c>
      <c r="E88" s="1">
        <v>0.33888000000000001</v>
      </c>
      <c r="F88" s="1">
        <f>18009600*(10^-6)</f>
        <v>18.009599999999999</v>
      </c>
      <c r="G88" s="1">
        <v>6</v>
      </c>
      <c r="H88" s="1">
        <v>17.78</v>
      </c>
    </row>
    <row r="89" spans="1:8">
      <c r="A89" s="1">
        <v>28</v>
      </c>
      <c r="B89" s="1" t="s">
        <v>607</v>
      </c>
      <c r="C89" s="1">
        <v>69.040000000000006</v>
      </c>
      <c r="D89" s="1">
        <v>37.28</v>
      </c>
      <c r="E89" s="1">
        <v>0.40001799999999998</v>
      </c>
      <c r="F89" s="1">
        <f>345600*(10^-6)</f>
        <v>0.34559999999999996</v>
      </c>
      <c r="G89" s="1">
        <v>0</v>
      </c>
      <c r="H89" s="1">
        <v>13.55</v>
      </c>
    </row>
    <row r="90" spans="1:8">
      <c r="A90" s="1">
        <v>29</v>
      </c>
      <c r="B90" s="1" t="s">
        <v>608</v>
      </c>
      <c r="C90" s="1">
        <v>70.319999999999993</v>
      </c>
      <c r="D90" s="1">
        <v>39.14</v>
      </c>
      <c r="E90" s="1">
        <v>0.46330900000000003</v>
      </c>
      <c r="F90" s="1">
        <f>40934400*(10^-6)</f>
        <v>40.934399999999997</v>
      </c>
      <c r="G90" s="1">
        <v>4</v>
      </c>
      <c r="H90" s="1">
        <v>13.96</v>
      </c>
    </row>
    <row r="91" spans="1:8">
      <c r="A91" s="1">
        <v>30</v>
      </c>
      <c r="B91" s="1" t="s">
        <v>609</v>
      </c>
      <c r="C91" s="1">
        <v>241.18</v>
      </c>
      <c r="D91" s="1">
        <v>41.85</v>
      </c>
      <c r="E91" s="1">
        <v>0.47287200000000001</v>
      </c>
      <c r="F91" s="1">
        <f>192921600*(10^-6)</f>
        <v>192.92159999999998</v>
      </c>
      <c r="G91" s="1">
        <v>0</v>
      </c>
      <c r="H91" s="1">
        <v>50.22</v>
      </c>
    </row>
    <row r="92" spans="1:8">
      <c r="A92" s="1">
        <v>31</v>
      </c>
      <c r="B92" s="1" t="s">
        <v>610</v>
      </c>
      <c r="C92" s="1">
        <v>154.65</v>
      </c>
      <c r="D92" s="1">
        <v>40.369999999999997</v>
      </c>
      <c r="E92" s="1">
        <v>0.33737499999999998</v>
      </c>
      <c r="F92" s="1">
        <f>35596800*(10^-6)</f>
        <v>35.596800000000002</v>
      </c>
      <c r="G92" s="1">
        <v>8</v>
      </c>
      <c r="H92" s="1">
        <v>30.63</v>
      </c>
    </row>
    <row r="93" spans="1:8">
      <c r="A93" s="1">
        <v>32</v>
      </c>
      <c r="B93" s="1" t="s">
        <v>611</v>
      </c>
      <c r="C93" s="1">
        <v>227.24</v>
      </c>
      <c r="D93" s="1">
        <v>40.74</v>
      </c>
      <c r="E93" s="1">
        <v>0.35941400000000001</v>
      </c>
      <c r="F93" s="1">
        <f>13785600*(10^-6)</f>
        <v>13.785599999999999</v>
      </c>
      <c r="G93" s="1">
        <v>2</v>
      </c>
      <c r="H93" s="1">
        <v>44.57</v>
      </c>
    </row>
    <row r="94" spans="1:8">
      <c r="A94" s="1">
        <v>33</v>
      </c>
      <c r="B94" s="1" t="s">
        <v>612</v>
      </c>
      <c r="C94" s="1">
        <v>118.76</v>
      </c>
      <c r="D94" s="1">
        <v>37.18</v>
      </c>
      <c r="E94" s="1">
        <v>0.36410599999999999</v>
      </c>
      <c r="F94" s="1">
        <f>38400*(10^-6)</f>
        <v>3.8399999999999997E-2</v>
      </c>
      <c r="G94" s="1">
        <v>0</v>
      </c>
      <c r="H94" s="1">
        <v>22.65</v>
      </c>
    </row>
    <row r="95" spans="1:8">
      <c r="A95" s="1">
        <v>34</v>
      </c>
      <c r="B95" s="1" t="s">
        <v>613</v>
      </c>
      <c r="C95" s="1">
        <v>88.78</v>
      </c>
      <c r="D95" s="1">
        <v>36.92</v>
      </c>
      <c r="E95" s="1">
        <v>0.33378400000000003</v>
      </c>
      <c r="F95" s="1">
        <f>76800*(10^-6)</f>
        <v>7.6799999999999993E-2</v>
      </c>
      <c r="G95" s="1">
        <v>6</v>
      </c>
      <c r="H95" s="1">
        <v>17.27</v>
      </c>
    </row>
    <row r="96" spans="1:8">
      <c r="A96" s="1">
        <v>35</v>
      </c>
      <c r="B96" s="1" t="s">
        <v>614</v>
      </c>
      <c r="C96" s="1">
        <v>138.52000000000001</v>
      </c>
      <c r="D96" s="1">
        <v>39.549999999999997</v>
      </c>
      <c r="E96" s="1">
        <v>0.29988999999999999</v>
      </c>
      <c r="F96" s="1">
        <f>8678400*(10^-6)</f>
        <v>8.6783999999999999</v>
      </c>
      <c r="G96" s="1">
        <v>2</v>
      </c>
      <c r="H96" s="1">
        <v>27.82</v>
      </c>
    </row>
    <row r="97" spans="1:8">
      <c r="A97" s="1">
        <v>36</v>
      </c>
      <c r="B97" s="1" t="s">
        <v>615</v>
      </c>
      <c r="C97" s="1">
        <v>143.56</v>
      </c>
      <c r="D97" s="1">
        <v>37.590000000000003</v>
      </c>
      <c r="E97" s="1">
        <v>0.39726899999999998</v>
      </c>
      <c r="F97" s="1">
        <f>38400*(10^-6)</f>
        <v>3.8399999999999997E-2</v>
      </c>
      <c r="G97" s="1">
        <v>8</v>
      </c>
      <c r="H97" s="1">
        <v>30.55</v>
      </c>
    </row>
    <row r="98" spans="1:8">
      <c r="A98" s="1">
        <v>37</v>
      </c>
      <c r="B98" s="1" t="s">
        <v>616</v>
      </c>
      <c r="C98" s="1">
        <v>100.65</v>
      </c>
      <c r="D98" s="1">
        <v>39.840000000000003</v>
      </c>
      <c r="E98" s="1">
        <v>0.41190300000000002</v>
      </c>
      <c r="F98" s="1">
        <f>70003200*(10^-6)</f>
        <v>70.003199999999993</v>
      </c>
      <c r="G98" s="1">
        <v>6</v>
      </c>
      <c r="H98" s="1">
        <v>19.77</v>
      </c>
    </row>
    <row r="99" spans="1:8">
      <c r="A99" s="1">
        <v>38</v>
      </c>
      <c r="B99" s="1" t="s">
        <v>617</v>
      </c>
      <c r="C99" s="1">
        <v>99.26</v>
      </c>
      <c r="D99" s="1">
        <v>37.659999999999997</v>
      </c>
      <c r="E99" s="1">
        <v>0.362039</v>
      </c>
      <c r="F99" s="1">
        <f>230400*(10^-6)</f>
        <v>0.23039999999999999</v>
      </c>
      <c r="G99" s="1">
        <v>4</v>
      </c>
      <c r="H99" s="1">
        <v>19.05</v>
      </c>
    </row>
    <row r="100" spans="1:8">
      <c r="A100" s="1">
        <v>39</v>
      </c>
      <c r="B100" s="1" t="s">
        <v>618</v>
      </c>
      <c r="C100" s="1">
        <v>223.91</v>
      </c>
      <c r="D100" s="1">
        <v>39.4</v>
      </c>
      <c r="E100" s="1">
        <v>0.36620000000000003</v>
      </c>
      <c r="F100" s="1">
        <f>499200*(10^-6)</f>
        <v>0.49919999999999998</v>
      </c>
      <c r="G100" s="1">
        <v>2</v>
      </c>
      <c r="H100" s="1">
        <v>42.85</v>
      </c>
    </row>
    <row r="101" spans="1:8">
      <c r="A101" s="1">
        <v>40</v>
      </c>
      <c r="B101" s="1" t="s">
        <v>619</v>
      </c>
      <c r="C101" s="1">
        <v>102.64</v>
      </c>
      <c r="D101" s="1">
        <v>37.24</v>
      </c>
      <c r="E101" s="1">
        <v>0.36462099999999997</v>
      </c>
      <c r="F101" s="1">
        <f>76800*(10^-6)</f>
        <v>7.6799999999999993E-2</v>
      </c>
      <c r="G101" s="1">
        <v>0</v>
      </c>
      <c r="H101" s="1">
        <v>19.62</v>
      </c>
    </row>
    <row r="102" spans="1:8">
      <c r="A102" s="1">
        <v>41</v>
      </c>
      <c r="B102" s="1" t="s">
        <v>620</v>
      </c>
      <c r="C102" s="1">
        <v>136.66999999999999</v>
      </c>
      <c r="D102" s="1">
        <v>37.450000000000003</v>
      </c>
      <c r="E102" s="1">
        <v>0.37936900000000001</v>
      </c>
      <c r="F102" s="1">
        <f>38400*(10^-6)</f>
        <v>3.8399999999999997E-2</v>
      </c>
      <c r="G102" s="1">
        <v>8</v>
      </c>
      <c r="H102" s="1">
        <v>26.26</v>
      </c>
    </row>
    <row r="103" spans="1:8">
      <c r="A103" s="1">
        <v>42</v>
      </c>
      <c r="B103" s="1" t="s">
        <v>621</v>
      </c>
      <c r="C103" s="1">
        <v>118.72</v>
      </c>
      <c r="D103" s="1">
        <v>38.89</v>
      </c>
      <c r="E103" s="1">
        <v>0.366701</v>
      </c>
      <c r="F103" s="1">
        <f>1996800*(10^-6)</f>
        <v>1.9967999999999999</v>
      </c>
      <c r="G103" s="1">
        <v>2</v>
      </c>
      <c r="H103" s="1">
        <v>22.72</v>
      </c>
    </row>
    <row r="104" spans="1:8">
      <c r="A104" s="1">
        <v>43</v>
      </c>
      <c r="B104" s="1" t="s">
        <v>622</v>
      </c>
      <c r="C104" s="1">
        <v>188.59</v>
      </c>
      <c r="D104" s="1">
        <v>38.049999999999997</v>
      </c>
      <c r="E104" s="1">
        <v>0.30455100000000002</v>
      </c>
      <c r="F104" s="1">
        <f>76800*(10^-6)</f>
        <v>7.6799999999999993E-2</v>
      </c>
      <c r="G104" s="1">
        <v>6</v>
      </c>
      <c r="H104" s="1">
        <v>35.909999999999997</v>
      </c>
    </row>
    <row r="105" spans="1:8">
      <c r="A105" s="1">
        <v>44</v>
      </c>
      <c r="B105" s="1" t="s">
        <v>623</v>
      </c>
      <c r="C105" s="1">
        <v>173.28</v>
      </c>
      <c r="D105" s="1">
        <v>40.26</v>
      </c>
      <c r="E105" s="1">
        <v>0.32658300000000001</v>
      </c>
      <c r="F105" s="1">
        <f>16665600*(10^-6)</f>
        <v>16.665599999999998</v>
      </c>
      <c r="G105" s="1">
        <v>6</v>
      </c>
      <c r="H105" s="1">
        <v>34.130000000000003</v>
      </c>
    </row>
    <row r="106" spans="1:8">
      <c r="A106" s="1">
        <v>45</v>
      </c>
      <c r="B106" s="1" t="s">
        <v>624</v>
      </c>
      <c r="C106" s="1">
        <v>211.17</v>
      </c>
      <c r="D106" s="1">
        <v>41.44</v>
      </c>
      <c r="E106" s="1">
        <v>0.42696899999999999</v>
      </c>
      <c r="F106" s="1">
        <f>101568000*(10^-6)</f>
        <v>101.568</v>
      </c>
      <c r="G106" s="1">
        <v>8</v>
      </c>
      <c r="H106" s="1">
        <v>40.22</v>
      </c>
    </row>
    <row r="107" spans="1:8">
      <c r="A107" s="1">
        <v>46</v>
      </c>
      <c r="B107" s="1" t="s">
        <v>625</v>
      </c>
      <c r="C107" s="1">
        <v>191.22</v>
      </c>
      <c r="D107" s="1">
        <v>38.31</v>
      </c>
      <c r="E107" s="1">
        <v>0.21091199999999999</v>
      </c>
      <c r="F107" s="1">
        <f>345600*(10^-6)</f>
        <v>0.34559999999999996</v>
      </c>
      <c r="G107" s="1">
        <v>8</v>
      </c>
      <c r="H107" s="1">
        <v>37.94</v>
      </c>
    </row>
    <row r="108" spans="1:8">
      <c r="A108" s="1">
        <v>47</v>
      </c>
      <c r="B108" s="1" t="s">
        <v>626</v>
      </c>
      <c r="C108" s="1">
        <v>234.32</v>
      </c>
      <c r="D108" s="1">
        <v>41.29</v>
      </c>
      <c r="E108" s="1">
        <v>0.29396099999999997</v>
      </c>
      <c r="F108" s="1">
        <f>101414400*(10^-6)</f>
        <v>101.4144</v>
      </c>
      <c r="G108" s="1">
        <v>4</v>
      </c>
      <c r="H108" s="1">
        <v>46.85</v>
      </c>
    </row>
    <row r="109" spans="1:8">
      <c r="A109" s="1">
        <v>48</v>
      </c>
      <c r="B109" s="1" t="s">
        <v>627</v>
      </c>
      <c r="C109" s="1">
        <v>249.56</v>
      </c>
      <c r="D109" s="1">
        <v>41.19</v>
      </c>
      <c r="E109" s="1">
        <v>0.39355200000000001</v>
      </c>
      <c r="F109" s="1">
        <f>19545600*(10^-6)</f>
        <v>19.5456</v>
      </c>
      <c r="G109" s="1">
        <v>0</v>
      </c>
      <c r="H109" s="1">
        <v>47.43</v>
      </c>
    </row>
    <row r="110" spans="1:8">
      <c r="A110" s="1">
        <v>49</v>
      </c>
      <c r="B110" s="1" t="s">
        <v>628</v>
      </c>
      <c r="C110" s="1">
        <v>163.61000000000001</v>
      </c>
      <c r="D110" s="1">
        <v>40.29</v>
      </c>
      <c r="E110" s="1">
        <v>0.32847799999999999</v>
      </c>
      <c r="F110" s="1">
        <f>26342400*(10^-6)</f>
        <v>26.342399999999998</v>
      </c>
      <c r="G110" s="1">
        <v>8</v>
      </c>
      <c r="H110" s="1">
        <v>34.33</v>
      </c>
    </row>
    <row r="111" spans="1:8">
      <c r="A111" s="1">
        <v>50</v>
      </c>
      <c r="B111" s="1" t="s">
        <v>629</v>
      </c>
      <c r="C111" s="1">
        <v>199.99</v>
      </c>
      <c r="D111" s="1">
        <v>37.93</v>
      </c>
      <c r="E111" s="1">
        <v>0.22894800000000001</v>
      </c>
      <c r="F111" s="1">
        <f>76800*(10^-6)</f>
        <v>7.6799999999999993E-2</v>
      </c>
      <c r="G111" s="1">
        <v>4</v>
      </c>
      <c r="H111" s="1">
        <v>42.29</v>
      </c>
    </row>
    <row r="112" spans="1:8">
      <c r="B112" s="1" t="s">
        <v>19</v>
      </c>
      <c r="C112" s="1">
        <f>AVERAGE(C62:C111)</f>
        <v>167.58520000000004</v>
      </c>
      <c r="D112" s="1" t="e">
        <f t="shared" ref="D112:F112" si="5">AVERAGE(D62:D111)</f>
        <v>#NAME?</v>
      </c>
      <c r="E112" s="1">
        <f t="shared" si="5"/>
        <v>0.35112889999999991</v>
      </c>
      <c r="F112" s="1">
        <f t="shared" si="5"/>
        <v>33.083135999999989</v>
      </c>
      <c r="H112" s="1">
        <f t="shared" ref="H112" si="6">AVERAGE(H62:H111)</f>
        <v>33.437599999999996</v>
      </c>
    </row>
    <row r="113" spans="1:8">
      <c r="B113" s="1" t="s">
        <v>20</v>
      </c>
      <c r="C113" s="1">
        <f>MIN(C61:C111)</f>
        <v>69.040000000000006</v>
      </c>
      <c r="D113" s="1" t="e">
        <f t="shared" ref="D113:F113" si="7">MIN(D61:D111)</f>
        <v>#NAME?</v>
      </c>
      <c r="E113" s="1">
        <f t="shared" si="7"/>
        <v>0.178507</v>
      </c>
      <c r="F113" s="1">
        <f t="shared" si="7"/>
        <v>0</v>
      </c>
      <c r="H113" s="1">
        <f t="shared" ref="H113" si="8">MIN(H61:H111)</f>
        <v>13.55</v>
      </c>
    </row>
    <row r="114" spans="1:8">
      <c r="B114" s="1" t="s">
        <v>3</v>
      </c>
      <c r="C114" s="1">
        <f>STDEV(C62:C111)</f>
        <v>66.165889517737497</v>
      </c>
      <c r="D114" s="1" t="e">
        <f t="shared" ref="D114:E114" si="9">STDEV(D62:D111)</f>
        <v>#NAME?</v>
      </c>
      <c r="E114" s="1">
        <f t="shared" si="9"/>
        <v>6.3155973281977973E-2</v>
      </c>
      <c r="F114" s="1">
        <f>STDEV(F62:F111)</f>
        <v>48.361362220571181</v>
      </c>
      <c r="H114" s="1">
        <f>STDEV(H62:H111)</f>
        <v>13.61357973885352</v>
      </c>
    </row>
    <row r="116" spans="1:8">
      <c r="H116" s="2" t="s">
        <v>1435</v>
      </c>
    </row>
    <row r="117" spans="1:8" ht="18">
      <c r="A117" s="2" t="s">
        <v>7</v>
      </c>
      <c r="B117" s="3" t="s">
        <v>1</v>
      </c>
      <c r="C117" s="2" t="s">
        <v>4</v>
      </c>
      <c r="D117" s="2" t="s">
        <v>322</v>
      </c>
      <c r="E117" s="2" t="s">
        <v>321</v>
      </c>
      <c r="F117" s="2" t="s">
        <v>324</v>
      </c>
      <c r="G117" s="2" t="s">
        <v>323</v>
      </c>
      <c r="H117" s="2" t="s">
        <v>1436</v>
      </c>
    </row>
    <row r="118" spans="1:8">
      <c r="A118" s="1">
        <v>1</v>
      </c>
      <c r="B118" s="1" t="s">
        <v>330</v>
      </c>
      <c r="C118" s="1">
        <v>117.06</v>
      </c>
      <c r="D118" s="1" t="e">
        <f>-inf</f>
        <v>#NAME?</v>
      </c>
      <c r="E118" s="1">
        <v>0.30768600000000002</v>
      </c>
      <c r="F118" s="1">
        <f>0*(10^-6)</f>
        <v>0</v>
      </c>
      <c r="G118" s="1">
        <v>4</v>
      </c>
      <c r="H118" s="1">
        <v>25.35</v>
      </c>
    </row>
    <row r="119" spans="1:8">
      <c r="A119" s="1">
        <v>2</v>
      </c>
      <c r="B119" s="1" t="s">
        <v>331</v>
      </c>
      <c r="C119" s="1">
        <v>131.75</v>
      </c>
      <c r="D119" s="1" t="e">
        <f>-inf</f>
        <v>#NAME?</v>
      </c>
      <c r="E119" s="1">
        <v>0.29307</v>
      </c>
      <c r="F119" s="1">
        <f>0*(10^-6)</f>
        <v>0</v>
      </c>
      <c r="G119" s="1">
        <v>2</v>
      </c>
      <c r="H119" s="1">
        <v>25.69</v>
      </c>
    </row>
    <row r="120" spans="1:8">
      <c r="A120" s="1">
        <v>3</v>
      </c>
      <c r="B120" s="1" t="s">
        <v>332</v>
      </c>
      <c r="C120" s="1">
        <v>133.72</v>
      </c>
      <c r="D120" s="1" t="e">
        <f>-inf</f>
        <v>#NAME?</v>
      </c>
      <c r="E120" s="1">
        <v>0.29981099999999999</v>
      </c>
      <c r="F120" s="1">
        <f>0*(10^-6)</f>
        <v>0</v>
      </c>
      <c r="G120" s="1">
        <v>12</v>
      </c>
      <c r="H120" s="1">
        <v>26.4</v>
      </c>
    </row>
    <row r="121" spans="1:8">
      <c r="A121" s="1">
        <v>4</v>
      </c>
      <c r="B121" s="1" t="s">
        <v>333</v>
      </c>
      <c r="C121" s="1">
        <v>184.55</v>
      </c>
      <c r="D121" s="1" t="e">
        <f>-inf</f>
        <v>#NAME?</v>
      </c>
      <c r="E121" s="1">
        <v>0.27323999999999998</v>
      </c>
      <c r="F121" s="1">
        <f>0*(10^-6)</f>
        <v>0</v>
      </c>
      <c r="G121" s="1">
        <v>0</v>
      </c>
      <c r="H121" s="1">
        <v>40.64</v>
      </c>
    </row>
    <row r="122" spans="1:8">
      <c r="A122" s="1">
        <v>5</v>
      </c>
      <c r="B122" s="1" t="s">
        <v>334</v>
      </c>
      <c r="C122" s="1">
        <v>141.44999999999999</v>
      </c>
      <c r="D122" s="1" t="e">
        <f>-inf</f>
        <v>#NAME?</v>
      </c>
      <c r="E122" s="1">
        <v>0.24063499999999999</v>
      </c>
      <c r="F122" s="1">
        <f>0*(10^-6)</f>
        <v>0</v>
      </c>
      <c r="G122" s="1">
        <v>12</v>
      </c>
      <c r="H122" s="1">
        <v>27.83</v>
      </c>
    </row>
    <row r="123" spans="1:8">
      <c r="A123" s="1">
        <v>6</v>
      </c>
      <c r="B123" s="1" t="s">
        <v>335</v>
      </c>
      <c r="C123" s="1">
        <v>110.97</v>
      </c>
      <c r="D123" s="1">
        <v>76.150000000000006</v>
      </c>
      <c r="E123" s="1">
        <v>0.27493499999999998</v>
      </c>
      <c r="F123" s="1">
        <f>76800*(10^-6)</f>
        <v>7.6799999999999993E-2</v>
      </c>
      <c r="G123" s="1">
        <v>6</v>
      </c>
      <c r="H123" s="1">
        <v>21.49</v>
      </c>
    </row>
    <row r="124" spans="1:8">
      <c r="A124" s="1">
        <v>7</v>
      </c>
      <c r="B124" s="1" t="s">
        <v>336</v>
      </c>
      <c r="C124" s="1">
        <v>115.58</v>
      </c>
      <c r="D124" s="1" t="e">
        <f>-inf</f>
        <v>#NAME?</v>
      </c>
      <c r="E124" s="1">
        <v>0.27206200000000003</v>
      </c>
      <c r="F124" s="1">
        <f>0*(10^-6)</f>
        <v>0</v>
      </c>
      <c r="G124" s="1">
        <v>8</v>
      </c>
      <c r="H124" s="1">
        <v>25.76</v>
      </c>
    </row>
    <row r="125" spans="1:8">
      <c r="A125" s="1">
        <v>8</v>
      </c>
      <c r="B125" s="1" t="s">
        <v>337</v>
      </c>
      <c r="C125" s="1">
        <v>85.48</v>
      </c>
      <c r="D125" s="1" t="e">
        <f>-inf</f>
        <v>#NAME?</v>
      </c>
      <c r="E125" s="1">
        <v>0.22736200000000001</v>
      </c>
      <c r="F125" s="1">
        <f>0*(10^-6)</f>
        <v>0</v>
      </c>
      <c r="G125" s="1">
        <v>4</v>
      </c>
      <c r="H125" s="1">
        <v>16.87</v>
      </c>
    </row>
    <row r="126" spans="1:8">
      <c r="A126" s="1">
        <v>9</v>
      </c>
      <c r="B126" s="1" t="s">
        <v>338</v>
      </c>
      <c r="C126" s="1">
        <v>98.99</v>
      </c>
      <c r="D126" s="1" t="e">
        <f>-inf</f>
        <v>#NAME?</v>
      </c>
      <c r="E126" s="1">
        <v>0.24643300000000001</v>
      </c>
      <c r="F126" s="1">
        <f>0*(10^-6)</f>
        <v>0</v>
      </c>
      <c r="G126" s="1">
        <v>16</v>
      </c>
      <c r="H126" s="1">
        <v>19.05</v>
      </c>
    </row>
    <row r="127" spans="1:8">
      <c r="A127" s="1">
        <v>10</v>
      </c>
      <c r="B127" s="1" t="s">
        <v>339</v>
      </c>
      <c r="C127" s="1">
        <v>68.8</v>
      </c>
      <c r="D127" s="1">
        <v>73.92</v>
      </c>
      <c r="E127" s="1">
        <v>0.38750400000000002</v>
      </c>
      <c r="F127" s="1">
        <f>38400*(10^-6)</f>
        <v>3.8399999999999997E-2</v>
      </c>
      <c r="G127" s="1">
        <v>14</v>
      </c>
      <c r="H127" s="1">
        <v>13.08</v>
      </c>
    </row>
    <row r="128" spans="1:8">
      <c r="A128" s="1">
        <v>11</v>
      </c>
      <c r="B128" s="1" t="s">
        <v>340</v>
      </c>
      <c r="C128" s="1">
        <v>170.51</v>
      </c>
      <c r="D128" s="1" t="e">
        <f>-inf</f>
        <v>#NAME?</v>
      </c>
      <c r="E128" s="1">
        <v>0.32275100000000001</v>
      </c>
      <c r="F128" s="1">
        <f>0*(10^-6)</f>
        <v>0</v>
      </c>
      <c r="G128" s="1">
        <v>8</v>
      </c>
      <c r="H128" s="1">
        <v>34.68</v>
      </c>
    </row>
    <row r="129" spans="1:8">
      <c r="A129" s="1">
        <v>12</v>
      </c>
      <c r="B129" s="1" t="s">
        <v>341</v>
      </c>
      <c r="C129" s="1">
        <v>128.54</v>
      </c>
      <c r="D129" s="1">
        <v>74.599999999999994</v>
      </c>
      <c r="E129" s="1">
        <v>0.26017200000000001</v>
      </c>
      <c r="F129" s="1">
        <f>153600*(10^-6)</f>
        <v>0.15359999999999999</v>
      </c>
      <c r="G129" s="1">
        <v>12</v>
      </c>
      <c r="H129" s="1">
        <v>25.14</v>
      </c>
    </row>
    <row r="130" spans="1:8">
      <c r="A130" s="1">
        <v>13</v>
      </c>
      <c r="B130" s="1" t="s">
        <v>342</v>
      </c>
      <c r="C130" s="1">
        <v>86.46</v>
      </c>
      <c r="D130" s="1">
        <v>74.069999999999993</v>
      </c>
      <c r="E130" s="1">
        <v>0.37006</v>
      </c>
      <c r="F130" s="1">
        <f>38400*(10^-6)</f>
        <v>3.8399999999999997E-2</v>
      </c>
      <c r="G130" s="1">
        <v>6</v>
      </c>
      <c r="H130" s="1">
        <v>17.53</v>
      </c>
    </row>
    <row r="131" spans="1:8">
      <c r="A131" s="1">
        <v>14</v>
      </c>
      <c r="B131" s="1" t="s">
        <v>343</v>
      </c>
      <c r="C131" s="1">
        <v>96.6</v>
      </c>
      <c r="D131" s="1" t="e">
        <f>-inf</f>
        <v>#NAME?</v>
      </c>
      <c r="E131" s="1">
        <v>0.342644</v>
      </c>
      <c r="F131" s="1">
        <f>0*(10^-6)</f>
        <v>0</v>
      </c>
      <c r="G131" s="1">
        <v>8</v>
      </c>
      <c r="H131" s="1">
        <v>18.940000000000001</v>
      </c>
    </row>
    <row r="132" spans="1:8">
      <c r="A132" s="1">
        <v>15</v>
      </c>
      <c r="B132" s="1" t="s">
        <v>344</v>
      </c>
      <c r="C132" s="1">
        <v>98.69</v>
      </c>
      <c r="D132" s="1" t="e">
        <f>-inf</f>
        <v>#NAME?</v>
      </c>
      <c r="E132" s="1">
        <v>0.33900200000000003</v>
      </c>
      <c r="F132" s="1">
        <f>0*(10^-6)</f>
        <v>0</v>
      </c>
      <c r="G132" s="1">
        <v>10</v>
      </c>
      <c r="H132" s="1">
        <v>19.73</v>
      </c>
    </row>
    <row r="133" spans="1:8">
      <c r="A133" s="1">
        <v>16</v>
      </c>
      <c r="B133" s="1" t="s">
        <v>345</v>
      </c>
      <c r="C133" s="1">
        <v>103.19</v>
      </c>
      <c r="D133" s="1" t="e">
        <f>-inf</f>
        <v>#NAME?</v>
      </c>
      <c r="E133" s="1">
        <v>0.273399</v>
      </c>
      <c r="F133" s="1">
        <f>0*(10^-6)</f>
        <v>0</v>
      </c>
      <c r="G133" s="1">
        <v>2</v>
      </c>
      <c r="H133" s="1">
        <v>20.47</v>
      </c>
    </row>
    <row r="134" spans="1:8">
      <c r="A134" s="1">
        <v>17</v>
      </c>
      <c r="B134" s="1" t="s">
        <v>346</v>
      </c>
      <c r="C134" s="1">
        <v>105.53</v>
      </c>
      <c r="D134" s="1">
        <v>75.400000000000006</v>
      </c>
      <c r="E134" s="1">
        <v>0.36738100000000001</v>
      </c>
      <c r="F134" s="1">
        <f>76800*(10^-6)</f>
        <v>7.6799999999999993E-2</v>
      </c>
      <c r="G134" s="1">
        <v>18</v>
      </c>
      <c r="H134" s="1">
        <v>20.21</v>
      </c>
    </row>
    <row r="135" spans="1:8">
      <c r="A135" s="1">
        <v>18</v>
      </c>
      <c r="B135" s="1" t="s">
        <v>347</v>
      </c>
      <c r="C135" s="1">
        <v>176.94</v>
      </c>
      <c r="D135" s="1">
        <v>80.069999999999993</v>
      </c>
      <c r="E135" s="1">
        <v>0.273864</v>
      </c>
      <c r="F135" s="1">
        <f>17548800*(10^-6)</f>
        <v>17.5488</v>
      </c>
      <c r="G135" s="1">
        <v>6</v>
      </c>
      <c r="H135" s="1">
        <v>34.590000000000003</v>
      </c>
    </row>
    <row r="136" spans="1:8">
      <c r="A136" s="1">
        <v>19</v>
      </c>
      <c r="B136" s="1" t="s">
        <v>348</v>
      </c>
      <c r="C136" s="1">
        <v>174.24</v>
      </c>
      <c r="D136" s="1">
        <v>77.91</v>
      </c>
      <c r="E136" s="1">
        <v>0.27566800000000002</v>
      </c>
      <c r="F136" s="1">
        <f>38400*(10^-6)</f>
        <v>3.8399999999999997E-2</v>
      </c>
      <c r="G136" s="1">
        <v>18</v>
      </c>
      <c r="H136" s="1">
        <v>34.799999999999997</v>
      </c>
    </row>
    <row r="137" spans="1:8">
      <c r="A137" s="1">
        <v>20</v>
      </c>
      <c r="B137" s="1" t="s">
        <v>349</v>
      </c>
      <c r="C137" s="1">
        <v>118.56</v>
      </c>
      <c r="D137" s="1">
        <v>76.53</v>
      </c>
      <c r="E137" s="1">
        <v>0.24526500000000001</v>
      </c>
      <c r="F137" s="1">
        <f>268800*(10^-6)</f>
        <v>0.26879999999999998</v>
      </c>
      <c r="G137" s="1">
        <v>14</v>
      </c>
      <c r="H137" s="1">
        <v>23.18</v>
      </c>
    </row>
    <row r="138" spans="1:8">
      <c r="A138" s="1">
        <v>21</v>
      </c>
      <c r="B138" s="1" t="s">
        <v>350</v>
      </c>
      <c r="C138" s="1">
        <v>127.86</v>
      </c>
      <c r="D138" s="1">
        <v>79.739999999999995</v>
      </c>
      <c r="E138" s="1">
        <v>0.40890399999999999</v>
      </c>
      <c r="F138" s="1">
        <f>4032000*(10^-6)</f>
        <v>4.032</v>
      </c>
      <c r="G138" s="1">
        <v>16</v>
      </c>
      <c r="H138" s="1">
        <v>24.71</v>
      </c>
    </row>
    <row r="139" spans="1:8">
      <c r="A139" s="1">
        <v>22</v>
      </c>
      <c r="B139" s="1" t="s">
        <v>351</v>
      </c>
      <c r="C139" s="1">
        <v>161.05000000000001</v>
      </c>
      <c r="D139" s="1">
        <v>76.56</v>
      </c>
      <c r="E139" s="1">
        <v>0.21348700000000001</v>
      </c>
      <c r="F139" s="1">
        <f>115200*(10^-6)</f>
        <v>0.1152</v>
      </c>
      <c r="G139" s="1">
        <v>14</v>
      </c>
      <c r="H139" s="1">
        <v>33.58</v>
      </c>
    </row>
    <row r="140" spans="1:8">
      <c r="A140" s="1">
        <v>23</v>
      </c>
      <c r="B140" s="1" t="s">
        <v>352</v>
      </c>
      <c r="C140" s="1">
        <v>117.99</v>
      </c>
      <c r="D140" s="1" t="e">
        <f>-inf</f>
        <v>#NAME?</v>
      </c>
      <c r="E140" s="1">
        <v>0.15954199999999999</v>
      </c>
      <c r="F140" s="1">
        <f>0*(10^-6)</f>
        <v>0</v>
      </c>
      <c r="G140" s="1">
        <v>0</v>
      </c>
      <c r="H140" s="1">
        <v>24.2</v>
      </c>
    </row>
    <row r="141" spans="1:8">
      <c r="A141" s="1">
        <v>24</v>
      </c>
      <c r="B141" s="1" t="s">
        <v>353</v>
      </c>
      <c r="C141" s="1">
        <v>113.48</v>
      </c>
      <c r="D141" s="1">
        <v>74.23</v>
      </c>
      <c r="E141" s="1">
        <v>0.367398</v>
      </c>
      <c r="F141" s="1">
        <f>38400*(10^-6)</f>
        <v>3.8399999999999997E-2</v>
      </c>
      <c r="G141" s="1">
        <v>0</v>
      </c>
      <c r="H141" s="1">
        <v>21.7</v>
      </c>
    </row>
    <row r="142" spans="1:8">
      <c r="A142" s="1">
        <v>25</v>
      </c>
      <c r="B142" s="1" t="s">
        <v>354</v>
      </c>
      <c r="C142" s="1">
        <v>109.32</v>
      </c>
      <c r="D142" s="1">
        <v>78.099999999999994</v>
      </c>
      <c r="E142" s="1">
        <v>0.280553</v>
      </c>
      <c r="F142" s="1">
        <f>4185600*(10^-6)</f>
        <v>4.1856</v>
      </c>
      <c r="G142" s="1">
        <v>0</v>
      </c>
      <c r="H142" s="1">
        <v>21.5</v>
      </c>
    </row>
    <row r="143" spans="1:8">
      <c r="A143" s="1">
        <v>26</v>
      </c>
      <c r="B143" s="1" t="s">
        <v>355</v>
      </c>
      <c r="C143" s="1">
        <v>113.1</v>
      </c>
      <c r="D143" s="1" t="e">
        <f>-inf</f>
        <v>#NAME?</v>
      </c>
      <c r="E143" s="1">
        <v>0.25998599999999999</v>
      </c>
      <c r="F143" s="1">
        <f>0*(10^-6)</f>
        <v>0</v>
      </c>
      <c r="G143" s="1">
        <v>10</v>
      </c>
      <c r="H143" s="1">
        <v>22.04</v>
      </c>
    </row>
    <row r="144" spans="1:8">
      <c r="A144" s="1">
        <v>27</v>
      </c>
      <c r="B144" s="1" t="s">
        <v>356</v>
      </c>
      <c r="C144" s="1">
        <v>76.3</v>
      </c>
      <c r="D144" s="1">
        <v>71.64</v>
      </c>
      <c r="E144" s="1">
        <v>0.27427299999999999</v>
      </c>
      <c r="F144" s="1">
        <f>38400*(10^-6)</f>
        <v>3.8399999999999997E-2</v>
      </c>
      <c r="G144" s="1">
        <v>6</v>
      </c>
      <c r="H144" s="1">
        <v>14.64</v>
      </c>
    </row>
    <row r="145" spans="1:8">
      <c r="A145" s="1">
        <v>28</v>
      </c>
      <c r="B145" s="1" t="s">
        <v>357</v>
      </c>
      <c r="C145" s="1">
        <v>83.4</v>
      </c>
      <c r="D145" s="1">
        <v>74.599999999999994</v>
      </c>
      <c r="E145" s="1">
        <v>0.30077199999999998</v>
      </c>
      <c r="F145" s="1">
        <f>729600*(10^-6)</f>
        <v>0.72959999999999992</v>
      </c>
      <c r="G145" s="1">
        <v>0</v>
      </c>
      <c r="H145" s="1">
        <v>15.91</v>
      </c>
    </row>
    <row r="146" spans="1:8">
      <c r="A146" s="1">
        <v>29</v>
      </c>
      <c r="B146" s="1" t="s">
        <v>358</v>
      </c>
      <c r="C146" s="1">
        <v>87.53</v>
      </c>
      <c r="D146" s="1" t="e">
        <f>-inf</f>
        <v>#NAME?</v>
      </c>
      <c r="E146" s="1">
        <v>0.19334399999999999</v>
      </c>
      <c r="F146" s="1">
        <f>0*(10^-6)</f>
        <v>0</v>
      </c>
      <c r="G146" s="1">
        <v>4</v>
      </c>
      <c r="H146" s="1">
        <v>17.09</v>
      </c>
    </row>
    <row r="147" spans="1:8">
      <c r="A147" s="1">
        <v>30</v>
      </c>
      <c r="B147" s="1" t="s">
        <v>359</v>
      </c>
      <c r="C147" s="1">
        <v>92.17</v>
      </c>
      <c r="D147" s="1">
        <v>75.16</v>
      </c>
      <c r="E147" s="1">
        <v>0.37147799999999997</v>
      </c>
      <c r="F147" s="1">
        <f>115200*(10^-6)</f>
        <v>0.1152</v>
      </c>
      <c r="G147" s="1">
        <v>4</v>
      </c>
      <c r="H147" s="1">
        <v>18.03</v>
      </c>
    </row>
    <row r="148" spans="1:8">
      <c r="A148" s="1">
        <v>31</v>
      </c>
      <c r="B148" s="1" t="s">
        <v>360</v>
      </c>
      <c r="C148" s="1">
        <v>125.81</v>
      </c>
      <c r="D148" s="1">
        <v>74.44</v>
      </c>
      <c r="E148" s="1">
        <v>0.32639000000000001</v>
      </c>
      <c r="F148" s="1">
        <f>38400*(10^-6)</f>
        <v>3.8399999999999997E-2</v>
      </c>
      <c r="G148" s="1">
        <v>14</v>
      </c>
      <c r="H148" s="1">
        <v>25.37</v>
      </c>
    </row>
    <row r="149" spans="1:8">
      <c r="A149" s="1">
        <v>32</v>
      </c>
      <c r="B149" s="1" t="s">
        <v>361</v>
      </c>
      <c r="C149" s="1">
        <v>130.5</v>
      </c>
      <c r="D149" s="1" t="e">
        <f>-inf</f>
        <v>#NAME?</v>
      </c>
      <c r="E149" s="1">
        <v>0.179872</v>
      </c>
      <c r="F149" s="1">
        <f>0*(10^-6)</f>
        <v>0</v>
      </c>
      <c r="G149" s="1">
        <v>12</v>
      </c>
      <c r="H149" s="1">
        <v>25.73</v>
      </c>
    </row>
    <row r="150" spans="1:8">
      <c r="A150" s="1">
        <v>33</v>
      </c>
      <c r="B150" s="1" t="s">
        <v>362</v>
      </c>
      <c r="C150" s="1">
        <v>85.31</v>
      </c>
      <c r="D150" s="1" t="e">
        <f>-inf</f>
        <v>#NAME?</v>
      </c>
      <c r="E150" s="1">
        <v>0.173064</v>
      </c>
      <c r="F150" s="1">
        <f>0*(10^-6)</f>
        <v>0</v>
      </c>
      <c r="G150" s="1">
        <v>10</v>
      </c>
      <c r="H150" s="1">
        <v>18.8</v>
      </c>
    </row>
    <row r="151" spans="1:8">
      <c r="A151" s="1">
        <v>34</v>
      </c>
      <c r="B151" s="1" t="s">
        <v>363</v>
      </c>
      <c r="C151" s="1">
        <v>108.14</v>
      </c>
      <c r="D151" s="1" t="e">
        <f>-inf</f>
        <v>#NAME?</v>
      </c>
      <c r="E151" s="1">
        <v>0.23063800000000001</v>
      </c>
      <c r="F151" s="1">
        <f>0*(10^-6)</f>
        <v>0</v>
      </c>
      <c r="G151" s="1">
        <v>4</v>
      </c>
      <c r="H151" s="1">
        <v>21.24</v>
      </c>
    </row>
    <row r="152" spans="1:8">
      <c r="A152" s="1">
        <v>35</v>
      </c>
      <c r="B152" s="1" t="s">
        <v>364</v>
      </c>
      <c r="C152" s="1">
        <v>172.4</v>
      </c>
      <c r="D152" s="1">
        <v>77.08</v>
      </c>
      <c r="E152" s="1">
        <v>0.22688800000000001</v>
      </c>
      <c r="F152" s="1">
        <f>345600*(10^-6)</f>
        <v>0.34559999999999996</v>
      </c>
      <c r="G152" s="1">
        <v>0</v>
      </c>
      <c r="H152" s="1">
        <v>34.380000000000003</v>
      </c>
    </row>
    <row r="153" spans="1:8">
      <c r="A153" s="1">
        <v>36</v>
      </c>
      <c r="B153" s="1" t="s">
        <v>365</v>
      </c>
      <c r="C153" s="1">
        <v>73.75</v>
      </c>
      <c r="D153" s="1" t="e">
        <f>-inf</f>
        <v>#NAME?</v>
      </c>
      <c r="E153" s="1">
        <v>0.32064700000000002</v>
      </c>
      <c r="F153" s="1">
        <f>0*(10^-6)</f>
        <v>0</v>
      </c>
      <c r="G153" s="1">
        <v>8</v>
      </c>
      <c r="H153" s="1">
        <v>14.92</v>
      </c>
    </row>
    <row r="154" spans="1:8">
      <c r="A154" s="1">
        <v>37</v>
      </c>
      <c r="B154" s="1" t="s">
        <v>366</v>
      </c>
      <c r="C154" s="1">
        <v>152.76</v>
      </c>
      <c r="D154" s="1">
        <v>77.34</v>
      </c>
      <c r="E154" s="1">
        <v>0.24209900000000001</v>
      </c>
      <c r="F154" s="1">
        <f>537600*(10^-6)</f>
        <v>0.53759999999999997</v>
      </c>
      <c r="G154" s="1">
        <v>16</v>
      </c>
      <c r="H154" s="1">
        <v>32.020000000000003</v>
      </c>
    </row>
    <row r="155" spans="1:8">
      <c r="A155" s="1">
        <v>38</v>
      </c>
      <c r="B155" s="1" t="s">
        <v>367</v>
      </c>
      <c r="C155" s="1">
        <v>160.35</v>
      </c>
      <c r="D155" s="1" t="e">
        <f>-inf</f>
        <v>#NAME?</v>
      </c>
      <c r="E155" s="1">
        <v>0.33989399999999997</v>
      </c>
      <c r="F155" s="1">
        <f>0*(10^-6)</f>
        <v>0</v>
      </c>
      <c r="G155" s="1">
        <v>2</v>
      </c>
      <c r="H155" s="1">
        <v>31.49</v>
      </c>
    </row>
    <row r="156" spans="1:8">
      <c r="A156" s="1">
        <v>39</v>
      </c>
      <c r="B156" s="1" t="s">
        <v>368</v>
      </c>
      <c r="C156" s="1">
        <v>91.97</v>
      </c>
      <c r="D156" s="1">
        <v>73.56</v>
      </c>
      <c r="E156" s="1">
        <v>0.373583</v>
      </c>
      <c r="F156" s="1">
        <f>38400*(10^-6)</f>
        <v>3.8399999999999997E-2</v>
      </c>
      <c r="G156" s="1">
        <v>6</v>
      </c>
      <c r="H156" s="1">
        <v>18.059999999999999</v>
      </c>
    </row>
    <row r="157" spans="1:8">
      <c r="A157" s="1">
        <v>40</v>
      </c>
      <c r="B157" s="1" t="s">
        <v>369</v>
      </c>
      <c r="C157" s="1">
        <v>135.16</v>
      </c>
      <c r="D157" s="1" t="e">
        <f>-inf</f>
        <v>#NAME?</v>
      </c>
      <c r="E157" s="1">
        <v>0.229267</v>
      </c>
      <c r="F157" s="1">
        <f>0*(10^-6)</f>
        <v>0</v>
      </c>
      <c r="G157" s="1">
        <v>8</v>
      </c>
      <c r="H157" s="1">
        <v>28.9</v>
      </c>
    </row>
    <row r="158" spans="1:8">
      <c r="A158" s="1">
        <v>41</v>
      </c>
      <c r="B158" s="1" t="s">
        <v>370</v>
      </c>
      <c r="C158" s="1">
        <v>101.47</v>
      </c>
      <c r="D158" s="1" t="e">
        <f>-inf</f>
        <v>#NAME?</v>
      </c>
      <c r="E158" s="1">
        <v>0.26458999999999999</v>
      </c>
      <c r="F158" s="1">
        <f>0*(10^-6)</f>
        <v>0</v>
      </c>
      <c r="G158" s="1">
        <v>16</v>
      </c>
      <c r="H158" s="1">
        <v>20.059999999999999</v>
      </c>
    </row>
    <row r="159" spans="1:8">
      <c r="A159" s="1">
        <v>42</v>
      </c>
      <c r="B159" s="1" t="s">
        <v>371</v>
      </c>
      <c r="C159" s="1">
        <v>204.05</v>
      </c>
      <c r="D159" s="1">
        <v>81.59</v>
      </c>
      <c r="E159" s="1">
        <v>0.29427399999999998</v>
      </c>
      <c r="F159" s="1">
        <f>25728000*(10^-6)</f>
        <v>25.727999999999998</v>
      </c>
      <c r="G159" s="1">
        <v>8</v>
      </c>
      <c r="H159" s="1">
        <v>45.47</v>
      </c>
    </row>
    <row r="160" spans="1:8">
      <c r="A160" s="1">
        <v>43</v>
      </c>
      <c r="B160" s="1" t="s">
        <v>372</v>
      </c>
      <c r="C160" s="1">
        <v>83.77</v>
      </c>
      <c r="D160" s="1">
        <v>71.36</v>
      </c>
      <c r="E160" s="1">
        <v>0.29249900000000001</v>
      </c>
      <c r="F160" s="1">
        <f>38400*(10^-6)</f>
        <v>3.8399999999999997E-2</v>
      </c>
      <c r="G160" s="1">
        <v>10</v>
      </c>
      <c r="H160" s="1">
        <v>16</v>
      </c>
    </row>
    <row r="161" spans="1:8">
      <c r="A161" s="1">
        <v>44</v>
      </c>
      <c r="B161" s="1" t="s">
        <v>373</v>
      </c>
      <c r="C161" s="1">
        <v>102.06</v>
      </c>
      <c r="D161" s="1">
        <v>75.11</v>
      </c>
      <c r="E161" s="1">
        <v>0.18615000000000001</v>
      </c>
      <c r="F161" s="1">
        <f>537600*(10^-6)</f>
        <v>0.53759999999999997</v>
      </c>
      <c r="G161" s="1">
        <v>12</v>
      </c>
      <c r="H161" s="1">
        <v>22.6</v>
      </c>
    </row>
    <row r="162" spans="1:8">
      <c r="A162" s="1">
        <v>45</v>
      </c>
      <c r="B162" s="1" t="s">
        <v>374</v>
      </c>
      <c r="C162" s="1">
        <v>154.47999999999999</v>
      </c>
      <c r="D162" s="1">
        <v>76.69</v>
      </c>
      <c r="E162" s="1">
        <v>0.22040899999999999</v>
      </c>
      <c r="F162" s="1">
        <f>192000*(10^-6)</f>
        <v>0.192</v>
      </c>
      <c r="G162" s="1">
        <v>6</v>
      </c>
      <c r="H162" s="1">
        <v>31.02</v>
      </c>
    </row>
    <row r="163" spans="1:8">
      <c r="A163" s="1">
        <v>46</v>
      </c>
      <c r="B163" s="1" t="s">
        <v>375</v>
      </c>
      <c r="C163" s="1">
        <v>137.97</v>
      </c>
      <c r="D163" s="1" t="e">
        <f>-inf</f>
        <v>#NAME?</v>
      </c>
      <c r="E163" s="1">
        <v>0.31927100000000003</v>
      </c>
      <c r="F163" s="1">
        <f>0*(10^-6)</f>
        <v>0</v>
      </c>
      <c r="G163" s="1">
        <v>12</v>
      </c>
      <c r="H163" s="1">
        <v>26.73</v>
      </c>
    </row>
    <row r="164" spans="1:8">
      <c r="A164" s="1">
        <v>47</v>
      </c>
      <c r="B164" s="1" t="s">
        <v>376</v>
      </c>
      <c r="C164" s="1">
        <v>126.34</v>
      </c>
      <c r="D164" s="1" t="e">
        <f>-inf</f>
        <v>#NAME?</v>
      </c>
      <c r="E164" s="1">
        <v>0.37159700000000001</v>
      </c>
      <c r="F164" s="1">
        <f>0*(10^-6)</f>
        <v>0</v>
      </c>
      <c r="G164" s="1">
        <v>0</v>
      </c>
      <c r="H164" s="1">
        <v>24.52</v>
      </c>
    </row>
    <row r="165" spans="1:8">
      <c r="A165" s="1">
        <v>48</v>
      </c>
      <c r="B165" s="1" t="s">
        <v>377</v>
      </c>
      <c r="C165" s="1">
        <v>143.91</v>
      </c>
      <c r="D165" s="1">
        <v>76.849999999999994</v>
      </c>
      <c r="E165" s="1">
        <v>0.27281499999999997</v>
      </c>
      <c r="F165" s="1">
        <f>422400*(10^-6)</f>
        <v>0.4224</v>
      </c>
      <c r="G165" s="1">
        <v>8</v>
      </c>
      <c r="H165" s="1">
        <v>27.46</v>
      </c>
    </row>
    <row r="166" spans="1:8">
      <c r="A166" s="1">
        <v>49</v>
      </c>
      <c r="B166" s="1" t="s">
        <v>378</v>
      </c>
      <c r="C166" s="1">
        <v>92.92</v>
      </c>
      <c r="D166" s="1" t="e">
        <f>-inf</f>
        <v>#NAME?</v>
      </c>
      <c r="E166" s="1">
        <v>0.21215500000000001</v>
      </c>
      <c r="F166" s="1">
        <f>0*(10^-6)</f>
        <v>0</v>
      </c>
      <c r="G166" s="1">
        <v>4</v>
      </c>
      <c r="H166" s="1">
        <v>17.670000000000002</v>
      </c>
    </row>
    <row r="167" spans="1:8">
      <c r="A167" s="1">
        <v>50</v>
      </c>
      <c r="B167" s="1" t="s">
        <v>379</v>
      </c>
      <c r="C167" s="1">
        <v>165.89</v>
      </c>
      <c r="D167" s="1">
        <v>78.819999999999993</v>
      </c>
      <c r="E167" s="1">
        <v>0.29983399999999999</v>
      </c>
      <c r="F167" s="1">
        <f>2726400*(10^-6)</f>
        <v>2.7263999999999999</v>
      </c>
      <c r="G167" s="1">
        <v>14</v>
      </c>
      <c r="H167" s="1">
        <v>32.44</v>
      </c>
    </row>
    <row r="168" spans="1:8">
      <c r="B168" s="1" t="s">
        <v>19</v>
      </c>
      <c r="C168" s="1">
        <f>AVERAGE(C118:C167)</f>
        <v>121.57640000000005</v>
      </c>
      <c r="D168" s="1" t="e">
        <f t="shared" ref="D168:F168" si="10">AVERAGE(D118:D167)</f>
        <v>#NAME?</v>
      </c>
      <c r="E168" s="1">
        <f t="shared" si="10"/>
        <v>0.28197233999999993</v>
      </c>
      <c r="F168" s="1">
        <f t="shared" si="10"/>
        <v>1.1619840000000001</v>
      </c>
      <c r="H168" s="1">
        <f>AVERAGE(H118:H167)</f>
        <v>24.394200000000001</v>
      </c>
    </row>
    <row r="169" spans="1:8">
      <c r="B169" s="1" t="s">
        <v>20</v>
      </c>
      <c r="C169" s="1">
        <f>MIN(C117:C167)</f>
        <v>68.8</v>
      </c>
      <c r="D169" s="1" t="e">
        <f t="shared" ref="D169:F169" si="11">MIN(D117:D167)</f>
        <v>#NAME?</v>
      </c>
      <c r="E169" s="1">
        <f t="shared" si="11"/>
        <v>0.15954199999999999</v>
      </c>
      <c r="F169" s="1">
        <f t="shared" si="11"/>
        <v>0</v>
      </c>
      <c r="H169" s="1">
        <f>MIN(H117:H167)</f>
        <v>13.08</v>
      </c>
    </row>
    <row r="170" spans="1:8">
      <c r="B170" s="1" t="s">
        <v>3</v>
      </c>
      <c r="C170" s="1">
        <f>STDEV(C118:C167)</f>
        <v>32.498051983062922</v>
      </c>
      <c r="D170" s="1" t="e">
        <f t="shared" ref="D170:E170" si="12">STDEV(D118:D167)</f>
        <v>#NAME?</v>
      </c>
      <c r="E170" s="1">
        <f t="shared" si="12"/>
        <v>6.0558435286855471E-2</v>
      </c>
      <c r="F170" s="1">
        <f>STDEV(F118:F167)</f>
        <v>4.3919699526573375</v>
      </c>
      <c r="H170" s="1">
        <f>STDEV(H118:H167)</f>
        <v>7.0448406624411106</v>
      </c>
    </row>
    <row r="172" spans="1:8">
      <c r="H172" s="2" t="s">
        <v>1435</v>
      </c>
    </row>
    <row r="173" spans="1:8" ht="18">
      <c r="A173" s="2" t="s">
        <v>7</v>
      </c>
      <c r="B173" s="3" t="s">
        <v>9</v>
      </c>
      <c r="C173" s="2" t="s">
        <v>4</v>
      </c>
      <c r="D173" s="2" t="s">
        <v>322</v>
      </c>
      <c r="E173" s="2" t="s">
        <v>321</v>
      </c>
      <c r="F173" s="2" t="s">
        <v>324</v>
      </c>
      <c r="G173" s="2" t="s">
        <v>323</v>
      </c>
      <c r="H173" s="2" t="s">
        <v>1436</v>
      </c>
    </row>
    <row r="174" spans="1:8">
      <c r="A174" s="1">
        <v>1</v>
      </c>
      <c r="B174" s="1" t="s">
        <v>380</v>
      </c>
      <c r="C174" s="1">
        <v>108.97</v>
      </c>
      <c r="D174" s="1" t="e">
        <f>-inf</f>
        <v>#NAME?</v>
      </c>
      <c r="E174" s="1">
        <v>0.16212599999999999</v>
      </c>
      <c r="F174" s="1">
        <f>0*(10^-6)</f>
        <v>0</v>
      </c>
      <c r="G174" s="1">
        <v>14</v>
      </c>
      <c r="H174" s="1">
        <v>21.39</v>
      </c>
    </row>
    <row r="175" spans="1:8">
      <c r="A175" s="1">
        <v>2</v>
      </c>
      <c r="B175" s="1" t="s">
        <v>381</v>
      </c>
      <c r="C175" s="1">
        <v>52.16</v>
      </c>
      <c r="D175" s="1" t="e">
        <f>-inf</f>
        <v>#NAME?</v>
      </c>
      <c r="E175" s="1">
        <v>0.12962899999999999</v>
      </c>
      <c r="F175" s="1">
        <f>0*(10^-6)</f>
        <v>0</v>
      </c>
      <c r="G175" s="1">
        <v>0</v>
      </c>
      <c r="H175" s="1">
        <v>9.93</v>
      </c>
    </row>
    <row r="176" spans="1:8">
      <c r="A176" s="1">
        <v>3</v>
      </c>
      <c r="B176" s="1" t="s">
        <v>382</v>
      </c>
      <c r="C176" s="1">
        <v>86.66</v>
      </c>
      <c r="D176" s="1" t="e">
        <f>-inf</f>
        <v>#NAME?</v>
      </c>
      <c r="E176" s="1">
        <v>0.14747099999999999</v>
      </c>
      <c r="F176" s="1">
        <f>0*(10^-6)</f>
        <v>0</v>
      </c>
      <c r="G176" s="1">
        <v>6</v>
      </c>
      <c r="H176" s="1">
        <v>17.899999999999999</v>
      </c>
    </row>
    <row r="177" spans="1:8">
      <c r="A177" s="1">
        <v>4</v>
      </c>
      <c r="B177" s="1" t="s">
        <v>383</v>
      </c>
      <c r="C177" s="1">
        <v>83.76</v>
      </c>
      <c r="D177" s="1" t="e">
        <f>-inf</f>
        <v>#NAME?</v>
      </c>
      <c r="E177" s="1">
        <v>0.20793300000000001</v>
      </c>
      <c r="F177" s="1">
        <f>0*(10^-6)</f>
        <v>0</v>
      </c>
      <c r="G177" s="1">
        <v>26</v>
      </c>
      <c r="H177" s="1">
        <v>16.62</v>
      </c>
    </row>
    <row r="178" spans="1:8">
      <c r="A178" s="1">
        <v>5</v>
      </c>
      <c r="B178" s="1" t="s">
        <v>384</v>
      </c>
      <c r="C178" s="1">
        <v>72.319999999999993</v>
      </c>
      <c r="D178" s="1">
        <v>140.16</v>
      </c>
      <c r="E178" s="1">
        <v>0.16689899999999999</v>
      </c>
      <c r="F178" s="1">
        <f>38400*(10^-6)</f>
        <v>3.8399999999999997E-2</v>
      </c>
      <c r="G178" s="1">
        <v>26</v>
      </c>
      <c r="H178" s="1">
        <v>14.19</v>
      </c>
    </row>
    <row r="179" spans="1:8">
      <c r="A179" s="1">
        <v>6</v>
      </c>
      <c r="B179" s="1" t="s">
        <v>385</v>
      </c>
      <c r="C179" s="1">
        <v>99.69</v>
      </c>
      <c r="D179" s="1">
        <v>145.69999999999999</v>
      </c>
      <c r="E179" s="1">
        <v>0.23602600000000001</v>
      </c>
      <c r="F179" s="1">
        <f>76800*(10^-6)</f>
        <v>7.6799999999999993E-2</v>
      </c>
      <c r="G179" s="1">
        <v>6</v>
      </c>
      <c r="H179" s="1">
        <v>20.12</v>
      </c>
    </row>
    <row r="180" spans="1:8">
      <c r="A180" s="1">
        <v>7</v>
      </c>
      <c r="B180" s="1" t="s">
        <v>386</v>
      </c>
      <c r="C180" s="1">
        <v>76.53</v>
      </c>
      <c r="D180" s="1" t="e">
        <f t="shared" ref="D180:D197" si="13">-inf</f>
        <v>#NAME?</v>
      </c>
      <c r="E180" s="1">
        <v>0.20072400000000001</v>
      </c>
      <c r="F180" s="1">
        <f t="shared" ref="F180:F197" si="14">0*(10^-6)</f>
        <v>0</v>
      </c>
      <c r="G180" s="1">
        <v>8</v>
      </c>
      <c r="H180" s="1">
        <v>14.61</v>
      </c>
    </row>
    <row r="181" spans="1:8">
      <c r="A181" s="1">
        <v>8</v>
      </c>
      <c r="B181" s="1" t="s">
        <v>387</v>
      </c>
      <c r="C181" s="1">
        <v>62.93</v>
      </c>
      <c r="D181" s="1" t="e">
        <f t="shared" si="13"/>
        <v>#NAME?</v>
      </c>
      <c r="E181" s="1">
        <v>0.30521700000000002</v>
      </c>
      <c r="F181" s="1">
        <f t="shared" si="14"/>
        <v>0</v>
      </c>
      <c r="G181" s="1">
        <v>16</v>
      </c>
      <c r="H181" s="1">
        <v>12.3</v>
      </c>
    </row>
    <row r="182" spans="1:8">
      <c r="A182" s="1">
        <v>9</v>
      </c>
      <c r="B182" s="1" t="s">
        <v>388</v>
      </c>
      <c r="C182" s="1">
        <v>59.96</v>
      </c>
      <c r="D182" s="1" t="e">
        <f t="shared" si="13"/>
        <v>#NAME?</v>
      </c>
      <c r="E182" s="1">
        <v>0.20616599999999999</v>
      </c>
      <c r="F182" s="1">
        <f t="shared" si="14"/>
        <v>0</v>
      </c>
      <c r="G182" s="1">
        <v>2</v>
      </c>
      <c r="H182" s="1">
        <v>11.43</v>
      </c>
    </row>
    <row r="183" spans="1:8">
      <c r="A183" s="1">
        <v>10</v>
      </c>
      <c r="B183" s="1" t="s">
        <v>389</v>
      </c>
      <c r="C183" s="1">
        <v>98.59</v>
      </c>
      <c r="D183" s="1" t="e">
        <f t="shared" si="13"/>
        <v>#NAME?</v>
      </c>
      <c r="E183" s="1">
        <v>0.161102</v>
      </c>
      <c r="F183" s="1">
        <f t="shared" si="14"/>
        <v>0</v>
      </c>
      <c r="G183" s="1">
        <v>2</v>
      </c>
      <c r="H183" s="1">
        <v>19.399999999999999</v>
      </c>
    </row>
    <row r="184" spans="1:8">
      <c r="A184" s="1">
        <v>11</v>
      </c>
      <c r="B184" s="1" t="s">
        <v>390</v>
      </c>
      <c r="C184" s="1">
        <v>76.25</v>
      </c>
      <c r="D184" s="1" t="e">
        <f t="shared" si="13"/>
        <v>#NAME?</v>
      </c>
      <c r="E184" s="1">
        <v>0.20574899999999999</v>
      </c>
      <c r="F184" s="1">
        <f t="shared" si="14"/>
        <v>0</v>
      </c>
      <c r="G184" s="1">
        <v>4</v>
      </c>
      <c r="H184" s="1">
        <v>14.52</v>
      </c>
    </row>
    <row r="185" spans="1:8">
      <c r="A185" s="1">
        <v>12</v>
      </c>
      <c r="B185" s="1" t="s">
        <v>391</v>
      </c>
      <c r="C185" s="1">
        <v>64.62</v>
      </c>
      <c r="D185" s="1" t="e">
        <f t="shared" si="13"/>
        <v>#NAME?</v>
      </c>
      <c r="E185" s="1">
        <v>0.19181200000000001</v>
      </c>
      <c r="F185" s="1">
        <f t="shared" si="14"/>
        <v>0</v>
      </c>
      <c r="G185" s="1">
        <v>0</v>
      </c>
      <c r="H185" s="1">
        <v>13.34</v>
      </c>
    </row>
    <row r="186" spans="1:8">
      <c r="A186" s="1">
        <v>13</v>
      </c>
      <c r="B186" s="1" t="s">
        <v>392</v>
      </c>
      <c r="C186" s="1">
        <v>64.47</v>
      </c>
      <c r="D186" s="1" t="e">
        <f t="shared" si="13"/>
        <v>#NAME?</v>
      </c>
      <c r="E186" s="1">
        <v>0.14977799999999999</v>
      </c>
      <c r="F186" s="1">
        <f t="shared" si="14"/>
        <v>0</v>
      </c>
      <c r="G186" s="1">
        <v>4</v>
      </c>
      <c r="H186" s="1">
        <v>12.55</v>
      </c>
    </row>
    <row r="187" spans="1:8">
      <c r="A187" s="1">
        <v>14</v>
      </c>
      <c r="B187" s="1" t="s">
        <v>393</v>
      </c>
      <c r="C187" s="1">
        <v>70.680000000000007</v>
      </c>
      <c r="D187" s="1" t="e">
        <f t="shared" si="13"/>
        <v>#NAME?</v>
      </c>
      <c r="E187" s="1">
        <v>0.187525</v>
      </c>
      <c r="F187" s="1">
        <f t="shared" si="14"/>
        <v>0</v>
      </c>
      <c r="G187" s="1">
        <v>22</v>
      </c>
      <c r="H187" s="1">
        <v>13.85</v>
      </c>
    </row>
    <row r="188" spans="1:8">
      <c r="A188" s="1">
        <v>15</v>
      </c>
      <c r="B188" s="1" t="s">
        <v>394</v>
      </c>
      <c r="C188" s="1">
        <v>68.069999999999993</v>
      </c>
      <c r="D188" s="1" t="e">
        <f t="shared" si="13"/>
        <v>#NAME?</v>
      </c>
      <c r="E188" s="1">
        <v>0.14291899999999999</v>
      </c>
      <c r="F188" s="1">
        <f t="shared" si="14"/>
        <v>0</v>
      </c>
      <c r="G188" s="1">
        <v>8</v>
      </c>
      <c r="H188" s="1">
        <v>12.92</v>
      </c>
    </row>
    <row r="189" spans="1:8">
      <c r="A189" s="1">
        <v>16</v>
      </c>
      <c r="B189" s="1" t="s">
        <v>395</v>
      </c>
      <c r="C189" s="1">
        <v>60.25</v>
      </c>
      <c r="D189" s="1" t="e">
        <f t="shared" si="13"/>
        <v>#NAME?</v>
      </c>
      <c r="E189" s="1">
        <v>0.27294800000000002</v>
      </c>
      <c r="F189" s="1">
        <f t="shared" si="14"/>
        <v>0</v>
      </c>
      <c r="G189" s="1">
        <v>16</v>
      </c>
      <c r="H189" s="1">
        <v>11.55</v>
      </c>
    </row>
    <row r="190" spans="1:8">
      <c r="A190" s="1">
        <v>17</v>
      </c>
      <c r="B190" s="1" t="s">
        <v>396</v>
      </c>
      <c r="C190" s="1">
        <v>71.739999999999995</v>
      </c>
      <c r="D190" s="1" t="e">
        <f t="shared" si="13"/>
        <v>#NAME?</v>
      </c>
      <c r="E190" s="1">
        <v>0.20317299999999999</v>
      </c>
      <c r="F190" s="1">
        <f t="shared" si="14"/>
        <v>0</v>
      </c>
      <c r="G190" s="1">
        <v>0</v>
      </c>
      <c r="H190" s="1">
        <v>14.12</v>
      </c>
    </row>
    <row r="191" spans="1:8">
      <c r="A191" s="1">
        <v>18</v>
      </c>
      <c r="B191" s="1" t="s">
        <v>397</v>
      </c>
      <c r="C191" s="1">
        <v>56.78</v>
      </c>
      <c r="D191" s="1" t="e">
        <f t="shared" si="13"/>
        <v>#NAME?</v>
      </c>
      <c r="E191" s="1">
        <v>0.25318800000000002</v>
      </c>
      <c r="F191" s="1">
        <f t="shared" si="14"/>
        <v>0</v>
      </c>
      <c r="G191" s="1">
        <v>2</v>
      </c>
      <c r="H191" s="1">
        <v>11.56</v>
      </c>
    </row>
    <row r="192" spans="1:8">
      <c r="A192" s="1">
        <v>19</v>
      </c>
      <c r="B192" s="1" t="s">
        <v>398</v>
      </c>
      <c r="C192" s="1">
        <v>66.989999999999995</v>
      </c>
      <c r="D192" s="1" t="e">
        <f t="shared" si="13"/>
        <v>#NAME?</v>
      </c>
      <c r="E192" s="1">
        <v>0.192</v>
      </c>
      <c r="F192" s="1">
        <f t="shared" si="14"/>
        <v>0</v>
      </c>
      <c r="G192" s="1">
        <v>0</v>
      </c>
      <c r="H192" s="1">
        <v>12.74</v>
      </c>
    </row>
    <row r="193" spans="1:8">
      <c r="A193" s="1">
        <v>20</v>
      </c>
      <c r="B193" s="1" t="s">
        <v>399</v>
      </c>
      <c r="C193" s="1">
        <v>70.03</v>
      </c>
      <c r="D193" s="1" t="e">
        <f t="shared" si="13"/>
        <v>#NAME?</v>
      </c>
      <c r="E193" s="1">
        <v>0.25862800000000002</v>
      </c>
      <c r="F193" s="1">
        <f t="shared" si="14"/>
        <v>0</v>
      </c>
      <c r="G193" s="1">
        <v>10</v>
      </c>
      <c r="H193" s="1">
        <v>13.63</v>
      </c>
    </row>
    <row r="194" spans="1:8">
      <c r="A194" s="1">
        <v>21</v>
      </c>
      <c r="B194" s="1" t="s">
        <v>400</v>
      </c>
      <c r="C194" s="1">
        <v>81.72</v>
      </c>
      <c r="D194" s="1" t="e">
        <f t="shared" si="13"/>
        <v>#NAME?</v>
      </c>
      <c r="E194" s="1">
        <v>0.25221399999999999</v>
      </c>
      <c r="F194" s="1">
        <f t="shared" si="14"/>
        <v>0</v>
      </c>
      <c r="G194" s="1">
        <v>8</v>
      </c>
      <c r="H194" s="1">
        <v>16.18</v>
      </c>
    </row>
    <row r="195" spans="1:8">
      <c r="A195" s="1">
        <v>22</v>
      </c>
      <c r="B195" s="1" t="s">
        <v>401</v>
      </c>
      <c r="C195" s="1">
        <v>74.81</v>
      </c>
      <c r="D195" s="1" t="e">
        <f t="shared" si="13"/>
        <v>#NAME?</v>
      </c>
      <c r="E195" s="1">
        <v>0.22081799999999999</v>
      </c>
      <c r="F195" s="1">
        <f t="shared" si="14"/>
        <v>0</v>
      </c>
      <c r="G195" s="1">
        <v>8</v>
      </c>
      <c r="H195" s="1">
        <v>14.63</v>
      </c>
    </row>
    <row r="196" spans="1:8">
      <c r="A196" s="1">
        <v>23</v>
      </c>
      <c r="B196" s="1" t="s">
        <v>402</v>
      </c>
      <c r="C196" s="1">
        <v>58.19</v>
      </c>
      <c r="D196" s="1" t="e">
        <f t="shared" si="13"/>
        <v>#NAME?</v>
      </c>
      <c r="E196" s="1">
        <v>0.242978</v>
      </c>
      <c r="F196" s="1">
        <f t="shared" si="14"/>
        <v>0</v>
      </c>
      <c r="G196" s="1">
        <v>12</v>
      </c>
      <c r="H196" s="1">
        <v>11.17</v>
      </c>
    </row>
    <row r="197" spans="1:8">
      <c r="A197" s="1">
        <v>24</v>
      </c>
      <c r="B197" s="1" t="s">
        <v>403</v>
      </c>
      <c r="C197" s="1">
        <v>75.069999999999993</v>
      </c>
      <c r="D197" s="1" t="e">
        <f t="shared" si="13"/>
        <v>#NAME?</v>
      </c>
      <c r="E197" s="1">
        <v>0.31066500000000002</v>
      </c>
      <c r="F197" s="1">
        <f t="shared" si="14"/>
        <v>0</v>
      </c>
      <c r="G197" s="1">
        <v>28</v>
      </c>
      <c r="H197" s="1">
        <v>14.37</v>
      </c>
    </row>
    <row r="198" spans="1:8">
      <c r="A198" s="1">
        <v>25</v>
      </c>
      <c r="B198" s="1" t="s">
        <v>404</v>
      </c>
      <c r="C198" s="1">
        <v>82.8</v>
      </c>
      <c r="D198" s="1">
        <v>135.38999999999999</v>
      </c>
      <c r="E198" s="1">
        <v>0.171066</v>
      </c>
      <c r="F198" s="1">
        <f>38400*(10^-6)</f>
        <v>3.8399999999999997E-2</v>
      </c>
      <c r="G198" s="1">
        <v>16</v>
      </c>
      <c r="H198" s="1">
        <v>16.64</v>
      </c>
    </row>
    <row r="199" spans="1:8">
      <c r="A199" s="1">
        <v>26</v>
      </c>
      <c r="B199" s="1" t="s">
        <v>405</v>
      </c>
      <c r="C199" s="1">
        <v>63.09</v>
      </c>
      <c r="D199" s="1" t="e">
        <f t="shared" ref="D199:D223" si="15">-inf</f>
        <v>#NAME?</v>
      </c>
      <c r="E199" s="1">
        <v>0.17278199999999999</v>
      </c>
      <c r="F199" s="1">
        <f t="shared" ref="F199:F223" si="16">0*(10^-6)</f>
        <v>0</v>
      </c>
      <c r="G199" s="1">
        <v>6</v>
      </c>
      <c r="H199" s="1">
        <v>12.5</v>
      </c>
    </row>
    <row r="200" spans="1:8">
      <c r="A200" s="1">
        <v>27</v>
      </c>
      <c r="B200" s="1" t="s">
        <v>406</v>
      </c>
      <c r="C200" s="1">
        <v>72.25</v>
      </c>
      <c r="D200" s="1" t="e">
        <f t="shared" si="15"/>
        <v>#NAME?</v>
      </c>
      <c r="E200" s="1">
        <v>0.127251</v>
      </c>
      <c r="F200" s="1">
        <f t="shared" si="16"/>
        <v>0</v>
      </c>
      <c r="G200" s="1">
        <v>10</v>
      </c>
      <c r="H200" s="1">
        <v>15.05</v>
      </c>
    </row>
    <row r="201" spans="1:8">
      <c r="A201" s="1">
        <v>28</v>
      </c>
      <c r="B201" s="1" t="s">
        <v>407</v>
      </c>
      <c r="C201" s="1">
        <v>95.21</v>
      </c>
      <c r="D201" s="1" t="e">
        <f t="shared" si="15"/>
        <v>#NAME?</v>
      </c>
      <c r="E201" s="1">
        <v>0.218776</v>
      </c>
      <c r="F201" s="1">
        <f t="shared" si="16"/>
        <v>0</v>
      </c>
      <c r="G201" s="1">
        <v>10</v>
      </c>
      <c r="H201" s="1">
        <v>18.43</v>
      </c>
    </row>
    <row r="202" spans="1:8">
      <c r="A202" s="1">
        <v>29</v>
      </c>
      <c r="B202" s="1" t="s">
        <v>408</v>
      </c>
      <c r="C202" s="1">
        <v>100.28</v>
      </c>
      <c r="D202" s="1" t="e">
        <f t="shared" si="15"/>
        <v>#NAME?</v>
      </c>
      <c r="E202" s="1">
        <v>0.25061</v>
      </c>
      <c r="F202" s="1">
        <f t="shared" si="16"/>
        <v>0</v>
      </c>
      <c r="G202" s="1">
        <v>10</v>
      </c>
      <c r="H202" s="1">
        <v>20.68</v>
      </c>
    </row>
    <row r="203" spans="1:8">
      <c r="A203" s="1">
        <v>30</v>
      </c>
      <c r="B203" s="1" t="s">
        <v>409</v>
      </c>
      <c r="C203" s="1">
        <v>90.64</v>
      </c>
      <c r="D203" s="1" t="e">
        <f t="shared" si="15"/>
        <v>#NAME?</v>
      </c>
      <c r="E203" s="1">
        <v>0.23840500000000001</v>
      </c>
      <c r="F203" s="1">
        <f t="shared" si="16"/>
        <v>0</v>
      </c>
      <c r="G203" s="1">
        <v>4</v>
      </c>
      <c r="H203" s="1">
        <v>19.25</v>
      </c>
    </row>
    <row r="204" spans="1:8">
      <c r="A204" s="1">
        <v>31</v>
      </c>
      <c r="B204" s="1" t="s">
        <v>410</v>
      </c>
      <c r="C204" s="1">
        <v>67.91</v>
      </c>
      <c r="D204" s="1" t="e">
        <f t="shared" si="15"/>
        <v>#NAME?</v>
      </c>
      <c r="E204" s="1">
        <v>0.26405400000000001</v>
      </c>
      <c r="F204" s="1">
        <f t="shared" si="16"/>
        <v>0</v>
      </c>
      <c r="G204" s="1">
        <v>22</v>
      </c>
      <c r="H204" s="1">
        <v>13.42</v>
      </c>
    </row>
    <row r="205" spans="1:8">
      <c r="A205" s="1">
        <v>32</v>
      </c>
      <c r="B205" s="1" t="s">
        <v>411</v>
      </c>
      <c r="C205" s="1">
        <v>84.32</v>
      </c>
      <c r="D205" s="1" t="e">
        <f t="shared" si="15"/>
        <v>#NAME?</v>
      </c>
      <c r="E205" s="1">
        <v>0.23228699999999999</v>
      </c>
      <c r="F205" s="1">
        <f t="shared" si="16"/>
        <v>0</v>
      </c>
      <c r="G205" s="1">
        <v>30</v>
      </c>
      <c r="H205" s="1">
        <v>16.14</v>
      </c>
    </row>
    <row r="206" spans="1:8">
      <c r="A206" s="1">
        <v>33</v>
      </c>
      <c r="B206" s="1" t="s">
        <v>412</v>
      </c>
      <c r="C206" s="1">
        <v>83.51</v>
      </c>
      <c r="D206" s="1" t="e">
        <f t="shared" si="15"/>
        <v>#NAME?</v>
      </c>
      <c r="E206" s="1">
        <v>0.235957</v>
      </c>
      <c r="F206" s="1">
        <f t="shared" si="16"/>
        <v>0</v>
      </c>
      <c r="G206" s="1">
        <v>0</v>
      </c>
      <c r="H206" s="1">
        <v>17.57</v>
      </c>
    </row>
    <row r="207" spans="1:8">
      <c r="A207" s="1">
        <v>34</v>
      </c>
      <c r="B207" s="1" t="s">
        <v>413</v>
      </c>
      <c r="C207" s="1">
        <v>82.95</v>
      </c>
      <c r="D207" s="1" t="e">
        <f t="shared" si="15"/>
        <v>#NAME?</v>
      </c>
      <c r="E207" s="1">
        <v>0.26771499999999998</v>
      </c>
      <c r="F207" s="1">
        <f t="shared" si="16"/>
        <v>0</v>
      </c>
      <c r="G207" s="1">
        <v>26</v>
      </c>
      <c r="H207" s="1">
        <v>16.13</v>
      </c>
    </row>
    <row r="208" spans="1:8">
      <c r="A208" s="1">
        <v>35</v>
      </c>
      <c r="B208" s="1" t="s">
        <v>414</v>
      </c>
      <c r="C208" s="1">
        <v>90.36</v>
      </c>
      <c r="D208" s="1" t="e">
        <f t="shared" si="15"/>
        <v>#NAME?</v>
      </c>
      <c r="E208" s="1">
        <v>0.19730600000000001</v>
      </c>
      <c r="F208" s="1">
        <f t="shared" si="16"/>
        <v>0</v>
      </c>
      <c r="G208" s="1">
        <v>2</v>
      </c>
      <c r="H208" s="1">
        <v>17.62</v>
      </c>
    </row>
    <row r="209" spans="1:8">
      <c r="A209" s="1">
        <v>36</v>
      </c>
      <c r="B209" s="1" t="s">
        <v>415</v>
      </c>
      <c r="C209" s="1">
        <v>97.79</v>
      </c>
      <c r="D209" s="1" t="e">
        <f t="shared" si="15"/>
        <v>#NAME?</v>
      </c>
      <c r="E209" s="1">
        <v>0.24310899999999999</v>
      </c>
      <c r="F209" s="1">
        <f t="shared" si="16"/>
        <v>0</v>
      </c>
      <c r="G209" s="1">
        <v>8</v>
      </c>
      <c r="H209" s="1">
        <v>19.059999999999999</v>
      </c>
    </row>
    <row r="210" spans="1:8">
      <c r="A210" s="1">
        <v>37</v>
      </c>
      <c r="B210" s="1" t="s">
        <v>416</v>
      </c>
      <c r="C210" s="1">
        <v>78.41</v>
      </c>
      <c r="D210" s="1" t="e">
        <f t="shared" si="15"/>
        <v>#NAME?</v>
      </c>
      <c r="E210" s="1">
        <v>0.265955</v>
      </c>
      <c r="F210" s="1">
        <f t="shared" si="16"/>
        <v>0</v>
      </c>
      <c r="G210" s="1">
        <v>4</v>
      </c>
      <c r="H210" s="1">
        <v>15.04</v>
      </c>
    </row>
    <row r="211" spans="1:8">
      <c r="A211" s="1">
        <v>38</v>
      </c>
      <c r="B211" s="1" t="s">
        <v>417</v>
      </c>
      <c r="C211" s="1">
        <v>73.95</v>
      </c>
      <c r="D211" s="1" t="e">
        <f t="shared" si="15"/>
        <v>#NAME?</v>
      </c>
      <c r="E211" s="1">
        <v>0.18979499999999999</v>
      </c>
      <c r="F211" s="1">
        <f t="shared" si="16"/>
        <v>0</v>
      </c>
      <c r="G211" s="1">
        <v>0</v>
      </c>
      <c r="H211" s="1">
        <v>14.55</v>
      </c>
    </row>
    <row r="212" spans="1:8">
      <c r="A212" s="1">
        <v>39</v>
      </c>
      <c r="B212" s="1" t="s">
        <v>418</v>
      </c>
      <c r="C212" s="1">
        <v>72.31</v>
      </c>
      <c r="D212" s="1" t="e">
        <f t="shared" si="15"/>
        <v>#NAME?</v>
      </c>
      <c r="E212" s="1">
        <v>0.33602700000000002</v>
      </c>
      <c r="F212" s="1">
        <f t="shared" si="16"/>
        <v>0</v>
      </c>
      <c r="G212" s="1">
        <v>26</v>
      </c>
      <c r="H212" s="1">
        <v>14.06</v>
      </c>
    </row>
    <row r="213" spans="1:8">
      <c r="A213" s="1">
        <v>40</v>
      </c>
      <c r="B213" s="1" t="s">
        <v>419</v>
      </c>
      <c r="C213" s="1">
        <v>99.38</v>
      </c>
      <c r="D213" s="1" t="e">
        <f t="shared" si="15"/>
        <v>#NAME?</v>
      </c>
      <c r="E213" s="1">
        <v>0.18629599999999999</v>
      </c>
      <c r="F213" s="1">
        <f t="shared" si="16"/>
        <v>0</v>
      </c>
      <c r="G213" s="1">
        <v>34</v>
      </c>
      <c r="H213" s="1">
        <v>19.87</v>
      </c>
    </row>
    <row r="214" spans="1:8">
      <c r="A214" s="1">
        <v>41</v>
      </c>
      <c r="B214" s="1" t="s">
        <v>420</v>
      </c>
      <c r="C214" s="1">
        <v>81.81</v>
      </c>
      <c r="D214" s="1" t="e">
        <f t="shared" si="15"/>
        <v>#NAME?</v>
      </c>
      <c r="E214" s="1">
        <v>0.16531899999999999</v>
      </c>
      <c r="F214" s="1">
        <f t="shared" si="16"/>
        <v>0</v>
      </c>
      <c r="G214" s="1">
        <v>4</v>
      </c>
      <c r="H214" s="1">
        <v>16.91</v>
      </c>
    </row>
    <row r="215" spans="1:8">
      <c r="A215" s="1">
        <v>42</v>
      </c>
      <c r="B215" s="1" t="s">
        <v>421</v>
      </c>
      <c r="C215" s="1">
        <v>87.37</v>
      </c>
      <c r="D215" s="1" t="e">
        <f t="shared" si="15"/>
        <v>#NAME?</v>
      </c>
      <c r="E215" s="1">
        <v>0.21162500000000001</v>
      </c>
      <c r="F215" s="1">
        <f t="shared" si="16"/>
        <v>0</v>
      </c>
      <c r="G215" s="1">
        <v>26</v>
      </c>
      <c r="H215" s="1">
        <v>17.68</v>
      </c>
    </row>
    <row r="216" spans="1:8">
      <c r="A216" s="1">
        <v>43</v>
      </c>
      <c r="B216" s="1" t="s">
        <v>422</v>
      </c>
      <c r="C216" s="1">
        <v>50.72</v>
      </c>
      <c r="D216" s="1" t="e">
        <f t="shared" si="15"/>
        <v>#NAME?</v>
      </c>
      <c r="E216" s="1">
        <v>0.24179200000000001</v>
      </c>
      <c r="F216" s="1">
        <f t="shared" si="16"/>
        <v>0</v>
      </c>
      <c r="G216" s="1">
        <v>10</v>
      </c>
      <c r="H216" s="1">
        <v>9.6199999999999992</v>
      </c>
    </row>
    <row r="217" spans="1:8">
      <c r="A217" s="1">
        <v>44</v>
      </c>
      <c r="B217" s="1" t="s">
        <v>423</v>
      </c>
      <c r="C217" s="1">
        <v>68.13</v>
      </c>
      <c r="D217" s="1" t="e">
        <f t="shared" si="15"/>
        <v>#NAME?</v>
      </c>
      <c r="E217" s="1">
        <v>0.258218</v>
      </c>
      <c r="F217" s="1">
        <f t="shared" si="16"/>
        <v>0</v>
      </c>
      <c r="G217" s="1">
        <v>36</v>
      </c>
      <c r="H217" s="1">
        <v>13.16</v>
      </c>
    </row>
    <row r="218" spans="1:8">
      <c r="A218" s="1">
        <v>45</v>
      </c>
      <c r="B218" s="1" t="s">
        <v>424</v>
      </c>
      <c r="C218" s="1">
        <v>57.6</v>
      </c>
      <c r="D218" s="1" t="e">
        <f t="shared" si="15"/>
        <v>#NAME?</v>
      </c>
      <c r="E218" s="1">
        <v>0.24709400000000001</v>
      </c>
      <c r="F218" s="1">
        <f t="shared" si="16"/>
        <v>0</v>
      </c>
      <c r="G218" s="1">
        <v>6</v>
      </c>
      <c r="H218" s="1">
        <v>11.66</v>
      </c>
    </row>
    <row r="219" spans="1:8">
      <c r="A219" s="1">
        <v>46</v>
      </c>
      <c r="B219" s="1" t="s">
        <v>425</v>
      </c>
      <c r="C219" s="1">
        <v>83.63</v>
      </c>
      <c r="D219" s="1" t="e">
        <f t="shared" si="15"/>
        <v>#NAME?</v>
      </c>
      <c r="E219" s="1">
        <v>0.22272700000000001</v>
      </c>
      <c r="F219" s="1">
        <f t="shared" si="16"/>
        <v>0</v>
      </c>
      <c r="G219" s="1">
        <v>6</v>
      </c>
      <c r="H219" s="1">
        <v>15.89</v>
      </c>
    </row>
    <row r="220" spans="1:8">
      <c r="A220" s="1">
        <v>47</v>
      </c>
      <c r="B220" s="1" t="s">
        <v>426</v>
      </c>
      <c r="C220" s="1">
        <v>61.63</v>
      </c>
      <c r="D220" s="1" t="e">
        <f t="shared" si="15"/>
        <v>#NAME?</v>
      </c>
      <c r="E220" s="1">
        <v>0.27009899999999998</v>
      </c>
      <c r="F220" s="1">
        <f t="shared" si="16"/>
        <v>0</v>
      </c>
      <c r="G220" s="1">
        <v>2</v>
      </c>
      <c r="H220" s="1">
        <v>11.91</v>
      </c>
    </row>
    <row r="221" spans="1:8">
      <c r="A221" s="1">
        <v>48</v>
      </c>
      <c r="B221" s="1" t="s">
        <v>427</v>
      </c>
      <c r="C221" s="1">
        <v>51.18</v>
      </c>
      <c r="D221" s="1" t="e">
        <f t="shared" si="15"/>
        <v>#NAME?</v>
      </c>
      <c r="E221" s="1">
        <v>0.22170999999999999</v>
      </c>
      <c r="F221" s="1">
        <f t="shared" si="16"/>
        <v>0</v>
      </c>
      <c r="G221" s="1">
        <v>0</v>
      </c>
      <c r="H221" s="1">
        <v>10.15</v>
      </c>
    </row>
    <row r="222" spans="1:8">
      <c r="A222" s="1">
        <v>49</v>
      </c>
      <c r="B222" s="1" t="s">
        <v>428</v>
      </c>
      <c r="C222" s="1">
        <v>51.26</v>
      </c>
      <c r="D222" s="1" t="e">
        <f t="shared" si="15"/>
        <v>#NAME?</v>
      </c>
      <c r="E222" s="1">
        <v>0.25072</v>
      </c>
      <c r="F222" s="1">
        <f t="shared" si="16"/>
        <v>0</v>
      </c>
      <c r="G222" s="1">
        <v>2</v>
      </c>
      <c r="H222" s="1">
        <v>9.7100000000000009</v>
      </c>
    </row>
    <row r="223" spans="1:8">
      <c r="A223" s="1">
        <v>50</v>
      </c>
      <c r="B223" s="1" t="s">
        <v>429</v>
      </c>
      <c r="C223" s="1">
        <v>52.04</v>
      </c>
      <c r="D223" s="1" t="e">
        <f t="shared" si="15"/>
        <v>#NAME?</v>
      </c>
      <c r="E223" s="1">
        <v>0.23218800000000001</v>
      </c>
      <c r="F223" s="1">
        <f t="shared" si="16"/>
        <v>0</v>
      </c>
      <c r="G223" s="1">
        <v>8</v>
      </c>
      <c r="H223" s="1">
        <v>10.06</v>
      </c>
    </row>
    <row r="224" spans="1:8">
      <c r="B224" s="1" t="s">
        <v>19</v>
      </c>
      <c r="C224" s="1">
        <f>AVERAGE(C174:C223)</f>
        <v>74.835399999999993</v>
      </c>
      <c r="D224" s="1" t="e">
        <f t="shared" ref="D224:F224" si="17">AVERAGE(D174:D223)</f>
        <v>#NAME?</v>
      </c>
      <c r="E224" s="1">
        <f t="shared" si="17"/>
        <v>0.21853142000000006</v>
      </c>
      <c r="F224" s="1">
        <f t="shared" si="17"/>
        <v>3.0719999999999996E-3</v>
      </c>
      <c r="H224" s="1">
        <f t="shared" ref="H224" si="18">AVERAGE(H174:H223)</f>
        <v>14.755599999999992</v>
      </c>
    </row>
    <row r="225" spans="1:8">
      <c r="B225" s="1" t="s">
        <v>20</v>
      </c>
      <c r="C225" s="1">
        <f>MIN(C173:C223)</f>
        <v>50.72</v>
      </c>
      <c r="D225" s="1" t="e">
        <f t="shared" ref="D225:F225" si="19">MIN(D173:D223)</f>
        <v>#NAME?</v>
      </c>
      <c r="E225" s="1">
        <f t="shared" si="19"/>
        <v>0.127251</v>
      </c>
      <c r="F225" s="1">
        <f t="shared" si="19"/>
        <v>0</v>
      </c>
      <c r="H225" s="1">
        <f t="shared" ref="H225" si="20">MIN(H173:H223)</f>
        <v>9.6199999999999992</v>
      </c>
    </row>
    <row r="226" spans="1:8">
      <c r="B226" s="1" t="s">
        <v>3</v>
      </c>
      <c r="C226" s="1">
        <f>STDEV(C174:C223)</f>
        <v>14.910052383597915</v>
      </c>
      <c r="D226" s="1" t="e">
        <f t="shared" ref="D226:E226" si="21">STDEV(D174:D223)</f>
        <v>#NAME?</v>
      </c>
      <c r="E226" s="1">
        <f t="shared" si="21"/>
        <v>4.6839082109503362E-2</v>
      </c>
      <c r="F226" s="1">
        <f>STDEV(F174:F223)</f>
        <v>1.3073966030057674E-2</v>
      </c>
      <c r="H226" s="1">
        <f>STDEV(H174:H223)</f>
        <v>3.1140190973685029</v>
      </c>
    </row>
    <row r="228" spans="1:8">
      <c r="H228" s="2" t="s">
        <v>1435</v>
      </c>
    </row>
    <row r="229" spans="1:8" ht="18">
      <c r="A229" s="2" t="s">
        <v>7</v>
      </c>
      <c r="B229" s="3" t="s">
        <v>2</v>
      </c>
      <c r="C229" s="2" t="s">
        <v>4</v>
      </c>
      <c r="D229" s="2" t="s">
        <v>322</v>
      </c>
      <c r="E229" s="2" t="s">
        <v>321</v>
      </c>
      <c r="F229" s="2" t="s">
        <v>324</v>
      </c>
      <c r="G229" s="2" t="s">
        <v>323</v>
      </c>
      <c r="H229" s="2" t="s">
        <v>1436</v>
      </c>
    </row>
    <row r="230" spans="1:8">
      <c r="A230" s="1">
        <v>1</v>
      </c>
      <c r="B230" s="1" t="s">
        <v>480</v>
      </c>
      <c r="C230" s="1">
        <v>57.8</v>
      </c>
      <c r="D230" s="1" t="e">
        <f t="shared" ref="D230:D253" si="22">-inf</f>
        <v>#NAME?</v>
      </c>
      <c r="E230" s="1">
        <v>0.18054000000000001</v>
      </c>
      <c r="F230" s="1">
        <f t="shared" ref="F230:F253" si="23">0*(10^-6)</f>
        <v>0</v>
      </c>
      <c r="G230" s="1">
        <v>0</v>
      </c>
      <c r="H230" s="1">
        <v>11.04</v>
      </c>
    </row>
    <row r="231" spans="1:8">
      <c r="A231" s="1">
        <v>2</v>
      </c>
      <c r="B231" s="1" t="s">
        <v>481</v>
      </c>
      <c r="C231" s="1">
        <v>56.19</v>
      </c>
      <c r="D231" s="1" t="e">
        <f t="shared" si="22"/>
        <v>#NAME?</v>
      </c>
      <c r="E231" s="1">
        <v>0.19331899999999999</v>
      </c>
      <c r="F231" s="1">
        <f t="shared" si="23"/>
        <v>0</v>
      </c>
      <c r="G231" s="1">
        <v>0</v>
      </c>
      <c r="H231" s="1">
        <v>10.78</v>
      </c>
    </row>
    <row r="232" spans="1:8">
      <c r="A232" s="1">
        <v>3</v>
      </c>
      <c r="B232" s="1" t="s">
        <v>482</v>
      </c>
      <c r="C232" s="1">
        <v>56.13</v>
      </c>
      <c r="D232" s="1" t="e">
        <f t="shared" si="22"/>
        <v>#NAME?</v>
      </c>
      <c r="E232" s="1">
        <v>0.17282900000000001</v>
      </c>
      <c r="F232" s="1">
        <f t="shared" si="23"/>
        <v>0</v>
      </c>
      <c r="G232" s="1">
        <v>4</v>
      </c>
      <c r="H232" s="1">
        <v>10.76</v>
      </c>
    </row>
    <row r="233" spans="1:8">
      <c r="A233" s="1">
        <v>4</v>
      </c>
      <c r="B233" s="1" t="s">
        <v>483</v>
      </c>
      <c r="C233" s="1">
        <v>55.58</v>
      </c>
      <c r="D233" s="1" t="e">
        <f t="shared" si="22"/>
        <v>#NAME?</v>
      </c>
      <c r="E233" s="1">
        <v>0.22387000000000001</v>
      </c>
      <c r="F233" s="1">
        <f t="shared" si="23"/>
        <v>0</v>
      </c>
      <c r="G233" s="1">
        <v>22</v>
      </c>
      <c r="H233" s="1">
        <v>10.67</v>
      </c>
    </row>
    <row r="234" spans="1:8">
      <c r="A234" s="1">
        <v>5</v>
      </c>
      <c r="B234" s="1" t="s">
        <v>484</v>
      </c>
      <c r="C234" s="1">
        <v>47.67</v>
      </c>
      <c r="D234" s="1" t="e">
        <f t="shared" si="22"/>
        <v>#NAME?</v>
      </c>
      <c r="E234" s="1">
        <v>0.121598</v>
      </c>
      <c r="F234" s="1">
        <f t="shared" si="23"/>
        <v>0</v>
      </c>
      <c r="G234" s="1">
        <v>10</v>
      </c>
      <c r="H234" s="1">
        <v>9.32</v>
      </c>
    </row>
    <row r="235" spans="1:8">
      <c r="A235" s="1">
        <v>6</v>
      </c>
      <c r="B235" s="1" t="s">
        <v>485</v>
      </c>
      <c r="C235" s="1">
        <v>54.47</v>
      </c>
      <c r="D235" s="1" t="e">
        <f t="shared" si="22"/>
        <v>#NAME?</v>
      </c>
      <c r="E235" s="1">
        <v>0.154114</v>
      </c>
      <c r="F235" s="1">
        <f t="shared" si="23"/>
        <v>0</v>
      </c>
      <c r="G235" s="1">
        <v>8</v>
      </c>
      <c r="H235" s="1">
        <v>11.14</v>
      </c>
    </row>
    <row r="236" spans="1:8">
      <c r="A236" s="1">
        <v>7</v>
      </c>
      <c r="B236" s="1" t="s">
        <v>486</v>
      </c>
      <c r="C236" s="1">
        <v>44.97</v>
      </c>
      <c r="D236" s="1" t="e">
        <f t="shared" si="22"/>
        <v>#NAME?</v>
      </c>
      <c r="E236" s="1">
        <v>0.150787</v>
      </c>
      <c r="F236" s="1">
        <f t="shared" si="23"/>
        <v>0</v>
      </c>
      <c r="G236" s="1">
        <v>2</v>
      </c>
      <c r="H236" s="1">
        <v>8.9600000000000009</v>
      </c>
    </row>
    <row r="237" spans="1:8">
      <c r="A237" s="1">
        <v>8</v>
      </c>
      <c r="B237" s="1" t="s">
        <v>487</v>
      </c>
      <c r="C237" s="1">
        <v>63.02</v>
      </c>
      <c r="D237" s="1" t="e">
        <f t="shared" si="22"/>
        <v>#NAME?</v>
      </c>
      <c r="E237" s="1">
        <v>0.16184100000000001</v>
      </c>
      <c r="F237" s="1">
        <f t="shared" si="23"/>
        <v>0</v>
      </c>
      <c r="G237" s="1">
        <v>0</v>
      </c>
      <c r="H237" s="1">
        <v>12.22</v>
      </c>
    </row>
    <row r="238" spans="1:8">
      <c r="A238" s="1">
        <v>9</v>
      </c>
      <c r="B238" s="1" t="s">
        <v>488</v>
      </c>
      <c r="C238" s="1">
        <v>45.44</v>
      </c>
      <c r="D238" s="1" t="e">
        <f t="shared" si="22"/>
        <v>#NAME?</v>
      </c>
      <c r="E238" s="1">
        <v>0.221609</v>
      </c>
      <c r="F238" s="1">
        <f t="shared" si="23"/>
        <v>0</v>
      </c>
      <c r="G238" s="1">
        <v>2</v>
      </c>
      <c r="H238" s="1">
        <v>8.68</v>
      </c>
    </row>
    <row r="239" spans="1:8">
      <c r="A239" s="1">
        <v>10</v>
      </c>
      <c r="B239" s="1" t="s">
        <v>489</v>
      </c>
      <c r="C239" s="1">
        <v>56.88</v>
      </c>
      <c r="D239" s="1" t="e">
        <f t="shared" si="22"/>
        <v>#NAME?</v>
      </c>
      <c r="E239" s="1">
        <v>0.155339</v>
      </c>
      <c r="F239" s="1">
        <f t="shared" si="23"/>
        <v>0</v>
      </c>
      <c r="G239" s="1">
        <v>18</v>
      </c>
      <c r="H239" s="1">
        <v>11.25</v>
      </c>
    </row>
    <row r="240" spans="1:8">
      <c r="A240" s="1">
        <v>11</v>
      </c>
      <c r="B240" s="1" t="s">
        <v>490</v>
      </c>
      <c r="C240" s="1">
        <v>53.62</v>
      </c>
      <c r="D240" s="1" t="e">
        <f t="shared" si="22"/>
        <v>#NAME?</v>
      </c>
      <c r="E240" s="1">
        <v>0.23649999999999999</v>
      </c>
      <c r="F240" s="1">
        <f t="shared" si="23"/>
        <v>0</v>
      </c>
      <c r="G240" s="1">
        <v>28</v>
      </c>
      <c r="H240" s="1">
        <v>10.25</v>
      </c>
    </row>
    <row r="241" spans="1:8">
      <c r="A241" s="1">
        <v>12</v>
      </c>
      <c r="B241" s="1" t="s">
        <v>491</v>
      </c>
      <c r="C241" s="1">
        <v>61.74</v>
      </c>
      <c r="D241" s="1" t="e">
        <f t="shared" si="22"/>
        <v>#NAME?</v>
      </c>
      <c r="E241" s="1">
        <v>0.21845100000000001</v>
      </c>
      <c r="F241" s="1">
        <f t="shared" si="23"/>
        <v>0</v>
      </c>
      <c r="G241" s="1">
        <v>2</v>
      </c>
      <c r="H241" s="1">
        <v>12.14</v>
      </c>
    </row>
    <row r="242" spans="1:8">
      <c r="A242" s="1">
        <v>13</v>
      </c>
      <c r="B242" s="1" t="s">
        <v>492</v>
      </c>
      <c r="C242" s="1">
        <v>58.48</v>
      </c>
      <c r="D242" s="1" t="e">
        <f t="shared" si="22"/>
        <v>#NAME?</v>
      </c>
      <c r="E242" s="1">
        <v>0.20913399999999999</v>
      </c>
      <c r="F242" s="1">
        <f t="shared" si="23"/>
        <v>0</v>
      </c>
      <c r="G242" s="1">
        <v>8</v>
      </c>
      <c r="H242" s="1">
        <v>11.19</v>
      </c>
    </row>
    <row r="243" spans="1:8">
      <c r="A243" s="1">
        <v>14</v>
      </c>
      <c r="B243" s="1" t="s">
        <v>493</v>
      </c>
      <c r="C243" s="1">
        <v>65.25</v>
      </c>
      <c r="D243" s="1" t="e">
        <f t="shared" si="22"/>
        <v>#NAME?</v>
      </c>
      <c r="E243" s="1">
        <v>0.20458899999999999</v>
      </c>
      <c r="F243" s="1">
        <f t="shared" si="23"/>
        <v>0</v>
      </c>
      <c r="G243" s="1">
        <v>2</v>
      </c>
      <c r="H243" s="1">
        <v>12.5</v>
      </c>
    </row>
    <row r="244" spans="1:8">
      <c r="A244" s="1">
        <v>15</v>
      </c>
      <c r="B244" s="1" t="s">
        <v>494</v>
      </c>
      <c r="C244" s="1">
        <v>57.72</v>
      </c>
      <c r="D244" s="1" t="e">
        <f t="shared" si="22"/>
        <v>#NAME?</v>
      </c>
      <c r="E244" s="1">
        <v>0.214586</v>
      </c>
      <c r="F244" s="1">
        <f t="shared" si="23"/>
        <v>0</v>
      </c>
      <c r="G244" s="1">
        <v>0</v>
      </c>
      <c r="H244" s="1">
        <v>11.3</v>
      </c>
    </row>
    <row r="245" spans="1:8">
      <c r="A245" s="1">
        <v>16</v>
      </c>
      <c r="B245" s="1" t="s">
        <v>495</v>
      </c>
      <c r="C245" s="1">
        <v>42.88</v>
      </c>
      <c r="D245" s="1" t="e">
        <f t="shared" si="22"/>
        <v>#NAME?</v>
      </c>
      <c r="E245" s="1">
        <v>0.202042</v>
      </c>
      <c r="F245" s="1">
        <f t="shared" si="23"/>
        <v>0</v>
      </c>
      <c r="G245" s="1">
        <v>10</v>
      </c>
      <c r="H245" s="1">
        <v>8.39</v>
      </c>
    </row>
    <row r="246" spans="1:8">
      <c r="A246" s="1">
        <v>17</v>
      </c>
      <c r="B246" s="1" t="s">
        <v>496</v>
      </c>
      <c r="C246" s="1">
        <v>67.290000000000006</v>
      </c>
      <c r="D246" s="1" t="e">
        <f t="shared" si="22"/>
        <v>#NAME?</v>
      </c>
      <c r="E246" s="1">
        <v>0.18596399999999999</v>
      </c>
      <c r="F246" s="1">
        <f t="shared" si="23"/>
        <v>0</v>
      </c>
      <c r="G246" s="1">
        <v>0</v>
      </c>
      <c r="H246" s="1">
        <v>12.91</v>
      </c>
    </row>
    <row r="247" spans="1:8">
      <c r="A247" s="1">
        <v>18</v>
      </c>
      <c r="B247" s="1" t="s">
        <v>497</v>
      </c>
      <c r="C247" s="1">
        <v>69.48</v>
      </c>
      <c r="D247" s="1" t="e">
        <f t="shared" si="22"/>
        <v>#NAME?</v>
      </c>
      <c r="E247" s="1">
        <v>0.18801100000000001</v>
      </c>
      <c r="F247" s="1">
        <f t="shared" si="23"/>
        <v>0</v>
      </c>
      <c r="G247" s="1">
        <v>10</v>
      </c>
      <c r="H247" s="1">
        <v>13.23</v>
      </c>
    </row>
    <row r="248" spans="1:8">
      <c r="A248" s="1">
        <v>19</v>
      </c>
      <c r="B248" s="1" t="s">
        <v>498</v>
      </c>
      <c r="C248" s="1">
        <v>60.2</v>
      </c>
      <c r="D248" s="1" t="e">
        <f t="shared" si="22"/>
        <v>#NAME?</v>
      </c>
      <c r="E248" s="1">
        <v>0.185142</v>
      </c>
      <c r="F248" s="1">
        <f t="shared" si="23"/>
        <v>0</v>
      </c>
      <c r="G248" s="1">
        <v>0</v>
      </c>
      <c r="H248" s="1">
        <v>11.79</v>
      </c>
    </row>
    <row r="249" spans="1:8">
      <c r="A249" s="1">
        <v>20</v>
      </c>
      <c r="B249" s="1" t="s">
        <v>499</v>
      </c>
      <c r="C249" s="1">
        <v>46.8</v>
      </c>
      <c r="D249" s="1" t="e">
        <f t="shared" si="22"/>
        <v>#NAME?</v>
      </c>
      <c r="E249" s="1">
        <v>0.110124</v>
      </c>
      <c r="F249" s="1">
        <f t="shared" si="23"/>
        <v>0</v>
      </c>
      <c r="G249" s="1">
        <v>0</v>
      </c>
      <c r="H249" s="1">
        <v>9.81</v>
      </c>
    </row>
    <row r="250" spans="1:8">
      <c r="A250" s="1">
        <v>21</v>
      </c>
      <c r="B250" s="1" t="s">
        <v>500</v>
      </c>
      <c r="C250" s="1">
        <v>52.25</v>
      </c>
      <c r="D250" s="1" t="e">
        <f t="shared" si="22"/>
        <v>#NAME?</v>
      </c>
      <c r="E250" s="1">
        <v>0.18950600000000001</v>
      </c>
      <c r="F250" s="1">
        <f t="shared" si="23"/>
        <v>0</v>
      </c>
      <c r="G250" s="1">
        <v>4</v>
      </c>
      <c r="H250" s="1">
        <v>10.24</v>
      </c>
    </row>
    <row r="251" spans="1:8">
      <c r="A251" s="1">
        <v>22</v>
      </c>
      <c r="B251" s="1" t="s">
        <v>501</v>
      </c>
      <c r="C251" s="1">
        <v>43.1</v>
      </c>
      <c r="D251" s="1" t="e">
        <f t="shared" si="22"/>
        <v>#NAME?</v>
      </c>
      <c r="E251" s="1">
        <v>0.204237</v>
      </c>
      <c r="F251" s="1">
        <f t="shared" si="23"/>
        <v>0</v>
      </c>
      <c r="G251" s="1">
        <v>14</v>
      </c>
      <c r="H251" s="1">
        <v>8.41</v>
      </c>
    </row>
    <row r="252" spans="1:8">
      <c r="A252" s="1">
        <v>23</v>
      </c>
      <c r="B252" s="1" t="s">
        <v>502</v>
      </c>
      <c r="C252" s="1">
        <v>63.27</v>
      </c>
      <c r="D252" s="1" t="e">
        <f t="shared" si="22"/>
        <v>#NAME?</v>
      </c>
      <c r="E252" s="1">
        <v>0.13558100000000001</v>
      </c>
      <c r="F252" s="1">
        <f t="shared" si="23"/>
        <v>0</v>
      </c>
      <c r="G252" s="1">
        <v>22</v>
      </c>
      <c r="H252" s="1">
        <v>13.2</v>
      </c>
    </row>
    <row r="253" spans="1:8">
      <c r="A253" s="1">
        <v>24</v>
      </c>
      <c r="B253" s="1" t="s">
        <v>503</v>
      </c>
      <c r="C253" s="1">
        <v>53.46</v>
      </c>
      <c r="D253" s="1" t="e">
        <f t="shared" si="22"/>
        <v>#NAME?</v>
      </c>
      <c r="E253" s="1">
        <v>0.21631600000000001</v>
      </c>
      <c r="F253" s="1">
        <f t="shared" si="23"/>
        <v>0</v>
      </c>
      <c r="G253" s="1">
        <v>10</v>
      </c>
      <c r="H253" s="1">
        <v>10.28</v>
      </c>
    </row>
    <row r="254" spans="1:8">
      <c r="A254" s="1">
        <v>25</v>
      </c>
      <c r="B254" s="1" t="s">
        <v>504</v>
      </c>
      <c r="C254" s="1">
        <v>47.68</v>
      </c>
      <c r="D254" s="1">
        <v>206.34</v>
      </c>
      <c r="E254" s="1">
        <v>0.20515600000000001</v>
      </c>
      <c r="F254" s="1">
        <f>38400*(10^-6)</f>
        <v>3.8399999999999997E-2</v>
      </c>
      <c r="G254" s="1">
        <v>14</v>
      </c>
      <c r="H254" s="1">
        <v>9.2799999999999994</v>
      </c>
    </row>
    <row r="255" spans="1:8">
      <c r="A255" s="1">
        <v>26</v>
      </c>
      <c r="B255" s="1" t="s">
        <v>505</v>
      </c>
      <c r="C255" s="1">
        <v>46.64</v>
      </c>
      <c r="D255" s="1">
        <v>202.96</v>
      </c>
      <c r="E255" s="1">
        <v>0.21546999999999999</v>
      </c>
      <c r="F255" s="1">
        <f>38400*(10^-6)</f>
        <v>3.8399999999999997E-2</v>
      </c>
      <c r="G255" s="1">
        <v>10</v>
      </c>
      <c r="H255" s="1">
        <v>9.27</v>
      </c>
    </row>
    <row r="256" spans="1:8">
      <c r="A256" s="1">
        <v>27</v>
      </c>
      <c r="B256" s="1" t="s">
        <v>506</v>
      </c>
      <c r="C256" s="1">
        <v>44.27</v>
      </c>
      <c r="D256" s="1" t="e">
        <f t="shared" ref="D256:D279" si="24">-inf</f>
        <v>#NAME?</v>
      </c>
      <c r="E256" s="1">
        <v>0.233707</v>
      </c>
      <c r="F256" s="1">
        <f t="shared" ref="F256:F279" si="25">0*(10^-6)</f>
        <v>0</v>
      </c>
      <c r="G256" s="1">
        <v>14</v>
      </c>
      <c r="H256" s="1">
        <v>8.5399999999999991</v>
      </c>
    </row>
    <row r="257" spans="1:8">
      <c r="A257" s="1">
        <v>28</v>
      </c>
      <c r="B257" s="1" t="s">
        <v>507</v>
      </c>
      <c r="C257" s="1">
        <v>58.54</v>
      </c>
      <c r="D257" s="1" t="e">
        <f t="shared" si="24"/>
        <v>#NAME?</v>
      </c>
      <c r="E257" s="1">
        <v>0.14380999999999999</v>
      </c>
      <c r="F257" s="1">
        <f t="shared" si="25"/>
        <v>0</v>
      </c>
      <c r="G257" s="1">
        <v>14</v>
      </c>
      <c r="H257" s="1">
        <v>11.24</v>
      </c>
    </row>
    <row r="258" spans="1:8">
      <c r="A258" s="1">
        <v>29</v>
      </c>
      <c r="B258" s="1" t="s">
        <v>508</v>
      </c>
      <c r="C258" s="1">
        <v>54.03</v>
      </c>
      <c r="D258" s="1" t="e">
        <f t="shared" si="24"/>
        <v>#NAME?</v>
      </c>
      <c r="E258" s="1">
        <v>0.16672699999999999</v>
      </c>
      <c r="F258" s="1">
        <f t="shared" si="25"/>
        <v>0</v>
      </c>
      <c r="G258" s="1">
        <v>0</v>
      </c>
      <c r="H258" s="1">
        <v>10.6</v>
      </c>
    </row>
    <row r="259" spans="1:8">
      <c r="A259" s="1">
        <v>30</v>
      </c>
      <c r="B259" s="1" t="s">
        <v>509</v>
      </c>
      <c r="C259" s="1">
        <v>50.9</v>
      </c>
      <c r="D259" s="1" t="e">
        <f t="shared" si="24"/>
        <v>#NAME?</v>
      </c>
      <c r="E259" s="1">
        <v>0.15536800000000001</v>
      </c>
      <c r="F259" s="1">
        <f t="shared" si="25"/>
        <v>0</v>
      </c>
      <c r="G259" s="1">
        <v>2</v>
      </c>
      <c r="H259" s="1">
        <v>9.76</v>
      </c>
    </row>
    <row r="260" spans="1:8">
      <c r="A260" s="1">
        <v>31</v>
      </c>
      <c r="B260" s="1" t="s">
        <v>510</v>
      </c>
      <c r="C260" s="1">
        <v>57.34</v>
      </c>
      <c r="D260" s="1" t="e">
        <f t="shared" si="24"/>
        <v>#NAME?</v>
      </c>
      <c r="E260" s="1">
        <v>0.13184699999999999</v>
      </c>
      <c r="F260" s="1">
        <f t="shared" si="25"/>
        <v>0</v>
      </c>
      <c r="G260" s="1">
        <v>12</v>
      </c>
      <c r="H260" s="1">
        <v>11.41</v>
      </c>
    </row>
    <row r="261" spans="1:8">
      <c r="A261" s="1">
        <v>32</v>
      </c>
      <c r="B261" s="1" t="s">
        <v>511</v>
      </c>
      <c r="C261" s="1">
        <v>50.52</v>
      </c>
      <c r="D261" s="1" t="e">
        <f t="shared" si="24"/>
        <v>#NAME?</v>
      </c>
      <c r="E261" s="1">
        <v>0.182</v>
      </c>
      <c r="F261" s="1">
        <f t="shared" si="25"/>
        <v>0</v>
      </c>
      <c r="G261" s="1">
        <v>0</v>
      </c>
      <c r="H261" s="1">
        <v>9.59</v>
      </c>
    </row>
    <row r="262" spans="1:8">
      <c r="A262" s="1">
        <v>33</v>
      </c>
      <c r="B262" s="1" t="s">
        <v>512</v>
      </c>
      <c r="C262" s="1">
        <v>51.31</v>
      </c>
      <c r="D262" s="1" t="e">
        <f t="shared" si="24"/>
        <v>#NAME?</v>
      </c>
      <c r="E262" s="1">
        <v>0.18994</v>
      </c>
      <c r="F262" s="1">
        <f t="shared" si="25"/>
        <v>0</v>
      </c>
      <c r="G262" s="1">
        <v>0</v>
      </c>
      <c r="H262" s="1">
        <v>10.050000000000001</v>
      </c>
    </row>
    <row r="263" spans="1:8">
      <c r="A263" s="1">
        <v>34</v>
      </c>
      <c r="B263" s="1" t="s">
        <v>513</v>
      </c>
      <c r="C263" s="1">
        <v>54.18</v>
      </c>
      <c r="D263" s="1" t="e">
        <f t="shared" si="24"/>
        <v>#NAME?</v>
      </c>
      <c r="E263" s="1">
        <v>0.19139400000000001</v>
      </c>
      <c r="F263" s="1">
        <f t="shared" si="25"/>
        <v>0</v>
      </c>
      <c r="G263" s="1">
        <v>0</v>
      </c>
      <c r="H263" s="1">
        <v>10.39</v>
      </c>
    </row>
    <row r="264" spans="1:8">
      <c r="A264" s="1">
        <v>35</v>
      </c>
      <c r="B264" s="1" t="s">
        <v>514</v>
      </c>
      <c r="C264" s="1">
        <v>63.13</v>
      </c>
      <c r="D264" s="1" t="e">
        <f t="shared" si="24"/>
        <v>#NAME?</v>
      </c>
      <c r="E264" s="1">
        <v>0.191742</v>
      </c>
      <c r="F264" s="1">
        <f t="shared" si="25"/>
        <v>0</v>
      </c>
      <c r="G264" s="1">
        <v>4</v>
      </c>
      <c r="H264" s="1">
        <v>12.39</v>
      </c>
    </row>
    <row r="265" spans="1:8">
      <c r="A265" s="1">
        <v>36</v>
      </c>
      <c r="B265" s="1" t="s">
        <v>515</v>
      </c>
      <c r="C265" s="1">
        <v>54.58</v>
      </c>
      <c r="D265" s="1" t="e">
        <f t="shared" si="24"/>
        <v>#NAME?</v>
      </c>
      <c r="E265" s="1">
        <v>0.227857</v>
      </c>
      <c r="F265" s="1">
        <f t="shared" si="25"/>
        <v>0</v>
      </c>
      <c r="G265" s="1">
        <v>0</v>
      </c>
      <c r="H265" s="1">
        <v>10.48</v>
      </c>
    </row>
    <row r="266" spans="1:8">
      <c r="A266" s="1">
        <v>37</v>
      </c>
      <c r="B266" s="1" t="s">
        <v>516</v>
      </c>
      <c r="C266" s="1">
        <v>61.41</v>
      </c>
      <c r="D266" s="1" t="e">
        <f t="shared" si="24"/>
        <v>#NAME?</v>
      </c>
      <c r="E266" s="1">
        <v>0.189194</v>
      </c>
      <c r="F266" s="1">
        <f t="shared" si="25"/>
        <v>0</v>
      </c>
      <c r="G266" s="1">
        <v>2</v>
      </c>
      <c r="H266" s="1">
        <v>11.71</v>
      </c>
    </row>
    <row r="267" spans="1:8">
      <c r="A267" s="1">
        <v>38</v>
      </c>
      <c r="B267" s="1" t="s">
        <v>517</v>
      </c>
      <c r="C267" s="1">
        <v>57.86</v>
      </c>
      <c r="D267" s="1" t="e">
        <f t="shared" si="24"/>
        <v>#NAME?</v>
      </c>
      <c r="E267" s="1">
        <v>0.24196000000000001</v>
      </c>
      <c r="F267" s="1">
        <f t="shared" si="25"/>
        <v>0</v>
      </c>
      <c r="G267" s="1">
        <v>28</v>
      </c>
      <c r="H267" s="1">
        <v>11.08</v>
      </c>
    </row>
    <row r="268" spans="1:8">
      <c r="A268" s="1">
        <v>39</v>
      </c>
      <c r="B268" s="1" t="s">
        <v>518</v>
      </c>
      <c r="C268" s="1">
        <v>52.75</v>
      </c>
      <c r="D268" s="1" t="e">
        <f t="shared" si="24"/>
        <v>#NAME?</v>
      </c>
      <c r="E268" s="1">
        <v>0.197683</v>
      </c>
      <c r="F268" s="1">
        <f t="shared" si="25"/>
        <v>0</v>
      </c>
      <c r="G268" s="1">
        <v>0</v>
      </c>
      <c r="H268" s="1">
        <v>10.119999999999999</v>
      </c>
    </row>
    <row r="269" spans="1:8">
      <c r="A269" s="1">
        <v>40</v>
      </c>
      <c r="B269" s="1" t="s">
        <v>519</v>
      </c>
      <c r="C269" s="1">
        <v>41.23</v>
      </c>
      <c r="D269" s="1" t="e">
        <f t="shared" si="24"/>
        <v>#NAME?</v>
      </c>
      <c r="E269" s="1">
        <v>0.174988</v>
      </c>
      <c r="F269" s="1">
        <f t="shared" si="25"/>
        <v>0</v>
      </c>
      <c r="G269" s="1">
        <v>0</v>
      </c>
      <c r="H269" s="1">
        <v>7.96</v>
      </c>
    </row>
    <row r="270" spans="1:8">
      <c r="A270" s="1">
        <v>41</v>
      </c>
      <c r="B270" s="1" t="s">
        <v>520</v>
      </c>
      <c r="C270" s="1">
        <v>43.09</v>
      </c>
      <c r="D270" s="1" t="e">
        <f t="shared" si="24"/>
        <v>#NAME?</v>
      </c>
      <c r="E270" s="1">
        <v>0.19102</v>
      </c>
      <c r="F270" s="1">
        <f t="shared" si="25"/>
        <v>0</v>
      </c>
      <c r="G270" s="1">
        <v>4</v>
      </c>
      <c r="H270" s="1">
        <v>8.57</v>
      </c>
    </row>
    <row r="271" spans="1:8">
      <c r="A271" s="1">
        <v>42</v>
      </c>
      <c r="B271" s="1" t="s">
        <v>521</v>
      </c>
      <c r="C271" s="1">
        <v>47.34</v>
      </c>
      <c r="D271" s="1" t="e">
        <f t="shared" si="24"/>
        <v>#NAME?</v>
      </c>
      <c r="E271" s="1">
        <v>0.13823199999999999</v>
      </c>
      <c r="F271" s="1">
        <f t="shared" si="25"/>
        <v>0</v>
      </c>
      <c r="G271" s="1">
        <v>16</v>
      </c>
      <c r="H271" s="1">
        <v>9.07</v>
      </c>
    </row>
    <row r="272" spans="1:8">
      <c r="A272" s="1">
        <v>43</v>
      </c>
      <c r="B272" s="1" t="s">
        <v>522</v>
      </c>
      <c r="C272" s="1">
        <v>57.59</v>
      </c>
      <c r="D272" s="1" t="e">
        <f t="shared" si="24"/>
        <v>#NAME?</v>
      </c>
      <c r="E272" s="1">
        <v>0.24086199999999999</v>
      </c>
      <c r="F272" s="1">
        <f t="shared" si="25"/>
        <v>0</v>
      </c>
      <c r="G272" s="1">
        <v>2</v>
      </c>
      <c r="H272" s="1">
        <v>11.12</v>
      </c>
    </row>
    <row r="273" spans="1:8">
      <c r="A273" s="1">
        <v>44</v>
      </c>
      <c r="B273" s="1" t="s">
        <v>523</v>
      </c>
      <c r="C273" s="1">
        <v>45.84</v>
      </c>
      <c r="D273" s="1" t="e">
        <f t="shared" si="24"/>
        <v>#NAME?</v>
      </c>
      <c r="E273" s="1">
        <v>0.25874900000000001</v>
      </c>
      <c r="F273" s="1">
        <f t="shared" si="25"/>
        <v>0</v>
      </c>
      <c r="G273" s="1">
        <v>16</v>
      </c>
      <c r="H273" s="1">
        <v>8.86</v>
      </c>
    </row>
    <row r="274" spans="1:8">
      <c r="A274" s="1">
        <v>45</v>
      </c>
      <c r="B274" s="1" t="s">
        <v>524</v>
      </c>
      <c r="C274" s="1">
        <v>48.83</v>
      </c>
      <c r="D274" s="1" t="e">
        <f t="shared" si="24"/>
        <v>#NAME?</v>
      </c>
      <c r="E274" s="1">
        <v>0.206035</v>
      </c>
      <c r="F274" s="1">
        <f t="shared" si="25"/>
        <v>0</v>
      </c>
      <c r="G274" s="1">
        <v>2</v>
      </c>
      <c r="H274" s="1">
        <v>9.3699999999999992</v>
      </c>
    </row>
    <row r="275" spans="1:8">
      <c r="A275" s="1">
        <v>46</v>
      </c>
      <c r="B275" s="1" t="s">
        <v>525</v>
      </c>
      <c r="C275" s="1">
        <v>35.369999999999997</v>
      </c>
      <c r="D275" s="1" t="e">
        <f t="shared" si="24"/>
        <v>#NAME?</v>
      </c>
      <c r="E275" s="1">
        <v>0.19483900000000001</v>
      </c>
      <c r="F275" s="1">
        <f t="shared" si="25"/>
        <v>0</v>
      </c>
      <c r="G275" s="1">
        <v>10</v>
      </c>
      <c r="H275" s="1">
        <v>6.84</v>
      </c>
    </row>
    <row r="276" spans="1:8">
      <c r="A276" s="1">
        <v>47</v>
      </c>
      <c r="B276" s="1" t="s">
        <v>526</v>
      </c>
      <c r="C276" s="1">
        <v>46.58</v>
      </c>
      <c r="D276" s="1" t="e">
        <f t="shared" si="24"/>
        <v>#NAME?</v>
      </c>
      <c r="E276" s="1">
        <v>0.265073</v>
      </c>
      <c r="F276" s="1">
        <f t="shared" si="25"/>
        <v>0</v>
      </c>
      <c r="G276" s="1">
        <v>8</v>
      </c>
      <c r="H276" s="1">
        <v>8.99</v>
      </c>
    </row>
    <row r="277" spans="1:8">
      <c r="A277" s="1">
        <v>48</v>
      </c>
      <c r="B277" s="1" t="s">
        <v>527</v>
      </c>
      <c r="C277" s="1">
        <v>57.55</v>
      </c>
      <c r="D277" s="1" t="e">
        <f t="shared" si="24"/>
        <v>#NAME?</v>
      </c>
      <c r="E277" s="1">
        <v>0.24199699999999999</v>
      </c>
      <c r="F277" s="1">
        <f t="shared" si="25"/>
        <v>0</v>
      </c>
      <c r="G277" s="1">
        <v>2</v>
      </c>
      <c r="H277" s="1">
        <v>11.13</v>
      </c>
    </row>
    <row r="278" spans="1:8">
      <c r="A278" s="1">
        <v>49</v>
      </c>
      <c r="B278" s="1" t="s">
        <v>528</v>
      </c>
      <c r="C278" s="1">
        <v>36.97</v>
      </c>
      <c r="D278" s="1" t="e">
        <f t="shared" si="24"/>
        <v>#NAME?</v>
      </c>
      <c r="E278" s="1">
        <v>0.18570600000000001</v>
      </c>
      <c r="F278" s="1">
        <f t="shared" si="25"/>
        <v>0</v>
      </c>
      <c r="G278" s="1">
        <v>2</v>
      </c>
      <c r="H278" s="1">
        <v>7.11</v>
      </c>
    </row>
    <row r="279" spans="1:8">
      <c r="A279" s="1">
        <v>50</v>
      </c>
      <c r="B279" s="1" t="s">
        <v>529</v>
      </c>
      <c r="C279" s="1">
        <v>53.29</v>
      </c>
      <c r="D279" s="1" t="e">
        <f t="shared" si="24"/>
        <v>#NAME?</v>
      </c>
      <c r="E279" s="1">
        <v>0.16417399999999999</v>
      </c>
      <c r="F279" s="1">
        <f t="shared" si="25"/>
        <v>0</v>
      </c>
      <c r="G279" s="1">
        <v>0</v>
      </c>
      <c r="H279" s="1">
        <v>10.48</v>
      </c>
    </row>
    <row r="280" spans="1:8">
      <c r="B280" s="1" t="s">
        <v>19</v>
      </c>
      <c r="C280" s="1">
        <f>AVERAGE(C230:C279)</f>
        <v>53.050200000000011</v>
      </c>
      <c r="D280" s="1" t="e">
        <f t="shared" ref="D280:F280" si="26">AVERAGE(D230:D279)</f>
        <v>#NAME?</v>
      </c>
      <c r="E280" s="1">
        <f t="shared" si="26"/>
        <v>0.19123117999999995</v>
      </c>
      <c r="F280" s="1">
        <f t="shared" si="26"/>
        <v>1.5359999999999998E-3</v>
      </c>
      <c r="H280" s="1">
        <f t="shared" ref="H280" si="27">AVERAGE(H230:H279)</f>
        <v>10.317399999999997</v>
      </c>
    </row>
    <row r="281" spans="1:8">
      <c r="B281" s="1" t="s">
        <v>20</v>
      </c>
      <c r="C281" s="1">
        <f>MIN(C229:C279)</f>
        <v>35.369999999999997</v>
      </c>
      <c r="D281" s="1" t="e">
        <f t="shared" ref="D281:F281" si="28">MIN(D229:D279)</f>
        <v>#NAME?</v>
      </c>
      <c r="E281" s="1">
        <f t="shared" si="28"/>
        <v>0.110124</v>
      </c>
      <c r="F281" s="1">
        <f t="shared" si="28"/>
        <v>0</v>
      </c>
      <c r="H281" s="1">
        <f t="shared" ref="H281" si="29">MIN(H229:H279)</f>
        <v>6.84</v>
      </c>
    </row>
    <row r="282" spans="1:8">
      <c r="B282" s="1" t="s">
        <v>3</v>
      </c>
      <c r="C282" s="1">
        <f>STDEV(C230:C279)</f>
        <v>7.6495392658375634</v>
      </c>
      <c r="D282" s="1" t="e">
        <f t="shared" ref="D282:E282" si="30">STDEV(D230:D279)</f>
        <v>#NAME?</v>
      </c>
      <c r="E282" s="1">
        <f t="shared" si="30"/>
        <v>3.5102621011327675E-2</v>
      </c>
      <c r="F282" s="1">
        <f>STDEV(F230:F279)</f>
        <v>7.6012286869308436E-3</v>
      </c>
      <c r="H282" s="1">
        <f>STDEV(H230:H279)</f>
        <v>1.4899360484837867</v>
      </c>
    </row>
    <row r="284" spans="1:8">
      <c r="H284" s="2" t="s">
        <v>1435</v>
      </c>
    </row>
    <row r="285" spans="1:8" ht="18">
      <c r="A285" s="2" t="s">
        <v>7</v>
      </c>
      <c r="B285" s="3" t="s">
        <v>10</v>
      </c>
      <c r="C285" s="2" t="s">
        <v>4</v>
      </c>
      <c r="D285" s="2" t="s">
        <v>322</v>
      </c>
      <c r="E285" s="2" t="s">
        <v>321</v>
      </c>
      <c r="F285" s="2" t="s">
        <v>324</v>
      </c>
      <c r="G285" s="2" t="s">
        <v>323</v>
      </c>
      <c r="H285" s="2" t="s">
        <v>1436</v>
      </c>
    </row>
    <row r="286" spans="1:8">
      <c r="A286" s="1">
        <v>1</v>
      </c>
      <c r="B286" s="1" t="s">
        <v>530</v>
      </c>
      <c r="C286" s="1">
        <v>40.880000000000003</v>
      </c>
      <c r="D286" s="1" t="e">
        <f t="shared" ref="D286:D317" si="31">-inf</f>
        <v>#NAME?</v>
      </c>
      <c r="E286" s="1">
        <v>0.17197899999999999</v>
      </c>
      <c r="F286" s="1">
        <f t="shared" ref="F286:F317" si="32">0*(10^-6)</f>
        <v>0</v>
      </c>
      <c r="G286" s="1">
        <v>0</v>
      </c>
      <c r="H286" s="1">
        <v>7.8</v>
      </c>
    </row>
    <row r="287" spans="1:8">
      <c r="A287" s="1">
        <v>2</v>
      </c>
      <c r="B287" s="1" t="s">
        <v>531</v>
      </c>
      <c r="C287" s="1">
        <v>39.57</v>
      </c>
      <c r="D287" s="1" t="e">
        <f t="shared" si="31"/>
        <v>#NAME?</v>
      </c>
      <c r="E287" s="1">
        <v>0.15660299999999999</v>
      </c>
      <c r="F287" s="1">
        <f t="shared" si="32"/>
        <v>0</v>
      </c>
      <c r="G287" s="1">
        <v>22</v>
      </c>
      <c r="H287" s="1">
        <v>7.54</v>
      </c>
    </row>
    <row r="288" spans="1:8">
      <c r="A288" s="1">
        <v>3</v>
      </c>
      <c r="B288" s="1" t="s">
        <v>532</v>
      </c>
      <c r="C288" s="1">
        <v>52.49</v>
      </c>
      <c r="D288" s="1" t="e">
        <f t="shared" si="31"/>
        <v>#NAME?</v>
      </c>
      <c r="E288" s="1">
        <v>0.15523200000000001</v>
      </c>
      <c r="F288" s="1">
        <f t="shared" si="32"/>
        <v>0</v>
      </c>
      <c r="G288" s="1">
        <v>4</v>
      </c>
      <c r="H288" s="1">
        <v>10.01</v>
      </c>
    </row>
    <row r="289" spans="1:8">
      <c r="A289" s="1">
        <v>4</v>
      </c>
      <c r="B289" s="1" t="s">
        <v>533</v>
      </c>
      <c r="C289" s="1">
        <v>42.13</v>
      </c>
      <c r="D289" s="1" t="e">
        <f t="shared" si="31"/>
        <v>#NAME?</v>
      </c>
      <c r="E289" s="1">
        <v>0.186111</v>
      </c>
      <c r="F289" s="1">
        <f t="shared" si="32"/>
        <v>0</v>
      </c>
      <c r="G289" s="1">
        <v>10</v>
      </c>
      <c r="H289" s="1">
        <v>8.07</v>
      </c>
    </row>
    <row r="290" spans="1:8">
      <c r="A290" s="1">
        <v>5</v>
      </c>
      <c r="B290" s="1" t="s">
        <v>534</v>
      </c>
      <c r="C290" s="1">
        <v>46.27</v>
      </c>
      <c r="D290" s="1" t="e">
        <f t="shared" si="31"/>
        <v>#NAME?</v>
      </c>
      <c r="E290" s="1">
        <v>0.14688599999999999</v>
      </c>
      <c r="F290" s="1">
        <f t="shared" si="32"/>
        <v>0</v>
      </c>
      <c r="G290" s="1">
        <v>4</v>
      </c>
      <c r="H290" s="1">
        <v>8.94</v>
      </c>
    </row>
    <row r="291" spans="1:8">
      <c r="A291" s="1">
        <v>6</v>
      </c>
      <c r="B291" s="1" t="s">
        <v>535</v>
      </c>
      <c r="C291" s="1">
        <v>52.31</v>
      </c>
      <c r="D291" s="1" t="e">
        <f t="shared" si="31"/>
        <v>#NAME?</v>
      </c>
      <c r="E291" s="1">
        <v>0.21673300000000001</v>
      </c>
      <c r="F291" s="1">
        <f t="shared" si="32"/>
        <v>0</v>
      </c>
      <c r="G291" s="1">
        <v>4</v>
      </c>
      <c r="H291" s="1">
        <v>9.9700000000000006</v>
      </c>
    </row>
    <row r="292" spans="1:8">
      <c r="A292" s="1">
        <v>7</v>
      </c>
      <c r="B292" s="1" t="s">
        <v>536</v>
      </c>
      <c r="C292" s="1">
        <v>42.52</v>
      </c>
      <c r="D292" s="1" t="e">
        <f t="shared" si="31"/>
        <v>#NAME?</v>
      </c>
      <c r="E292" s="1">
        <v>0.15160699999999999</v>
      </c>
      <c r="F292" s="1">
        <f t="shared" si="32"/>
        <v>0</v>
      </c>
      <c r="G292" s="1">
        <v>8</v>
      </c>
      <c r="H292" s="1">
        <v>8.1199999999999992</v>
      </c>
    </row>
    <row r="293" spans="1:8">
      <c r="A293" s="1">
        <v>8</v>
      </c>
      <c r="B293" s="1" t="s">
        <v>537</v>
      </c>
      <c r="C293" s="1">
        <v>35.39</v>
      </c>
      <c r="D293" s="1" t="e">
        <f t="shared" si="31"/>
        <v>#NAME?</v>
      </c>
      <c r="E293" s="1">
        <v>0.227409</v>
      </c>
      <c r="F293" s="1">
        <f t="shared" si="32"/>
        <v>0</v>
      </c>
      <c r="G293" s="1">
        <v>0</v>
      </c>
      <c r="H293" s="1">
        <v>6.79</v>
      </c>
    </row>
    <row r="294" spans="1:8">
      <c r="A294" s="1">
        <v>9</v>
      </c>
      <c r="B294" s="1" t="s">
        <v>538</v>
      </c>
      <c r="C294" s="1">
        <v>42.57</v>
      </c>
      <c r="D294" s="1" t="e">
        <f t="shared" si="31"/>
        <v>#NAME?</v>
      </c>
      <c r="E294" s="1">
        <v>0.174146</v>
      </c>
      <c r="F294" s="1">
        <f t="shared" si="32"/>
        <v>0</v>
      </c>
      <c r="G294" s="1">
        <v>4</v>
      </c>
      <c r="H294" s="1">
        <v>8.23</v>
      </c>
    </row>
    <row r="295" spans="1:8">
      <c r="A295" s="1">
        <v>10</v>
      </c>
      <c r="B295" s="1" t="s">
        <v>539</v>
      </c>
      <c r="C295" s="1">
        <v>39.72</v>
      </c>
      <c r="D295" s="1" t="e">
        <f t="shared" si="31"/>
        <v>#NAME?</v>
      </c>
      <c r="E295" s="1">
        <v>0.20680499999999999</v>
      </c>
      <c r="F295" s="1">
        <f t="shared" si="32"/>
        <v>0</v>
      </c>
      <c r="G295" s="1">
        <v>2</v>
      </c>
      <c r="H295" s="1">
        <v>7.61</v>
      </c>
    </row>
    <row r="296" spans="1:8">
      <c r="A296" s="1">
        <v>11</v>
      </c>
      <c r="B296" s="1" t="s">
        <v>540</v>
      </c>
      <c r="C296" s="1">
        <v>35.11</v>
      </c>
      <c r="D296" s="1" t="e">
        <f t="shared" si="31"/>
        <v>#NAME?</v>
      </c>
      <c r="E296" s="1">
        <v>0.16092100000000001</v>
      </c>
      <c r="F296" s="1">
        <f t="shared" si="32"/>
        <v>0</v>
      </c>
      <c r="G296" s="1">
        <v>0</v>
      </c>
      <c r="H296" s="1">
        <v>6.72</v>
      </c>
    </row>
    <row r="297" spans="1:8">
      <c r="A297" s="1">
        <v>12</v>
      </c>
      <c r="B297" s="1" t="s">
        <v>541</v>
      </c>
      <c r="C297" s="1">
        <v>37.590000000000003</v>
      </c>
      <c r="D297" s="1" t="e">
        <f t="shared" si="31"/>
        <v>#NAME?</v>
      </c>
      <c r="E297" s="1">
        <v>0.17154</v>
      </c>
      <c r="F297" s="1">
        <f t="shared" si="32"/>
        <v>0</v>
      </c>
      <c r="G297" s="1">
        <v>0</v>
      </c>
      <c r="H297" s="1">
        <v>7.15</v>
      </c>
    </row>
    <row r="298" spans="1:8">
      <c r="A298" s="1">
        <v>13</v>
      </c>
      <c r="B298" s="1" t="s">
        <v>542</v>
      </c>
      <c r="C298" s="1">
        <v>56.81</v>
      </c>
      <c r="D298" s="1" t="e">
        <f t="shared" si="31"/>
        <v>#NAME?</v>
      </c>
      <c r="E298" s="1">
        <v>0.123501</v>
      </c>
      <c r="F298" s="1">
        <f t="shared" si="32"/>
        <v>0</v>
      </c>
      <c r="G298" s="1">
        <v>2</v>
      </c>
      <c r="H298" s="1">
        <v>10.82</v>
      </c>
    </row>
    <row r="299" spans="1:8">
      <c r="A299" s="1">
        <v>14</v>
      </c>
      <c r="B299" s="1" t="s">
        <v>543</v>
      </c>
      <c r="C299" s="1">
        <v>53.57</v>
      </c>
      <c r="D299" s="1" t="e">
        <f t="shared" si="31"/>
        <v>#NAME?</v>
      </c>
      <c r="E299" s="1">
        <v>0.16196199999999999</v>
      </c>
      <c r="F299" s="1">
        <f t="shared" si="32"/>
        <v>0</v>
      </c>
      <c r="G299" s="1">
        <v>2</v>
      </c>
      <c r="H299" s="1">
        <v>10.39</v>
      </c>
    </row>
    <row r="300" spans="1:8">
      <c r="A300" s="1">
        <v>15</v>
      </c>
      <c r="B300" s="1" t="s">
        <v>544</v>
      </c>
      <c r="C300" s="1">
        <v>45.75</v>
      </c>
      <c r="D300" s="1" t="e">
        <f t="shared" si="31"/>
        <v>#NAME?</v>
      </c>
      <c r="E300" s="1">
        <v>0.135542</v>
      </c>
      <c r="F300" s="1">
        <f t="shared" si="32"/>
        <v>0</v>
      </c>
      <c r="G300" s="1">
        <v>2</v>
      </c>
      <c r="H300" s="1">
        <v>8.8800000000000008</v>
      </c>
    </row>
    <row r="301" spans="1:8">
      <c r="A301" s="1">
        <v>16</v>
      </c>
      <c r="B301" s="1" t="s">
        <v>545</v>
      </c>
      <c r="C301" s="1">
        <v>41.57</v>
      </c>
      <c r="D301" s="1" t="e">
        <f t="shared" si="31"/>
        <v>#NAME?</v>
      </c>
      <c r="E301" s="1">
        <v>0.16759499999999999</v>
      </c>
      <c r="F301" s="1">
        <f t="shared" si="32"/>
        <v>0</v>
      </c>
      <c r="G301" s="1">
        <v>2</v>
      </c>
      <c r="H301" s="1">
        <v>7.94</v>
      </c>
    </row>
    <row r="302" spans="1:8">
      <c r="A302" s="1">
        <v>17</v>
      </c>
      <c r="B302" s="1" t="s">
        <v>546</v>
      </c>
      <c r="C302" s="1">
        <v>41.7</v>
      </c>
      <c r="D302" s="1" t="e">
        <f t="shared" si="31"/>
        <v>#NAME?</v>
      </c>
      <c r="E302" s="1">
        <v>0.12120300000000001</v>
      </c>
      <c r="F302" s="1">
        <f t="shared" si="32"/>
        <v>0</v>
      </c>
      <c r="G302" s="1">
        <v>6</v>
      </c>
      <c r="H302" s="1">
        <v>7.95</v>
      </c>
    </row>
    <row r="303" spans="1:8">
      <c r="A303" s="1">
        <v>18</v>
      </c>
      <c r="B303" s="1" t="s">
        <v>547</v>
      </c>
      <c r="C303" s="1">
        <v>55.02</v>
      </c>
      <c r="D303" s="1" t="e">
        <f t="shared" si="31"/>
        <v>#NAME?</v>
      </c>
      <c r="E303" s="1">
        <v>0.13653100000000001</v>
      </c>
      <c r="F303" s="1">
        <f t="shared" si="32"/>
        <v>0</v>
      </c>
      <c r="G303" s="1">
        <v>0</v>
      </c>
      <c r="H303" s="1">
        <v>11.15</v>
      </c>
    </row>
    <row r="304" spans="1:8">
      <c r="A304" s="1">
        <v>19</v>
      </c>
      <c r="B304" s="1" t="s">
        <v>548</v>
      </c>
      <c r="C304" s="1">
        <v>63.72</v>
      </c>
      <c r="D304" s="1" t="e">
        <f t="shared" si="31"/>
        <v>#NAME?</v>
      </c>
      <c r="E304" s="1">
        <v>0.18834300000000001</v>
      </c>
      <c r="F304" s="1">
        <f t="shared" si="32"/>
        <v>0</v>
      </c>
      <c r="G304" s="1">
        <v>2</v>
      </c>
      <c r="H304" s="1">
        <v>12.15</v>
      </c>
    </row>
    <row r="305" spans="1:8">
      <c r="A305" s="1">
        <v>20</v>
      </c>
      <c r="B305" s="1" t="s">
        <v>549</v>
      </c>
      <c r="C305" s="1">
        <v>43.57</v>
      </c>
      <c r="D305" s="1" t="e">
        <f t="shared" si="31"/>
        <v>#NAME?</v>
      </c>
      <c r="E305" s="1">
        <v>0.193466</v>
      </c>
      <c r="F305" s="1">
        <f t="shared" si="32"/>
        <v>0</v>
      </c>
      <c r="G305" s="1">
        <v>4</v>
      </c>
      <c r="H305" s="1">
        <v>8.4600000000000009</v>
      </c>
    </row>
    <row r="306" spans="1:8">
      <c r="A306" s="1">
        <v>21</v>
      </c>
      <c r="B306" s="1" t="s">
        <v>550</v>
      </c>
      <c r="C306" s="1">
        <v>39.840000000000003</v>
      </c>
      <c r="D306" s="1" t="e">
        <f t="shared" si="31"/>
        <v>#NAME?</v>
      </c>
      <c r="E306" s="1">
        <v>0.23092599999999999</v>
      </c>
      <c r="F306" s="1">
        <f t="shared" si="32"/>
        <v>0</v>
      </c>
      <c r="G306" s="1">
        <v>0</v>
      </c>
      <c r="H306" s="1">
        <v>7.53</v>
      </c>
    </row>
    <row r="307" spans="1:8">
      <c r="A307" s="1">
        <v>22</v>
      </c>
      <c r="B307" s="1" t="s">
        <v>551</v>
      </c>
      <c r="C307" s="1">
        <v>53.02</v>
      </c>
      <c r="D307" s="1" t="e">
        <f t="shared" si="31"/>
        <v>#NAME?</v>
      </c>
      <c r="E307" s="1">
        <v>0.195882</v>
      </c>
      <c r="F307" s="1">
        <f t="shared" si="32"/>
        <v>0</v>
      </c>
      <c r="G307" s="1">
        <v>28</v>
      </c>
      <c r="H307" s="1">
        <v>10.220000000000001</v>
      </c>
    </row>
    <row r="308" spans="1:8">
      <c r="A308" s="1">
        <v>23</v>
      </c>
      <c r="B308" s="1" t="s">
        <v>552</v>
      </c>
      <c r="C308" s="1">
        <v>50.84</v>
      </c>
      <c r="D308" s="1" t="e">
        <f t="shared" si="31"/>
        <v>#NAME?</v>
      </c>
      <c r="E308" s="1">
        <v>0.149039</v>
      </c>
      <c r="F308" s="1">
        <f t="shared" si="32"/>
        <v>0</v>
      </c>
      <c r="G308" s="1">
        <v>0</v>
      </c>
      <c r="H308" s="1">
        <v>9.9499999999999993</v>
      </c>
    </row>
    <row r="309" spans="1:8">
      <c r="A309" s="1">
        <v>24</v>
      </c>
      <c r="B309" s="1" t="s">
        <v>553</v>
      </c>
      <c r="C309" s="1">
        <v>45.22</v>
      </c>
      <c r="D309" s="1" t="e">
        <f t="shared" si="31"/>
        <v>#NAME?</v>
      </c>
      <c r="E309" s="1">
        <v>0.17910499999999999</v>
      </c>
      <c r="F309" s="1">
        <f t="shared" si="32"/>
        <v>0</v>
      </c>
      <c r="G309" s="1">
        <v>2</v>
      </c>
      <c r="H309" s="1">
        <v>8.7200000000000006</v>
      </c>
    </row>
    <row r="310" spans="1:8">
      <c r="A310" s="1">
        <v>25</v>
      </c>
      <c r="B310" s="1" t="s">
        <v>554</v>
      </c>
      <c r="C310" s="1">
        <v>41.17</v>
      </c>
      <c r="D310" s="1" t="e">
        <f t="shared" si="31"/>
        <v>#NAME?</v>
      </c>
      <c r="E310" s="1">
        <v>0.17644599999999999</v>
      </c>
      <c r="F310" s="1">
        <f t="shared" si="32"/>
        <v>0</v>
      </c>
      <c r="G310" s="1">
        <v>4</v>
      </c>
      <c r="H310" s="1">
        <v>7.91</v>
      </c>
    </row>
    <row r="311" spans="1:8">
      <c r="A311" s="1">
        <v>26</v>
      </c>
      <c r="B311" s="1" t="s">
        <v>555</v>
      </c>
      <c r="C311" s="1">
        <v>42.44</v>
      </c>
      <c r="D311" s="1" t="e">
        <f t="shared" si="31"/>
        <v>#NAME?</v>
      </c>
      <c r="E311" s="1">
        <v>0.202047</v>
      </c>
      <c r="F311" s="1">
        <f t="shared" si="32"/>
        <v>0</v>
      </c>
      <c r="G311" s="1">
        <v>2</v>
      </c>
      <c r="H311" s="1">
        <v>8.16</v>
      </c>
    </row>
    <row r="312" spans="1:8">
      <c r="A312" s="1">
        <v>27</v>
      </c>
      <c r="B312" s="1" t="s">
        <v>556</v>
      </c>
      <c r="C312" s="1">
        <v>39.479999999999997</v>
      </c>
      <c r="D312" s="1" t="e">
        <f t="shared" si="31"/>
        <v>#NAME?</v>
      </c>
      <c r="E312" s="1">
        <v>0.15440799999999999</v>
      </c>
      <c r="F312" s="1">
        <f t="shared" si="32"/>
        <v>0</v>
      </c>
      <c r="G312" s="1">
        <v>4</v>
      </c>
      <c r="H312" s="1">
        <v>7.68</v>
      </c>
    </row>
    <row r="313" spans="1:8">
      <c r="A313" s="1">
        <v>28</v>
      </c>
      <c r="B313" s="1" t="s">
        <v>557</v>
      </c>
      <c r="C313" s="1">
        <v>41.06</v>
      </c>
      <c r="D313" s="1" t="e">
        <f t="shared" si="31"/>
        <v>#NAME?</v>
      </c>
      <c r="E313" s="1">
        <v>0.193054</v>
      </c>
      <c r="F313" s="1">
        <f t="shared" si="32"/>
        <v>0</v>
      </c>
      <c r="G313" s="1">
        <v>4</v>
      </c>
      <c r="H313" s="1">
        <v>7.9</v>
      </c>
    </row>
    <row r="314" spans="1:8">
      <c r="A314" s="1">
        <v>29</v>
      </c>
      <c r="B314" s="1" t="s">
        <v>558</v>
      </c>
      <c r="C314" s="1">
        <v>41.53</v>
      </c>
      <c r="D314" s="1" t="e">
        <f t="shared" si="31"/>
        <v>#NAME?</v>
      </c>
      <c r="E314" s="1">
        <v>0.172787</v>
      </c>
      <c r="F314" s="1">
        <f t="shared" si="32"/>
        <v>0</v>
      </c>
      <c r="G314" s="1">
        <v>4</v>
      </c>
      <c r="H314" s="1">
        <v>8.01</v>
      </c>
    </row>
    <row r="315" spans="1:8">
      <c r="A315" s="1">
        <v>30</v>
      </c>
      <c r="B315" s="1" t="s">
        <v>559</v>
      </c>
      <c r="C315" s="1">
        <v>46.19</v>
      </c>
      <c r="D315" s="1" t="e">
        <f t="shared" si="31"/>
        <v>#NAME?</v>
      </c>
      <c r="E315" s="1">
        <v>0.21005399999999999</v>
      </c>
      <c r="F315" s="1">
        <f t="shared" si="32"/>
        <v>0</v>
      </c>
      <c r="G315" s="1">
        <v>24</v>
      </c>
      <c r="H315" s="1">
        <v>8.8000000000000007</v>
      </c>
    </row>
    <row r="316" spans="1:8">
      <c r="A316" s="1">
        <v>31</v>
      </c>
      <c r="B316" s="1" t="s">
        <v>560</v>
      </c>
      <c r="C316" s="1">
        <v>46.16</v>
      </c>
      <c r="D316" s="1" t="e">
        <f t="shared" si="31"/>
        <v>#NAME?</v>
      </c>
      <c r="E316" s="1">
        <v>0.14086399999999999</v>
      </c>
      <c r="F316" s="1">
        <f t="shared" si="32"/>
        <v>0</v>
      </c>
      <c r="G316" s="1">
        <v>2</v>
      </c>
      <c r="H316" s="1">
        <v>9.5</v>
      </c>
    </row>
    <row r="317" spans="1:8">
      <c r="A317" s="1">
        <v>32</v>
      </c>
      <c r="B317" s="1" t="s">
        <v>561</v>
      </c>
      <c r="C317" s="1">
        <v>45.01</v>
      </c>
      <c r="D317" s="1" t="e">
        <f t="shared" si="31"/>
        <v>#NAME?</v>
      </c>
      <c r="E317" s="1">
        <v>0.15479799999999999</v>
      </c>
      <c r="F317" s="1">
        <f t="shared" si="32"/>
        <v>0</v>
      </c>
      <c r="G317" s="1">
        <v>2</v>
      </c>
      <c r="H317" s="1">
        <v>8.6</v>
      </c>
    </row>
    <row r="318" spans="1:8">
      <c r="A318" s="1">
        <v>33</v>
      </c>
      <c r="B318" s="1" t="s">
        <v>562</v>
      </c>
      <c r="C318" s="1">
        <v>40.54</v>
      </c>
      <c r="D318" s="1" t="e">
        <f t="shared" ref="D318:D335" si="33">-inf</f>
        <v>#NAME?</v>
      </c>
      <c r="E318" s="1">
        <v>0.16408800000000001</v>
      </c>
      <c r="F318" s="1">
        <f t="shared" ref="F318:F335" si="34">0*(10^-6)</f>
        <v>0</v>
      </c>
      <c r="G318" s="1">
        <v>0</v>
      </c>
      <c r="H318" s="1">
        <v>7.73</v>
      </c>
    </row>
    <row r="319" spans="1:8">
      <c r="A319" s="1">
        <v>34</v>
      </c>
      <c r="B319" s="1" t="s">
        <v>563</v>
      </c>
      <c r="C319" s="1">
        <v>35.299999999999997</v>
      </c>
      <c r="D319" s="1" t="e">
        <f t="shared" si="33"/>
        <v>#NAME?</v>
      </c>
      <c r="E319" s="1">
        <v>0.152286</v>
      </c>
      <c r="F319" s="1">
        <f t="shared" si="34"/>
        <v>0</v>
      </c>
      <c r="G319" s="1">
        <v>2</v>
      </c>
      <c r="H319" s="1">
        <v>6.74</v>
      </c>
    </row>
    <row r="320" spans="1:8">
      <c r="A320" s="1">
        <v>35</v>
      </c>
      <c r="B320" s="1" t="s">
        <v>564</v>
      </c>
      <c r="C320" s="1">
        <v>41.5</v>
      </c>
      <c r="D320" s="1" t="e">
        <f t="shared" si="33"/>
        <v>#NAME?</v>
      </c>
      <c r="E320" s="1">
        <v>9.8426E-2</v>
      </c>
      <c r="F320" s="1">
        <f t="shared" si="34"/>
        <v>0</v>
      </c>
      <c r="G320" s="1">
        <v>0</v>
      </c>
      <c r="H320" s="1">
        <v>7.92</v>
      </c>
    </row>
    <row r="321" spans="1:8">
      <c r="A321" s="1">
        <v>36</v>
      </c>
      <c r="B321" s="1" t="s">
        <v>565</v>
      </c>
      <c r="C321" s="1">
        <v>45.4</v>
      </c>
      <c r="D321" s="1" t="e">
        <f t="shared" si="33"/>
        <v>#NAME?</v>
      </c>
      <c r="E321" s="1">
        <v>0.195802</v>
      </c>
      <c r="F321" s="1">
        <f t="shared" si="34"/>
        <v>0</v>
      </c>
      <c r="G321" s="1">
        <v>8</v>
      </c>
      <c r="H321" s="1">
        <v>8.92</v>
      </c>
    </row>
    <row r="322" spans="1:8">
      <c r="A322" s="1">
        <v>37</v>
      </c>
      <c r="B322" s="1" t="s">
        <v>566</v>
      </c>
      <c r="C322" s="1">
        <v>37.43</v>
      </c>
      <c r="D322" s="1" t="e">
        <f t="shared" si="33"/>
        <v>#NAME?</v>
      </c>
      <c r="E322" s="1">
        <v>0.155524</v>
      </c>
      <c r="F322" s="1">
        <f t="shared" si="34"/>
        <v>0</v>
      </c>
      <c r="G322" s="1">
        <v>30</v>
      </c>
      <c r="H322" s="1">
        <v>7.3</v>
      </c>
    </row>
    <row r="323" spans="1:8">
      <c r="A323" s="1">
        <v>38</v>
      </c>
      <c r="B323" s="1" t="s">
        <v>567</v>
      </c>
      <c r="C323" s="1">
        <v>47.89</v>
      </c>
      <c r="D323" s="1" t="e">
        <f t="shared" si="33"/>
        <v>#NAME?</v>
      </c>
      <c r="E323" s="1">
        <v>0.19778599999999999</v>
      </c>
      <c r="F323" s="1">
        <f t="shared" si="34"/>
        <v>0</v>
      </c>
      <c r="G323" s="1">
        <v>0</v>
      </c>
      <c r="H323" s="1">
        <v>9.14</v>
      </c>
    </row>
    <row r="324" spans="1:8">
      <c r="A324" s="1">
        <v>39</v>
      </c>
      <c r="B324" s="1" t="s">
        <v>568</v>
      </c>
      <c r="C324" s="1">
        <v>41.25</v>
      </c>
      <c r="D324" s="1" t="e">
        <f t="shared" si="33"/>
        <v>#NAME?</v>
      </c>
      <c r="E324" s="1">
        <v>0.17673800000000001</v>
      </c>
      <c r="F324" s="1">
        <f t="shared" si="34"/>
        <v>0</v>
      </c>
      <c r="G324" s="1">
        <v>10</v>
      </c>
      <c r="H324" s="1">
        <v>7.87</v>
      </c>
    </row>
    <row r="325" spans="1:8">
      <c r="A325" s="1">
        <v>40</v>
      </c>
      <c r="B325" s="1" t="s">
        <v>569</v>
      </c>
      <c r="C325" s="1">
        <v>43.87</v>
      </c>
      <c r="D325" s="1" t="e">
        <f t="shared" si="33"/>
        <v>#NAME?</v>
      </c>
      <c r="E325" s="1">
        <v>0.20882200000000001</v>
      </c>
      <c r="F325" s="1">
        <f t="shared" si="34"/>
        <v>0</v>
      </c>
      <c r="G325" s="1">
        <v>2</v>
      </c>
      <c r="H325" s="1">
        <v>8.41</v>
      </c>
    </row>
    <row r="326" spans="1:8">
      <c r="A326" s="1">
        <v>41</v>
      </c>
      <c r="B326" s="1" t="s">
        <v>570</v>
      </c>
      <c r="C326" s="1">
        <v>46.89</v>
      </c>
      <c r="D326" s="1" t="e">
        <f t="shared" si="33"/>
        <v>#NAME?</v>
      </c>
      <c r="E326" s="1">
        <v>0.19556699999999999</v>
      </c>
      <c r="F326" s="1">
        <f t="shared" si="34"/>
        <v>0</v>
      </c>
      <c r="G326" s="1">
        <v>0</v>
      </c>
      <c r="H326" s="1">
        <v>8.9600000000000009</v>
      </c>
    </row>
    <row r="327" spans="1:8">
      <c r="A327" s="1">
        <v>42</v>
      </c>
      <c r="B327" s="1" t="s">
        <v>571</v>
      </c>
      <c r="C327" s="1">
        <v>46.55</v>
      </c>
      <c r="D327" s="1" t="e">
        <f t="shared" si="33"/>
        <v>#NAME?</v>
      </c>
      <c r="E327" s="1">
        <v>0.17627499999999999</v>
      </c>
      <c r="F327" s="1">
        <f t="shared" si="34"/>
        <v>0</v>
      </c>
      <c r="G327" s="1">
        <v>22</v>
      </c>
      <c r="H327" s="1">
        <v>9.1300000000000008</v>
      </c>
    </row>
    <row r="328" spans="1:8">
      <c r="A328" s="1">
        <v>43</v>
      </c>
      <c r="B328" s="1" t="s">
        <v>572</v>
      </c>
      <c r="C328" s="1">
        <v>38.229999999999997</v>
      </c>
      <c r="D328" s="1" t="e">
        <f t="shared" si="33"/>
        <v>#NAME?</v>
      </c>
      <c r="E328" s="1">
        <v>0.21231800000000001</v>
      </c>
      <c r="F328" s="1">
        <f t="shared" si="34"/>
        <v>0</v>
      </c>
      <c r="G328" s="1">
        <v>0</v>
      </c>
      <c r="H328" s="1">
        <v>7.36</v>
      </c>
    </row>
    <row r="329" spans="1:8">
      <c r="A329" s="1">
        <v>44</v>
      </c>
      <c r="B329" s="1" t="s">
        <v>573</v>
      </c>
      <c r="C329" s="1">
        <v>51.72</v>
      </c>
      <c r="D329" s="1" t="e">
        <f t="shared" si="33"/>
        <v>#NAME?</v>
      </c>
      <c r="E329" s="1">
        <v>0.16794400000000001</v>
      </c>
      <c r="F329" s="1">
        <f t="shared" si="34"/>
        <v>0</v>
      </c>
      <c r="G329" s="1">
        <v>8</v>
      </c>
      <c r="H329" s="1">
        <v>9.86</v>
      </c>
    </row>
    <row r="330" spans="1:8">
      <c r="A330" s="1">
        <v>45</v>
      </c>
      <c r="B330" s="1" t="s">
        <v>574</v>
      </c>
      <c r="C330" s="1">
        <v>35.24</v>
      </c>
      <c r="D330" s="1" t="e">
        <f t="shared" si="33"/>
        <v>#NAME?</v>
      </c>
      <c r="E330" s="1">
        <v>0.20354800000000001</v>
      </c>
      <c r="F330" s="1">
        <f t="shared" si="34"/>
        <v>0</v>
      </c>
      <c r="G330" s="1">
        <v>2</v>
      </c>
      <c r="H330" s="1">
        <v>6.76</v>
      </c>
    </row>
    <row r="331" spans="1:8">
      <c r="A331" s="1">
        <v>46</v>
      </c>
      <c r="B331" s="1" t="s">
        <v>575</v>
      </c>
      <c r="C331" s="1">
        <v>42.82</v>
      </c>
      <c r="D331" s="1" t="e">
        <f t="shared" si="33"/>
        <v>#NAME?</v>
      </c>
      <c r="E331" s="1">
        <v>0.194745</v>
      </c>
      <c r="F331" s="1">
        <f t="shared" si="34"/>
        <v>0</v>
      </c>
      <c r="G331" s="1">
        <v>0</v>
      </c>
      <c r="H331" s="1">
        <v>8.18</v>
      </c>
    </row>
    <row r="332" spans="1:8">
      <c r="A332" s="1">
        <v>47</v>
      </c>
      <c r="B332" s="1" t="s">
        <v>576</v>
      </c>
      <c r="C332" s="1">
        <v>34.520000000000003</v>
      </c>
      <c r="D332" s="1" t="e">
        <f t="shared" si="33"/>
        <v>#NAME?</v>
      </c>
      <c r="E332" s="1">
        <v>0.19717899999999999</v>
      </c>
      <c r="F332" s="1">
        <f t="shared" si="34"/>
        <v>0</v>
      </c>
      <c r="G332" s="1">
        <v>4</v>
      </c>
      <c r="H332" s="1">
        <v>6.69</v>
      </c>
    </row>
    <row r="333" spans="1:8">
      <c r="A333" s="1">
        <v>48</v>
      </c>
      <c r="B333" s="1" t="s">
        <v>577</v>
      </c>
      <c r="C333" s="1">
        <v>49.04</v>
      </c>
      <c r="D333" s="1" t="e">
        <f t="shared" si="33"/>
        <v>#NAME?</v>
      </c>
      <c r="E333" s="1">
        <v>0.144207</v>
      </c>
      <c r="F333" s="1">
        <f t="shared" si="34"/>
        <v>0</v>
      </c>
      <c r="G333" s="1">
        <v>18</v>
      </c>
      <c r="H333" s="1">
        <v>10.16</v>
      </c>
    </row>
    <row r="334" spans="1:8">
      <c r="A334" s="1">
        <v>49</v>
      </c>
      <c r="B334" s="1" t="s">
        <v>578</v>
      </c>
      <c r="C334" s="1">
        <v>47.49</v>
      </c>
      <c r="D334" s="1" t="e">
        <f t="shared" si="33"/>
        <v>#NAME?</v>
      </c>
      <c r="E334" s="1">
        <v>0.14977699999999999</v>
      </c>
      <c r="F334" s="1">
        <f t="shared" si="34"/>
        <v>0</v>
      </c>
      <c r="G334" s="1">
        <v>4</v>
      </c>
      <c r="H334" s="1">
        <v>9.31</v>
      </c>
    </row>
    <row r="335" spans="1:8">
      <c r="A335" s="1">
        <v>50</v>
      </c>
      <c r="B335" s="1" t="s">
        <v>579</v>
      </c>
      <c r="C335" s="1">
        <v>35.04</v>
      </c>
      <c r="D335" s="1" t="e">
        <f t="shared" si="33"/>
        <v>#NAME?</v>
      </c>
      <c r="E335" s="1">
        <v>0.154945</v>
      </c>
      <c r="F335" s="1">
        <f t="shared" si="34"/>
        <v>0</v>
      </c>
      <c r="G335" s="1">
        <v>16</v>
      </c>
      <c r="H335" s="1">
        <v>6.69</v>
      </c>
    </row>
    <row r="336" spans="1:8">
      <c r="B336" s="1" t="s">
        <v>19</v>
      </c>
      <c r="C336" s="1">
        <f>AVERAGE(C286:C335)</f>
        <v>44.018799999999999</v>
      </c>
      <c r="D336" s="1" t="e">
        <f t="shared" ref="D336:F336" si="35">AVERAGE(D286:D335)</f>
        <v>#NAME?</v>
      </c>
      <c r="E336" s="1">
        <f t="shared" si="35"/>
        <v>0.17319003999999999</v>
      </c>
      <c r="F336" s="1">
        <f t="shared" si="35"/>
        <v>0</v>
      </c>
      <c r="H336" s="1">
        <f t="shared" ref="H336" si="36">AVERAGE(H286:H335)</f>
        <v>8.4960000000000022</v>
      </c>
    </row>
    <row r="337" spans="1:8">
      <c r="B337" s="1" t="s">
        <v>20</v>
      </c>
      <c r="C337" s="1">
        <f>MIN(C285:C335)</f>
        <v>34.520000000000003</v>
      </c>
      <c r="D337" s="1" t="e">
        <f t="shared" ref="D337:F337" si="37">MIN(D285:D335)</f>
        <v>#NAME?</v>
      </c>
      <c r="E337" s="1">
        <f t="shared" si="37"/>
        <v>9.8426E-2</v>
      </c>
      <c r="F337" s="1">
        <f t="shared" si="37"/>
        <v>0</v>
      </c>
      <c r="H337" s="1">
        <f t="shared" ref="H337" si="38">MIN(H285:H335)</f>
        <v>6.69</v>
      </c>
    </row>
    <row r="338" spans="1:8">
      <c r="B338" s="1" t="s">
        <v>3</v>
      </c>
      <c r="C338" s="1">
        <f>STDEV(C286:C335)</f>
        <v>6.2837213204162214</v>
      </c>
      <c r="D338" s="1" t="e">
        <f t="shared" ref="D338:E338" si="39">STDEV(D286:D335)</f>
        <v>#NAME?</v>
      </c>
      <c r="E338" s="1">
        <f t="shared" si="39"/>
        <v>2.8623464451789482E-2</v>
      </c>
      <c r="F338" s="1">
        <f>STDEV(F286:F335)</f>
        <v>0</v>
      </c>
      <c r="H338" s="1">
        <f>STDEV(H286:H335)</f>
        <v>1.2569171875372291</v>
      </c>
    </row>
    <row r="340" spans="1:8">
      <c r="H340" s="2" t="s">
        <v>1435</v>
      </c>
    </row>
    <row r="341" spans="1:8" ht="18">
      <c r="A341" s="2" t="s">
        <v>7</v>
      </c>
      <c r="B341" s="3" t="s">
        <v>6</v>
      </c>
      <c r="C341" s="2" t="s">
        <v>4</v>
      </c>
      <c r="D341" s="2" t="s">
        <v>322</v>
      </c>
      <c r="E341" s="2" t="s">
        <v>321</v>
      </c>
      <c r="F341" s="2" t="s">
        <v>324</v>
      </c>
      <c r="G341" s="2" t="s">
        <v>323</v>
      </c>
      <c r="H341" s="2" t="s">
        <v>1436</v>
      </c>
    </row>
    <row r="342" spans="1:8">
      <c r="A342" s="1">
        <v>1</v>
      </c>
      <c r="B342" s="1" t="s">
        <v>1284</v>
      </c>
      <c r="C342" s="1">
        <v>43.11</v>
      </c>
      <c r="D342" s="1" t="e">
        <f t="shared" ref="D342:D373" si="40">-inf</f>
        <v>#NAME?</v>
      </c>
      <c r="E342" s="1">
        <v>0.14402100000000001</v>
      </c>
      <c r="F342" s="1">
        <v>0</v>
      </c>
      <c r="G342" s="1">
        <v>0</v>
      </c>
      <c r="H342" s="1">
        <v>8.5500000000000007</v>
      </c>
    </row>
    <row r="343" spans="1:8">
      <c r="A343" s="1">
        <v>2</v>
      </c>
      <c r="B343" s="1" t="s">
        <v>1285</v>
      </c>
      <c r="C343" s="1">
        <v>45.08</v>
      </c>
      <c r="D343" s="1" t="e">
        <f t="shared" si="40"/>
        <v>#NAME?</v>
      </c>
      <c r="E343" s="1">
        <v>0.15143499999999999</v>
      </c>
      <c r="F343" s="1">
        <v>0</v>
      </c>
      <c r="G343" s="1">
        <v>8</v>
      </c>
      <c r="H343" s="1">
        <v>8.91</v>
      </c>
    </row>
    <row r="344" spans="1:8">
      <c r="A344" s="1">
        <v>3</v>
      </c>
      <c r="B344" s="1" t="s">
        <v>1286</v>
      </c>
      <c r="C344" s="1">
        <v>49.48</v>
      </c>
      <c r="D344" s="1" t="e">
        <f t="shared" si="40"/>
        <v>#NAME?</v>
      </c>
      <c r="E344" s="1">
        <v>0.17629500000000001</v>
      </c>
      <c r="F344" s="1">
        <v>0</v>
      </c>
      <c r="G344" s="1">
        <v>2</v>
      </c>
      <c r="H344" s="1">
        <v>9.51</v>
      </c>
    </row>
    <row r="345" spans="1:8">
      <c r="A345" s="1">
        <v>4</v>
      </c>
      <c r="B345" s="1" t="s">
        <v>1287</v>
      </c>
      <c r="C345" s="1">
        <v>40.99</v>
      </c>
      <c r="D345" s="1" t="e">
        <f t="shared" si="40"/>
        <v>#NAME?</v>
      </c>
      <c r="E345" s="1">
        <v>0.138269</v>
      </c>
      <c r="F345" s="1">
        <v>0</v>
      </c>
      <c r="G345" s="1">
        <v>4</v>
      </c>
      <c r="H345" s="1">
        <v>7.87</v>
      </c>
    </row>
    <row r="346" spans="1:8">
      <c r="A346" s="1">
        <v>5</v>
      </c>
      <c r="B346" s="1" t="s">
        <v>1288</v>
      </c>
      <c r="C346" s="1">
        <v>54.26</v>
      </c>
      <c r="D346" s="1" t="e">
        <f t="shared" si="40"/>
        <v>#NAME?</v>
      </c>
      <c r="E346" s="1">
        <v>0.14934600000000001</v>
      </c>
      <c r="F346" s="1">
        <v>0</v>
      </c>
      <c r="G346" s="1">
        <v>12</v>
      </c>
      <c r="H346" s="1">
        <v>10.4</v>
      </c>
    </row>
    <row r="347" spans="1:8">
      <c r="A347" s="1">
        <v>6</v>
      </c>
      <c r="B347" s="1" t="s">
        <v>1289</v>
      </c>
      <c r="C347" s="1">
        <v>48.58</v>
      </c>
      <c r="D347" s="1" t="e">
        <f t="shared" si="40"/>
        <v>#NAME?</v>
      </c>
      <c r="E347" s="1">
        <v>0.14718600000000001</v>
      </c>
      <c r="F347" s="1">
        <v>0</v>
      </c>
      <c r="G347" s="1">
        <v>8</v>
      </c>
      <c r="H347" s="1">
        <v>9.2899999999999991</v>
      </c>
    </row>
    <row r="348" spans="1:8">
      <c r="A348" s="1">
        <v>7</v>
      </c>
      <c r="B348" s="1" t="s">
        <v>1290</v>
      </c>
      <c r="C348" s="1">
        <v>34.020000000000003</v>
      </c>
      <c r="D348" s="1" t="e">
        <f t="shared" si="40"/>
        <v>#NAME?</v>
      </c>
      <c r="E348" s="1">
        <v>0.140876</v>
      </c>
      <c r="F348" s="1">
        <v>0</v>
      </c>
      <c r="G348" s="1">
        <v>0</v>
      </c>
      <c r="H348" s="1">
        <v>6.49</v>
      </c>
    </row>
    <row r="349" spans="1:8">
      <c r="A349" s="1">
        <v>8</v>
      </c>
      <c r="B349" s="1" t="s">
        <v>1291</v>
      </c>
      <c r="C349" s="1">
        <v>38.54</v>
      </c>
      <c r="D349" s="1" t="e">
        <f t="shared" si="40"/>
        <v>#NAME?</v>
      </c>
      <c r="E349" s="1">
        <v>0.19114900000000001</v>
      </c>
      <c r="F349" s="1">
        <v>0</v>
      </c>
      <c r="G349" s="1">
        <v>4</v>
      </c>
      <c r="H349" s="1">
        <v>7.36</v>
      </c>
    </row>
    <row r="350" spans="1:8">
      <c r="A350" s="1">
        <v>9</v>
      </c>
      <c r="B350" s="1" t="s">
        <v>1292</v>
      </c>
      <c r="C350" s="1">
        <v>35.630000000000003</v>
      </c>
      <c r="D350" s="1" t="e">
        <f t="shared" si="40"/>
        <v>#NAME?</v>
      </c>
      <c r="E350" s="1">
        <v>0.100996</v>
      </c>
      <c r="F350" s="1">
        <v>0</v>
      </c>
      <c r="G350" s="1">
        <v>4</v>
      </c>
      <c r="H350" s="1">
        <v>6.79</v>
      </c>
    </row>
    <row r="351" spans="1:8">
      <c r="A351" s="1">
        <v>10</v>
      </c>
      <c r="B351" s="1" t="s">
        <v>1293</v>
      </c>
      <c r="C351" s="1">
        <v>29.83</v>
      </c>
      <c r="D351" s="1" t="e">
        <f t="shared" si="40"/>
        <v>#NAME?</v>
      </c>
      <c r="E351" s="1">
        <v>0.137487</v>
      </c>
      <c r="F351" s="1">
        <v>0</v>
      </c>
      <c r="G351" s="1">
        <v>4</v>
      </c>
      <c r="H351" s="1">
        <v>5.82</v>
      </c>
    </row>
    <row r="352" spans="1:8">
      <c r="A352" s="1">
        <v>11</v>
      </c>
      <c r="B352" s="1" t="s">
        <v>1294</v>
      </c>
      <c r="C352" s="1">
        <v>36.56</v>
      </c>
      <c r="D352" s="1" t="e">
        <f t="shared" si="40"/>
        <v>#NAME?</v>
      </c>
      <c r="E352" s="1">
        <v>0.13359499999999999</v>
      </c>
      <c r="F352" s="1">
        <v>0</v>
      </c>
      <c r="G352" s="1">
        <v>2</v>
      </c>
      <c r="H352" s="1">
        <v>6.97</v>
      </c>
    </row>
    <row r="353" spans="1:8">
      <c r="A353" s="1">
        <v>12</v>
      </c>
      <c r="B353" s="1" t="s">
        <v>1295</v>
      </c>
      <c r="C353" s="1">
        <v>35.21</v>
      </c>
      <c r="D353" s="1" t="e">
        <f t="shared" si="40"/>
        <v>#NAME?</v>
      </c>
      <c r="E353" s="1">
        <v>0.17247899999999999</v>
      </c>
      <c r="F353" s="1">
        <v>0</v>
      </c>
      <c r="G353" s="1">
        <v>30</v>
      </c>
      <c r="H353" s="1">
        <v>6.8</v>
      </c>
    </row>
    <row r="354" spans="1:8">
      <c r="A354" s="1">
        <v>13</v>
      </c>
      <c r="B354" s="1" t="s">
        <v>1296</v>
      </c>
      <c r="C354" s="1">
        <v>41.79</v>
      </c>
      <c r="D354" s="1" t="e">
        <f t="shared" si="40"/>
        <v>#NAME?</v>
      </c>
      <c r="E354" s="1">
        <v>0.204573</v>
      </c>
      <c r="F354" s="1">
        <v>0</v>
      </c>
      <c r="G354" s="1">
        <v>16</v>
      </c>
      <c r="H354" s="1">
        <v>7.99</v>
      </c>
    </row>
    <row r="355" spans="1:8">
      <c r="A355" s="1">
        <v>14</v>
      </c>
      <c r="B355" s="1" t="s">
        <v>1297</v>
      </c>
      <c r="C355" s="1">
        <v>57.91</v>
      </c>
      <c r="D355" s="1" t="e">
        <f t="shared" si="40"/>
        <v>#NAME?</v>
      </c>
      <c r="E355" s="1">
        <v>0.168494</v>
      </c>
      <c r="F355" s="1">
        <v>0</v>
      </c>
      <c r="G355" s="1">
        <v>0</v>
      </c>
      <c r="H355" s="1">
        <v>11.2</v>
      </c>
    </row>
    <row r="356" spans="1:8">
      <c r="A356" s="1">
        <v>15</v>
      </c>
      <c r="B356" s="1" t="s">
        <v>1298</v>
      </c>
      <c r="C356" s="1">
        <v>37.78</v>
      </c>
      <c r="D356" s="1" t="e">
        <f t="shared" si="40"/>
        <v>#NAME?</v>
      </c>
      <c r="E356" s="1">
        <v>0.15240999999999999</v>
      </c>
      <c r="F356" s="1">
        <v>0</v>
      </c>
      <c r="G356" s="1">
        <v>12</v>
      </c>
      <c r="H356" s="1">
        <v>7.36</v>
      </c>
    </row>
    <row r="357" spans="1:8">
      <c r="A357" s="1">
        <v>16</v>
      </c>
      <c r="B357" s="1" t="s">
        <v>1299</v>
      </c>
      <c r="C357" s="1">
        <v>34.94</v>
      </c>
      <c r="D357" s="1" t="e">
        <f t="shared" si="40"/>
        <v>#NAME?</v>
      </c>
      <c r="E357" s="1">
        <v>0.17463000000000001</v>
      </c>
      <c r="F357" s="1">
        <v>0</v>
      </c>
      <c r="G357" s="1">
        <v>0</v>
      </c>
      <c r="H357" s="1">
        <v>6.85</v>
      </c>
    </row>
    <row r="358" spans="1:8">
      <c r="A358" s="1">
        <v>17</v>
      </c>
      <c r="B358" s="1" t="s">
        <v>1300</v>
      </c>
      <c r="C358" s="1">
        <v>39.28</v>
      </c>
      <c r="D358" s="1" t="e">
        <f t="shared" si="40"/>
        <v>#NAME?</v>
      </c>
      <c r="E358" s="1">
        <v>0.124306</v>
      </c>
      <c r="F358" s="1">
        <v>0</v>
      </c>
      <c r="G358" s="1">
        <v>2</v>
      </c>
      <c r="H358" s="1">
        <v>7.49</v>
      </c>
    </row>
    <row r="359" spans="1:8">
      <c r="A359" s="1">
        <v>18</v>
      </c>
      <c r="B359" s="1" t="s">
        <v>1301</v>
      </c>
      <c r="C359" s="1">
        <v>36.19</v>
      </c>
      <c r="D359" s="1" t="e">
        <f t="shared" si="40"/>
        <v>#NAME?</v>
      </c>
      <c r="E359" s="1">
        <v>0.19736400000000001</v>
      </c>
      <c r="F359" s="1">
        <v>0</v>
      </c>
      <c r="G359" s="1">
        <v>2</v>
      </c>
      <c r="H359" s="1">
        <v>6.93</v>
      </c>
    </row>
    <row r="360" spans="1:8">
      <c r="A360" s="1">
        <v>19</v>
      </c>
      <c r="B360" s="1" t="s">
        <v>1302</v>
      </c>
      <c r="C360" s="1">
        <v>28.42</v>
      </c>
      <c r="D360" s="1" t="e">
        <f t="shared" si="40"/>
        <v>#NAME?</v>
      </c>
      <c r="E360" s="1">
        <v>0.190863</v>
      </c>
      <c r="F360" s="1">
        <v>0</v>
      </c>
      <c r="G360" s="1">
        <v>0</v>
      </c>
      <c r="H360" s="1">
        <v>5.41</v>
      </c>
    </row>
    <row r="361" spans="1:8">
      <c r="A361" s="1">
        <v>20</v>
      </c>
      <c r="B361" s="1" t="s">
        <v>1303</v>
      </c>
      <c r="C361" s="1">
        <v>45.32</v>
      </c>
      <c r="D361" s="1" t="e">
        <f t="shared" si="40"/>
        <v>#NAME?</v>
      </c>
      <c r="E361" s="1">
        <v>0.150644</v>
      </c>
      <c r="F361" s="1">
        <v>0</v>
      </c>
      <c r="G361" s="1">
        <v>16</v>
      </c>
      <c r="H361" s="1">
        <v>8.8699999999999992</v>
      </c>
    </row>
    <row r="362" spans="1:8">
      <c r="A362" s="1">
        <v>21</v>
      </c>
      <c r="B362" s="1" t="s">
        <v>1304</v>
      </c>
      <c r="C362" s="1">
        <v>38.07</v>
      </c>
      <c r="D362" s="1" t="e">
        <f t="shared" si="40"/>
        <v>#NAME?</v>
      </c>
      <c r="E362" s="1">
        <v>0.127609</v>
      </c>
      <c r="F362" s="1">
        <v>0</v>
      </c>
      <c r="G362" s="1">
        <v>4</v>
      </c>
      <c r="H362" s="1">
        <v>7.42</v>
      </c>
    </row>
    <row r="363" spans="1:8">
      <c r="A363" s="1">
        <v>22</v>
      </c>
      <c r="B363" s="1" t="s">
        <v>1305</v>
      </c>
      <c r="C363" s="1">
        <v>34.94</v>
      </c>
      <c r="D363" s="1" t="e">
        <f t="shared" si="40"/>
        <v>#NAME?</v>
      </c>
      <c r="E363" s="1">
        <v>0.107724</v>
      </c>
      <c r="F363" s="1">
        <v>0</v>
      </c>
      <c r="G363" s="1">
        <v>0</v>
      </c>
      <c r="H363" s="1">
        <v>6.67</v>
      </c>
    </row>
    <row r="364" spans="1:8">
      <c r="A364" s="1">
        <v>23</v>
      </c>
      <c r="B364" s="1" t="s">
        <v>1306</v>
      </c>
      <c r="C364" s="1">
        <v>42.35</v>
      </c>
      <c r="D364" s="1" t="e">
        <f t="shared" si="40"/>
        <v>#NAME?</v>
      </c>
      <c r="E364" s="1">
        <v>0.170822</v>
      </c>
      <c r="F364" s="1">
        <v>0</v>
      </c>
      <c r="G364" s="1">
        <v>0</v>
      </c>
      <c r="H364" s="1">
        <v>8.06</v>
      </c>
    </row>
    <row r="365" spans="1:8">
      <c r="A365" s="1">
        <v>24</v>
      </c>
      <c r="B365" s="1" t="s">
        <v>1307</v>
      </c>
      <c r="C365" s="1">
        <v>46.75</v>
      </c>
      <c r="D365" s="1" t="e">
        <f t="shared" si="40"/>
        <v>#NAME?</v>
      </c>
      <c r="E365" s="1">
        <v>0.15987299999999999</v>
      </c>
      <c r="F365" s="1">
        <v>0</v>
      </c>
      <c r="G365" s="1">
        <v>2</v>
      </c>
      <c r="H365" s="1">
        <v>9.19</v>
      </c>
    </row>
    <row r="366" spans="1:8">
      <c r="A366" s="1">
        <v>25</v>
      </c>
      <c r="B366" s="1" t="s">
        <v>1308</v>
      </c>
      <c r="C366" s="1">
        <v>30.37</v>
      </c>
      <c r="D366" s="1" t="e">
        <f t="shared" si="40"/>
        <v>#NAME?</v>
      </c>
      <c r="E366" s="1">
        <v>0.161331</v>
      </c>
      <c r="F366" s="1">
        <v>0</v>
      </c>
      <c r="G366" s="1">
        <v>2</v>
      </c>
      <c r="H366" s="1">
        <v>5.79</v>
      </c>
    </row>
    <row r="367" spans="1:8">
      <c r="A367" s="1">
        <v>26</v>
      </c>
      <c r="B367" s="1" t="s">
        <v>1309</v>
      </c>
      <c r="C367" s="1">
        <v>39.51</v>
      </c>
      <c r="D367" s="1" t="e">
        <f t="shared" si="40"/>
        <v>#NAME?</v>
      </c>
      <c r="E367" s="1">
        <v>0.20852799999999999</v>
      </c>
      <c r="F367" s="1">
        <v>0</v>
      </c>
      <c r="G367" s="1">
        <v>0</v>
      </c>
      <c r="H367" s="1">
        <v>7.55</v>
      </c>
    </row>
    <row r="368" spans="1:8">
      <c r="A368" s="1">
        <v>27</v>
      </c>
      <c r="B368" s="1" t="s">
        <v>1310</v>
      </c>
      <c r="C368" s="1">
        <v>38.69</v>
      </c>
      <c r="D368" s="1" t="e">
        <f t="shared" si="40"/>
        <v>#NAME?</v>
      </c>
      <c r="E368" s="1">
        <v>0.14053499999999999</v>
      </c>
      <c r="F368" s="1">
        <v>0</v>
      </c>
      <c r="G368" s="1">
        <v>2</v>
      </c>
      <c r="H368" s="1">
        <v>7.4</v>
      </c>
    </row>
    <row r="369" spans="1:8">
      <c r="A369" s="1">
        <v>28</v>
      </c>
      <c r="B369" s="1" t="s">
        <v>1311</v>
      </c>
      <c r="C369" s="1">
        <v>33.340000000000003</v>
      </c>
      <c r="D369" s="1" t="e">
        <f t="shared" si="40"/>
        <v>#NAME?</v>
      </c>
      <c r="E369" s="1">
        <v>0.182864</v>
      </c>
      <c r="F369" s="1">
        <v>0</v>
      </c>
      <c r="G369" s="1">
        <v>4</v>
      </c>
      <c r="H369" s="1">
        <v>6.36</v>
      </c>
    </row>
    <row r="370" spans="1:8">
      <c r="A370" s="1">
        <v>29</v>
      </c>
      <c r="B370" s="1" t="s">
        <v>1312</v>
      </c>
      <c r="C370" s="1">
        <v>48.35</v>
      </c>
      <c r="D370" s="1" t="e">
        <f t="shared" si="40"/>
        <v>#NAME?</v>
      </c>
      <c r="E370" s="1">
        <v>0.15476100000000001</v>
      </c>
      <c r="F370" s="1">
        <v>0</v>
      </c>
      <c r="G370" s="1">
        <v>8</v>
      </c>
      <c r="H370" s="1">
        <v>9.3699999999999992</v>
      </c>
    </row>
    <row r="371" spans="1:8">
      <c r="A371" s="1">
        <v>30</v>
      </c>
      <c r="B371" s="1" t="s">
        <v>1313</v>
      </c>
      <c r="C371" s="1">
        <v>32.25</v>
      </c>
      <c r="D371" s="1" t="e">
        <f t="shared" si="40"/>
        <v>#NAME?</v>
      </c>
      <c r="E371" s="1">
        <v>0.202595</v>
      </c>
      <c r="F371" s="1">
        <v>0</v>
      </c>
      <c r="G371" s="1">
        <v>24</v>
      </c>
      <c r="H371" s="1">
        <v>6.16</v>
      </c>
    </row>
    <row r="372" spans="1:8">
      <c r="A372" s="1">
        <v>31</v>
      </c>
      <c r="B372" s="1" t="s">
        <v>1314</v>
      </c>
      <c r="C372" s="1">
        <v>42.59</v>
      </c>
      <c r="D372" s="1" t="e">
        <f t="shared" si="40"/>
        <v>#NAME?</v>
      </c>
      <c r="E372" s="1">
        <v>0.14401</v>
      </c>
      <c r="F372" s="1">
        <v>0</v>
      </c>
      <c r="G372" s="1">
        <v>0</v>
      </c>
      <c r="H372" s="1">
        <v>8.18</v>
      </c>
    </row>
    <row r="373" spans="1:8">
      <c r="A373" s="1">
        <v>32</v>
      </c>
      <c r="B373" s="1" t="s">
        <v>1315</v>
      </c>
      <c r="C373" s="1">
        <v>37.4</v>
      </c>
      <c r="D373" s="1" t="e">
        <f t="shared" si="40"/>
        <v>#NAME?</v>
      </c>
      <c r="E373" s="1">
        <v>0.19455600000000001</v>
      </c>
      <c r="F373" s="1">
        <v>0</v>
      </c>
      <c r="G373" s="1">
        <v>4</v>
      </c>
      <c r="H373" s="1">
        <v>7.15</v>
      </c>
    </row>
    <row r="374" spans="1:8">
      <c r="A374" s="1">
        <v>33</v>
      </c>
      <c r="B374" s="1" t="s">
        <v>1316</v>
      </c>
      <c r="C374" s="1">
        <v>45.62</v>
      </c>
      <c r="D374" s="1" t="e">
        <f t="shared" ref="D374:D391" si="41">-inf</f>
        <v>#NAME?</v>
      </c>
      <c r="E374" s="1">
        <v>0.17943600000000001</v>
      </c>
      <c r="F374" s="1">
        <v>0</v>
      </c>
      <c r="G374" s="1">
        <v>2</v>
      </c>
      <c r="H374" s="1">
        <v>8.6999999999999993</v>
      </c>
    </row>
    <row r="375" spans="1:8">
      <c r="A375" s="1">
        <v>34</v>
      </c>
      <c r="B375" s="1" t="s">
        <v>1317</v>
      </c>
      <c r="C375" s="1">
        <v>38</v>
      </c>
      <c r="D375" s="1" t="e">
        <f t="shared" si="41"/>
        <v>#NAME?</v>
      </c>
      <c r="E375" s="1">
        <v>0.157111</v>
      </c>
      <c r="F375" s="1">
        <v>0</v>
      </c>
      <c r="G375" s="1">
        <v>8</v>
      </c>
      <c r="H375" s="1">
        <v>7.25</v>
      </c>
    </row>
    <row r="376" spans="1:8">
      <c r="A376" s="1">
        <v>35</v>
      </c>
      <c r="B376" s="1" t="s">
        <v>1318</v>
      </c>
      <c r="C376" s="1">
        <v>38.770000000000003</v>
      </c>
      <c r="D376" s="1" t="e">
        <f t="shared" si="41"/>
        <v>#NAME?</v>
      </c>
      <c r="E376" s="1">
        <v>0.15500700000000001</v>
      </c>
      <c r="F376" s="1">
        <v>0</v>
      </c>
      <c r="G376" s="1">
        <v>4</v>
      </c>
      <c r="H376" s="1">
        <v>7.46</v>
      </c>
    </row>
    <row r="377" spans="1:8">
      <c r="A377" s="1">
        <v>36</v>
      </c>
      <c r="B377" s="1" t="s">
        <v>1319</v>
      </c>
      <c r="C377" s="1">
        <v>43.97</v>
      </c>
      <c r="D377" s="1" t="e">
        <f t="shared" si="41"/>
        <v>#NAME?</v>
      </c>
      <c r="E377" s="1">
        <v>0.192912</v>
      </c>
      <c r="F377" s="1">
        <v>0</v>
      </c>
      <c r="G377" s="1">
        <v>8</v>
      </c>
      <c r="H377" s="1">
        <v>8.43</v>
      </c>
    </row>
    <row r="378" spans="1:8">
      <c r="A378" s="1">
        <v>37</v>
      </c>
      <c r="B378" s="1" t="s">
        <v>1320</v>
      </c>
      <c r="C378" s="1">
        <v>35.89</v>
      </c>
      <c r="D378" s="1" t="e">
        <f t="shared" si="41"/>
        <v>#NAME?</v>
      </c>
      <c r="E378" s="1">
        <v>0.19304499999999999</v>
      </c>
      <c r="F378" s="1">
        <v>0</v>
      </c>
      <c r="G378" s="1">
        <v>0</v>
      </c>
      <c r="H378" s="1">
        <v>6.89</v>
      </c>
    </row>
    <row r="379" spans="1:8">
      <c r="A379" s="1">
        <v>38</v>
      </c>
      <c r="B379" s="1" t="s">
        <v>1321</v>
      </c>
      <c r="C379" s="1">
        <v>37.31</v>
      </c>
      <c r="D379" s="1" t="e">
        <f t="shared" si="41"/>
        <v>#NAME?</v>
      </c>
      <c r="E379" s="1">
        <v>0.12861</v>
      </c>
      <c r="F379" s="1">
        <v>0</v>
      </c>
      <c r="G379" s="1">
        <v>0</v>
      </c>
      <c r="H379" s="1">
        <v>7.15</v>
      </c>
    </row>
    <row r="380" spans="1:8">
      <c r="A380" s="1">
        <v>39</v>
      </c>
      <c r="B380" s="1" t="s">
        <v>1322</v>
      </c>
      <c r="C380" s="1">
        <v>44.43</v>
      </c>
      <c r="D380" s="1" t="e">
        <f t="shared" si="41"/>
        <v>#NAME?</v>
      </c>
      <c r="E380" s="1">
        <v>0.12781400000000001</v>
      </c>
      <c r="F380" s="1">
        <v>0</v>
      </c>
      <c r="G380" s="1">
        <v>8</v>
      </c>
      <c r="H380" s="1">
        <v>9.15</v>
      </c>
    </row>
    <row r="381" spans="1:8">
      <c r="A381" s="1">
        <v>40</v>
      </c>
      <c r="B381" s="1" t="s">
        <v>1323</v>
      </c>
      <c r="C381" s="1">
        <v>40.06</v>
      </c>
      <c r="D381" s="1" t="e">
        <f t="shared" si="41"/>
        <v>#NAME?</v>
      </c>
      <c r="E381" s="1">
        <v>0.13631099999999999</v>
      </c>
      <c r="F381" s="1">
        <v>0</v>
      </c>
      <c r="G381" s="1">
        <v>12</v>
      </c>
      <c r="H381" s="1">
        <v>7.62</v>
      </c>
    </row>
    <row r="382" spans="1:8">
      <c r="A382" s="1">
        <v>41</v>
      </c>
      <c r="B382" s="1" t="s">
        <v>1324</v>
      </c>
      <c r="C382" s="1">
        <v>31.4</v>
      </c>
      <c r="D382" s="1" t="e">
        <f t="shared" si="41"/>
        <v>#NAME?</v>
      </c>
      <c r="E382" s="1">
        <v>0.15690799999999999</v>
      </c>
      <c r="F382" s="1">
        <v>0</v>
      </c>
      <c r="G382" s="1">
        <v>0</v>
      </c>
      <c r="H382" s="1">
        <v>6.02</v>
      </c>
    </row>
    <row r="383" spans="1:8">
      <c r="A383" s="1">
        <v>42</v>
      </c>
      <c r="B383" s="1" t="s">
        <v>1325</v>
      </c>
      <c r="C383" s="1">
        <v>38.86</v>
      </c>
      <c r="D383" s="1" t="e">
        <f t="shared" si="41"/>
        <v>#NAME?</v>
      </c>
      <c r="E383" s="1">
        <v>0.14030300000000001</v>
      </c>
      <c r="F383" s="1">
        <v>0</v>
      </c>
      <c r="G383" s="1">
        <v>2</v>
      </c>
      <c r="H383" s="1">
        <v>7.39</v>
      </c>
    </row>
    <row r="384" spans="1:8">
      <c r="A384" s="1">
        <v>43</v>
      </c>
      <c r="B384" s="1" t="s">
        <v>1326</v>
      </c>
      <c r="C384" s="1">
        <v>45.42</v>
      </c>
      <c r="D384" s="1" t="e">
        <f t="shared" si="41"/>
        <v>#NAME?</v>
      </c>
      <c r="E384" s="1">
        <v>0.13488</v>
      </c>
      <c r="F384" s="1">
        <v>0</v>
      </c>
      <c r="G384" s="1">
        <v>4</v>
      </c>
      <c r="H384" s="1">
        <v>8.7899999999999991</v>
      </c>
    </row>
    <row r="385" spans="1:8">
      <c r="A385" s="1">
        <v>44</v>
      </c>
      <c r="B385" s="1" t="s">
        <v>1327</v>
      </c>
      <c r="C385" s="1">
        <v>44.8</v>
      </c>
      <c r="D385" s="1" t="e">
        <f t="shared" si="41"/>
        <v>#NAME?</v>
      </c>
      <c r="E385" s="1">
        <v>0.15468899999999999</v>
      </c>
      <c r="F385" s="1">
        <v>0</v>
      </c>
      <c r="G385" s="1">
        <v>0</v>
      </c>
      <c r="H385" s="1">
        <v>8.6300000000000008</v>
      </c>
    </row>
    <row r="386" spans="1:8">
      <c r="A386" s="1">
        <v>45</v>
      </c>
      <c r="B386" s="1" t="s">
        <v>1328</v>
      </c>
      <c r="C386" s="1">
        <v>41.96</v>
      </c>
      <c r="D386" s="1" t="e">
        <f t="shared" si="41"/>
        <v>#NAME?</v>
      </c>
      <c r="E386" s="1">
        <v>0.16522800000000001</v>
      </c>
      <c r="F386" s="1">
        <v>0</v>
      </c>
      <c r="G386" s="1">
        <v>10</v>
      </c>
      <c r="H386" s="1">
        <v>8.0399999999999991</v>
      </c>
    </row>
    <row r="387" spans="1:8">
      <c r="A387" s="1">
        <v>46</v>
      </c>
      <c r="B387" s="1" t="s">
        <v>1329</v>
      </c>
      <c r="C387" s="1">
        <v>33.1</v>
      </c>
      <c r="D387" s="1" t="e">
        <f t="shared" si="41"/>
        <v>#NAME?</v>
      </c>
      <c r="E387" s="1">
        <v>0.139705</v>
      </c>
      <c r="F387" s="1">
        <v>0</v>
      </c>
      <c r="G387" s="1">
        <v>2</v>
      </c>
      <c r="H387" s="1">
        <v>6.38</v>
      </c>
    </row>
    <row r="388" spans="1:8">
      <c r="A388" s="1">
        <v>47</v>
      </c>
      <c r="B388" s="1" t="s">
        <v>1330</v>
      </c>
      <c r="C388" s="1">
        <v>35.880000000000003</v>
      </c>
      <c r="D388" s="1" t="e">
        <f t="shared" si="41"/>
        <v>#NAME?</v>
      </c>
      <c r="E388" s="1">
        <v>0.16303100000000001</v>
      </c>
      <c r="F388" s="1">
        <v>0</v>
      </c>
      <c r="G388" s="1">
        <v>2</v>
      </c>
      <c r="H388" s="1">
        <v>6.83</v>
      </c>
    </row>
    <row r="389" spans="1:8">
      <c r="A389" s="1">
        <v>48</v>
      </c>
      <c r="B389" s="1" t="s">
        <v>1331</v>
      </c>
      <c r="C389" s="1">
        <v>41.28</v>
      </c>
      <c r="D389" s="1" t="e">
        <f t="shared" si="41"/>
        <v>#NAME?</v>
      </c>
      <c r="E389" s="1">
        <v>0.17605299999999999</v>
      </c>
      <c r="F389" s="1">
        <v>0</v>
      </c>
      <c r="G389" s="1">
        <v>2</v>
      </c>
      <c r="H389" s="1">
        <v>7.84</v>
      </c>
    </row>
    <row r="390" spans="1:8">
      <c r="A390" s="1">
        <v>49</v>
      </c>
      <c r="B390" s="1" t="s">
        <v>1332</v>
      </c>
      <c r="C390" s="1">
        <v>35.909999999999997</v>
      </c>
      <c r="D390" s="1" t="e">
        <f t="shared" si="41"/>
        <v>#NAME?</v>
      </c>
      <c r="E390" s="1">
        <v>0.16206000000000001</v>
      </c>
      <c r="F390" s="1">
        <v>0</v>
      </c>
      <c r="G390" s="1">
        <v>2</v>
      </c>
      <c r="H390" s="1">
        <v>6.84</v>
      </c>
    </row>
    <row r="391" spans="1:8">
      <c r="A391" s="1">
        <v>50</v>
      </c>
      <c r="B391" s="1" t="s">
        <v>1333</v>
      </c>
      <c r="C391" s="1">
        <v>42.43</v>
      </c>
      <c r="D391" s="1" t="e">
        <f t="shared" si="41"/>
        <v>#NAME?</v>
      </c>
      <c r="E391" s="1">
        <v>0.172651</v>
      </c>
      <c r="F391" s="1">
        <v>0</v>
      </c>
      <c r="G391" s="1">
        <v>0</v>
      </c>
      <c r="H391" s="1">
        <v>8.15</v>
      </c>
    </row>
    <row r="392" spans="1:8">
      <c r="B392" s="1" t="s">
        <v>19</v>
      </c>
      <c r="C392" s="1">
        <f>AVERAGE(C342:C391)</f>
        <v>39.852399999999996</v>
      </c>
      <c r="D392" s="1" t="e">
        <f t="shared" ref="D392:F392" si="42">AVERAGE(D342:D391)</f>
        <v>#NAME?</v>
      </c>
      <c r="E392" s="1">
        <f t="shared" si="42"/>
        <v>0.15874759999999999</v>
      </c>
      <c r="F392" s="1">
        <f t="shared" si="42"/>
        <v>0</v>
      </c>
      <c r="H392" s="1">
        <f t="shared" ref="H392" si="43">AVERAGE(H342:H391)</f>
        <v>7.6743999999999968</v>
      </c>
    </row>
    <row r="393" spans="1:8">
      <c r="B393" s="1" t="s">
        <v>20</v>
      </c>
      <c r="C393" s="1">
        <f>MIN(C341:C391)</f>
        <v>28.42</v>
      </c>
      <c r="D393" s="1" t="e">
        <f t="shared" ref="D393:F393" si="44">MIN(D341:D391)</f>
        <v>#NAME?</v>
      </c>
      <c r="E393" s="1">
        <f t="shared" si="44"/>
        <v>0.100996</v>
      </c>
      <c r="F393" s="1">
        <f t="shared" si="44"/>
        <v>0</v>
      </c>
      <c r="H393" s="1">
        <f t="shared" ref="H393" si="45">MIN(H341:H391)</f>
        <v>5.41</v>
      </c>
    </row>
    <row r="394" spans="1:8">
      <c r="B394" s="1" t="s">
        <v>3</v>
      </c>
      <c r="C394" s="1">
        <f>STDEV(C342:C391)</f>
        <v>6.0761163616916161</v>
      </c>
      <c r="D394" s="1" t="e">
        <f t="shared" ref="D394:E394" si="46">STDEV(D342:D391)</f>
        <v>#NAME?</v>
      </c>
      <c r="E394" s="1">
        <f t="shared" si="46"/>
        <v>2.5164179615363717E-2</v>
      </c>
      <c r="F394" s="1">
        <f>STDEV(F342:F391)</f>
        <v>0</v>
      </c>
      <c r="H394" s="1">
        <f>STDEV(H342:H391)</f>
        <v>1.2048493173634038</v>
      </c>
    </row>
    <row r="397" spans="1:8" ht="18">
      <c r="A397" s="2"/>
      <c r="B397" s="3"/>
      <c r="C397" s="2"/>
      <c r="D397" s="2"/>
      <c r="E397" s="2"/>
      <c r="F397" s="2"/>
      <c r="G397" s="2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5"/>
  <sheetViews>
    <sheetView topLeftCell="A348" zoomScale="54" zoomScaleNormal="54" workbookViewId="0">
      <selection activeCell="L342" sqref="L342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" style="1" bestFit="1" customWidth="1"/>
    <col min="9" max="9" width="3.5546875" style="1" customWidth="1"/>
    <col min="10" max="11" width="8.88671875" style="1" hidden="1" customWidth="1"/>
    <col min="12" max="12" width="10.33203125" style="1" bestFit="1" customWidth="1"/>
    <col min="13" max="13" width="8.88671875" style="1"/>
    <col min="14" max="14" width="9.88671875" style="1" customWidth="1"/>
    <col min="15" max="15" width="12.6640625" style="1" customWidth="1"/>
    <col min="16" max="16384" width="8.88671875" style="1"/>
  </cols>
  <sheetData>
    <row r="1" spans="1:8" ht="14.4" customHeight="1">
      <c r="B1" s="18" t="s">
        <v>15</v>
      </c>
      <c r="C1" s="18"/>
      <c r="D1" s="18"/>
    </row>
    <row r="2" spans="1:8" ht="14.4" customHeight="1">
      <c r="B2" s="18"/>
      <c r="C2" s="18"/>
      <c r="D2" s="18"/>
    </row>
    <row r="4" spans="1:8">
      <c r="H4" s="2" t="s">
        <v>1435</v>
      </c>
    </row>
    <row r="5" spans="1:8" ht="18">
      <c r="A5" s="2" t="s">
        <v>7</v>
      </c>
      <c r="B5" s="3" t="s">
        <v>0</v>
      </c>
      <c r="C5" s="2" t="s">
        <v>4</v>
      </c>
      <c r="D5" s="2" t="s">
        <v>322</v>
      </c>
      <c r="E5" s="2" t="s">
        <v>321</v>
      </c>
      <c r="F5" s="2" t="s">
        <v>324</v>
      </c>
      <c r="G5" s="2" t="s">
        <v>323</v>
      </c>
      <c r="H5" s="2" t="s">
        <v>1436</v>
      </c>
    </row>
    <row r="6" spans="1:8">
      <c r="A6" s="1">
        <v>1</v>
      </c>
      <c r="B6" s="1" t="s">
        <v>730</v>
      </c>
      <c r="C6" s="1">
        <v>102.16</v>
      </c>
      <c r="D6" s="1">
        <v>16.02</v>
      </c>
      <c r="E6" s="1">
        <v>0.49999399999999999</v>
      </c>
      <c r="F6" s="1">
        <f>101798400*(10^-6)</f>
        <v>101.7984</v>
      </c>
      <c r="G6" s="1">
        <v>2</v>
      </c>
      <c r="H6" s="1">
        <v>19.309999999999999</v>
      </c>
    </row>
    <row r="7" spans="1:8">
      <c r="A7" s="1">
        <v>2</v>
      </c>
      <c r="B7" s="1" t="s">
        <v>731</v>
      </c>
      <c r="C7" s="1">
        <v>235.24</v>
      </c>
      <c r="D7" s="1">
        <v>16.57</v>
      </c>
      <c r="E7" s="1">
        <v>0.37790699999999999</v>
      </c>
      <c r="F7" s="1">
        <f>101529600*(10^-6)</f>
        <v>101.5296</v>
      </c>
      <c r="G7" s="1">
        <v>0</v>
      </c>
      <c r="H7" s="1">
        <v>44.63</v>
      </c>
    </row>
    <row r="8" spans="1:8">
      <c r="A8" s="1">
        <v>3</v>
      </c>
      <c r="B8" s="1" t="s">
        <v>732</v>
      </c>
      <c r="C8" s="1">
        <v>281.26</v>
      </c>
      <c r="D8" s="1">
        <v>16.850000000000001</v>
      </c>
      <c r="E8" s="1">
        <v>0.45403500000000002</v>
      </c>
      <c r="F8" s="1">
        <f>191769600*(10^-6)</f>
        <v>191.7696</v>
      </c>
      <c r="G8" s="1">
        <v>0</v>
      </c>
      <c r="H8" s="1">
        <v>53.64</v>
      </c>
    </row>
    <row r="9" spans="1:8">
      <c r="A9" s="1">
        <v>4</v>
      </c>
      <c r="B9" s="1" t="s">
        <v>733</v>
      </c>
      <c r="C9" s="1">
        <v>368.6</v>
      </c>
      <c r="D9" s="1">
        <v>17.13</v>
      </c>
      <c r="E9" s="1">
        <v>0.49999500000000002</v>
      </c>
      <c r="F9" s="1">
        <f>367411200*(10^-6)</f>
        <v>367.41120000000001</v>
      </c>
      <c r="G9" s="1">
        <v>0</v>
      </c>
      <c r="H9" s="1">
        <v>69.900000000000006</v>
      </c>
    </row>
    <row r="10" spans="1:8">
      <c r="A10" s="1">
        <v>5</v>
      </c>
      <c r="B10" s="1" t="s">
        <v>734</v>
      </c>
      <c r="C10" s="1">
        <v>102.26</v>
      </c>
      <c r="D10" s="1">
        <v>16.02</v>
      </c>
      <c r="E10" s="1">
        <v>0.49998599999999999</v>
      </c>
      <c r="F10" s="1">
        <f>101721600*(10^-6)</f>
        <v>101.7216</v>
      </c>
      <c r="G10" s="1">
        <v>2</v>
      </c>
      <c r="H10" s="1">
        <v>19.309999999999999</v>
      </c>
    </row>
    <row r="11" spans="1:8">
      <c r="A11" s="1">
        <v>6</v>
      </c>
      <c r="B11" s="1" t="s">
        <v>735</v>
      </c>
      <c r="C11" s="1">
        <v>386.86</v>
      </c>
      <c r="D11" s="1">
        <v>17.05</v>
      </c>
      <c r="E11" s="1">
        <v>0.400754</v>
      </c>
      <c r="F11" s="1">
        <f>194342400*(10^-6)</f>
        <v>194.3424</v>
      </c>
      <c r="G11" s="1">
        <v>2</v>
      </c>
      <c r="H11" s="1">
        <v>82.75</v>
      </c>
    </row>
    <row r="12" spans="1:8">
      <c r="A12" s="1">
        <v>7</v>
      </c>
      <c r="B12" s="1" t="s">
        <v>736</v>
      </c>
      <c r="C12" s="1">
        <v>234.05</v>
      </c>
      <c r="D12" s="1">
        <v>16.57</v>
      </c>
      <c r="E12" s="1">
        <v>0.37739499999999998</v>
      </c>
      <c r="F12" s="1">
        <f>100646400*(10^-6)</f>
        <v>100.6464</v>
      </c>
      <c r="G12" s="1">
        <v>0</v>
      </c>
      <c r="H12" s="1">
        <v>44.63</v>
      </c>
    </row>
    <row r="13" spans="1:8">
      <c r="A13" s="1">
        <v>8</v>
      </c>
      <c r="B13" s="1" t="s">
        <v>737</v>
      </c>
      <c r="C13" s="1">
        <v>149.88999999999999</v>
      </c>
      <c r="D13" s="1">
        <v>16.350000000000001</v>
      </c>
      <c r="E13" s="1">
        <v>0.49857800000000002</v>
      </c>
      <c r="F13" s="1">
        <f>141888000*(10^-6)</f>
        <v>141.88800000000001</v>
      </c>
      <c r="G13" s="1">
        <v>2</v>
      </c>
      <c r="H13" s="1">
        <v>30.31</v>
      </c>
    </row>
    <row r="14" spans="1:8">
      <c r="A14" s="1">
        <v>9</v>
      </c>
      <c r="B14" s="1" t="s">
        <v>738</v>
      </c>
      <c r="C14" s="1">
        <v>148.16999999999999</v>
      </c>
      <c r="D14" s="1">
        <v>16.3</v>
      </c>
      <c r="E14" s="1">
        <v>0.45425100000000002</v>
      </c>
      <c r="F14" s="1">
        <f>101145600*(10^-6)</f>
        <v>101.1456</v>
      </c>
      <c r="G14" s="1">
        <v>0</v>
      </c>
      <c r="H14" s="1">
        <v>28.34</v>
      </c>
    </row>
    <row r="15" spans="1:8">
      <c r="A15" s="1">
        <v>10</v>
      </c>
      <c r="B15" s="1" t="s">
        <v>739</v>
      </c>
      <c r="C15" s="1">
        <v>102.89</v>
      </c>
      <c r="D15" s="1">
        <v>16.02</v>
      </c>
      <c r="E15" s="1">
        <v>0.49999900000000003</v>
      </c>
      <c r="F15" s="1">
        <f>102720000*(10^-6)</f>
        <v>102.72</v>
      </c>
      <c r="G15" s="1">
        <v>0</v>
      </c>
      <c r="H15" s="1">
        <v>19.38</v>
      </c>
    </row>
    <row r="16" spans="1:8">
      <c r="A16" s="1">
        <v>11</v>
      </c>
      <c r="B16" s="1" t="s">
        <v>740</v>
      </c>
      <c r="C16" s="1">
        <v>147.99</v>
      </c>
      <c r="D16" s="1">
        <v>16.29</v>
      </c>
      <c r="E16" s="1">
        <v>0.45432400000000001</v>
      </c>
      <c r="F16" s="1">
        <f>101068800*(10^-6)</f>
        <v>101.0688</v>
      </c>
      <c r="G16" s="1">
        <v>0</v>
      </c>
      <c r="H16" s="1">
        <v>28.33</v>
      </c>
    </row>
    <row r="17" spans="1:8">
      <c r="A17" s="1">
        <v>12</v>
      </c>
      <c r="B17" s="1" t="s">
        <v>741</v>
      </c>
      <c r="C17" s="1">
        <v>147.99</v>
      </c>
      <c r="D17" s="1">
        <v>16.29</v>
      </c>
      <c r="E17" s="1">
        <v>0.45432400000000001</v>
      </c>
      <c r="F17" s="1">
        <f>101068800*(10^-6)</f>
        <v>101.0688</v>
      </c>
      <c r="G17" s="1">
        <v>0</v>
      </c>
      <c r="H17" s="1">
        <v>28.33</v>
      </c>
    </row>
    <row r="18" spans="1:8">
      <c r="A18" s="1">
        <v>13</v>
      </c>
      <c r="B18" s="1" t="s">
        <v>742</v>
      </c>
      <c r="C18" s="1">
        <v>362.19</v>
      </c>
      <c r="D18" s="1">
        <v>16.8</v>
      </c>
      <c r="E18" s="1">
        <v>0.32902999999999999</v>
      </c>
      <c r="F18" s="1">
        <f>101107200*(10^-6)</f>
        <v>101.10719999999999</v>
      </c>
      <c r="G18" s="1">
        <v>2</v>
      </c>
      <c r="H18" s="1">
        <v>72.650000000000006</v>
      </c>
    </row>
    <row r="19" spans="1:8">
      <c r="A19" s="1">
        <v>14</v>
      </c>
      <c r="B19" s="1" t="s">
        <v>743</v>
      </c>
      <c r="C19" s="1">
        <v>447.65</v>
      </c>
      <c r="D19" s="1">
        <v>17.29</v>
      </c>
      <c r="E19" s="1">
        <v>0.48472399999999999</v>
      </c>
      <c r="F19" s="1">
        <f>368179200*(10^-6)</f>
        <v>368.17919999999998</v>
      </c>
      <c r="G19" s="1">
        <v>0</v>
      </c>
      <c r="H19" s="1">
        <v>99.97</v>
      </c>
    </row>
    <row r="20" spans="1:8">
      <c r="A20" s="1">
        <v>15</v>
      </c>
      <c r="B20" s="1" t="s">
        <v>744</v>
      </c>
      <c r="C20" s="1">
        <v>315.45999999999998</v>
      </c>
      <c r="D20" s="1">
        <v>16.73</v>
      </c>
      <c r="E20" s="1">
        <v>0.34303499999999998</v>
      </c>
      <c r="F20" s="1">
        <f>102067200*(10^-6)</f>
        <v>102.0672</v>
      </c>
      <c r="G20" s="1">
        <v>2</v>
      </c>
      <c r="H20" s="1">
        <v>75.08</v>
      </c>
    </row>
    <row r="21" spans="1:8">
      <c r="A21" s="1">
        <v>16</v>
      </c>
      <c r="B21" s="1" t="s">
        <v>745</v>
      </c>
      <c r="C21" s="1">
        <v>265.57</v>
      </c>
      <c r="D21" s="1">
        <v>16.809999999999999</v>
      </c>
      <c r="E21" s="1">
        <v>0.46116400000000002</v>
      </c>
      <c r="F21" s="1">
        <f>188505600*(10^-6)</f>
        <v>188.50559999999999</v>
      </c>
      <c r="G21" s="1">
        <v>2</v>
      </c>
      <c r="H21" s="1">
        <v>54.39</v>
      </c>
    </row>
    <row r="22" spans="1:8">
      <c r="A22" s="1">
        <v>17</v>
      </c>
      <c r="B22" s="1" t="s">
        <v>746</v>
      </c>
      <c r="C22" s="1">
        <v>147.61000000000001</v>
      </c>
      <c r="D22" s="1">
        <v>16.29</v>
      </c>
      <c r="E22" s="1">
        <v>0.45376699999999998</v>
      </c>
      <c r="F22" s="1">
        <f>100492800*(10^-6)</f>
        <v>100.49279999999999</v>
      </c>
      <c r="G22" s="1">
        <v>2</v>
      </c>
      <c r="H22" s="1">
        <v>28.32</v>
      </c>
    </row>
    <row r="23" spans="1:8">
      <c r="A23" s="1">
        <v>18</v>
      </c>
      <c r="B23" s="1" t="s">
        <v>747</v>
      </c>
      <c r="C23" s="1">
        <v>147.91999999999999</v>
      </c>
      <c r="D23" s="1">
        <v>16.29</v>
      </c>
      <c r="E23" s="1">
        <v>0.45414500000000002</v>
      </c>
      <c r="F23" s="1">
        <f>100915200*(10^-6)</f>
        <v>100.9152</v>
      </c>
      <c r="G23" s="1">
        <v>2</v>
      </c>
      <c r="H23" s="1">
        <v>28.33</v>
      </c>
    </row>
    <row r="24" spans="1:8">
      <c r="A24" s="1">
        <v>19</v>
      </c>
      <c r="B24" s="1" t="s">
        <v>748</v>
      </c>
      <c r="C24" s="1">
        <v>219.71</v>
      </c>
      <c r="D24" s="1">
        <v>16.53</v>
      </c>
      <c r="E24" s="1">
        <v>0.38480199999999998</v>
      </c>
      <c r="F24" s="1">
        <f>99494400*(10^-6)</f>
        <v>99.494399999999999</v>
      </c>
      <c r="G24" s="1">
        <v>0</v>
      </c>
      <c r="H24" s="1">
        <v>45.36</v>
      </c>
    </row>
    <row r="25" spans="1:8">
      <c r="A25" s="1">
        <v>20</v>
      </c>
      <c r="B25" s="1" t="s">
        <v>749</v>
      </c>
      <c r="C25" s="1">
        <v>234.05</v>
      </c>
      <c r="D25" s="1">
        <v>16.57</v>
      </c>
      <c r="E25" s="1">
        <v>0.37739499999999998</v>
      </c>
      <c r="F25" s="1">
        <f>100646400*(10^-6)</f>
        <v>100.6464</v>
      </c>
      <c r="G25" s="1">
        <v>0</v>
      </c>
      <c r="H25" s="1">
        <v>44.63</v>
      </c>
    </row>
    <row r="26" spans="1:8">
      <c r="A26" s="1">
        <v>21</v>
      </c>
      <c r="B26" s="1" t="s">
        <v>750</v>
      </c>
      <c r="C26" s="1">
        <v>302.32</v>
      </c>
      <c r="D26" s="1">
        <v>16.96</v>
      </c>
      <c r="E26" s="1">
        <v>0.499969</v>
      </c>
      <c r="F26" s="1">
        <f>299942400*(10^-6)</f>
        <v>299.94239999999996</v>
      </c>
      <c r="G26" s="1">
        <v>2</v>
      </c>
      <c r="H26" s="1">
        <v>70.510000000000005</v>
      </c>
    </row>
    <row r="27" spans="1:8">
      <c r="A27" s="1">
        <v>22</v>
      </c>
      <c r="B27" s="1" t="s">
        <v>751</v>
      </c>
      <c r="C27" s="1">
        <v>102.16</v>
      </c>
      <c r="D27" s="1">
        <v>16.02</v>
      </c>
      <c r="E27" s="1">
        <v>0.49999399999999999</v>
      </c>
      <c r="F27" s="1">
        <f>101798400*(10^-6)</f>
        <v>101.7984</v>
      </c>
      <c r="G27" s="1">
        <v>2</v>
      </c>
      <c r="H27" s="1">
        <v>19.309999999999999</v>
      </c>
    </row>
    <row r="28" spans="1:8">
      <c r="A28" s="1">
        <v>23</v>
      </c>
      <c r="B28" s="1" t="s">
        <v>752</v>
      </c>
      <c r="C28" s="1">
        <v>363.01</v>
      </c>
      <c r="D28" s="1">
        <v>17.010000000000002</v>
      </c>
      <c r="E28" s="1">
        <v>0.41152</v>
      </c>
      <c r="F28" s="1">
        <f>194688000*(10^-6)</f>
        <v>194.68799999999999</v>
      </c>
      <c r="G28" s="1">
        <v>0</v>
      </c>
      <c r="H28" s="1">
        <v>84.13</v>
      </c>
    </row>
    <row r="29" spans="1:8">
      <c r="A29" s="1">
        <v>24</v>
      </c>
      <c r="B29" s="1" t="s">
        <v>753</v>
      </c>
      <c r="C29" s="1">
        <v>234.05</v>
      </c>
      <c r="D29" s="1">
        <v>16.57</v>
      </c>
      <c r="E29" s="1">
        <v>0.37739499999999998</v>
      </c>
      <c r="F29" s="1">
        <f>100646400*(10^-6)</f>
        <v>100.6464</v>
      </c>
      <c r="G29" s="1">
        <v>0</v>
      </c>
      <c r="H29" s="1">
        <v>44.63</v>
      </c>
    </row>
    <row r="30" spans="1:8">
      <c r="A30" s="1">
        <v>25</v>
      </c>
      <c r="B30" s="1" t="s">
        <v>754</v>
      </c>
      <c r="C30" s="1">
        <v>281.26</v>
      </c>
      <c r="D30" s="1">
        <v>16.850000000000001</v>
      </c>
      <c r="E30" s="1">
        <v>0.45403500000000002</v>
      </c>
      <c r="F30" s="1">
        <f>191769600*(10^-6)</f>
        <v>191.7696</v>
      </c>
      <c r="G30" s="1">
        <v>0</v>
      </c>
      <c r="H30" s="1">
        <v>53.64</v>
      </c>
    </row>
    <row r="31" spans="1:8">
      <c r="A31" s="1">
        <v>26</v>
      </c>
      <c r="B31" s="1" t="s">
        <v>755</v>
      </c>
      <c r="C31" s="1">
        <v>361.54</v>
      </c>
      <c r="D31" s="1">
        <v>17.010000000000002</v>
      </c>
      <c r="E31" s="1">
        <v>0.41067300000000001</v>
      </c>
      <c r="F31" s="1">
        <f>192921600*(10^-6)</f>
        <v>192.92159999999998</v>
      </c>
      <c r="G31" s="1">
        <v>2</v>
      </c>
      <c r="H31" s="1">
        <v>84.12</v>
      </c>
    </row>
    <row r="32" spans="1:8">
      <c r="A32" s="1">
        <v>27</v>
      </c>
      <c r="B32" s="1" t="s">
        <v>756</v>
      </c>
      <c r="C32" s="1">
        <v>351.09</v>
      </c>
      <c r="D32" s="1">
        <v>17.09</v>
      </c>
      <c r="E32" s="1">
        <v>0.49895200000000001</v>
      </c>
      <c r="F32" s="1">
        <f>335001600*(10^-6)</f>
        <v>335.0016</v>
      </c>
      <c r="G32" s="1">
        <v>2</v>
      </c>
      <c r="H32" s="1">
        <v>70.33</v>
      </c>
    </row>
    <row r="33" spans="1:8">
      <c r="A33" s="1">
        <v>28</v>
      </c>
      <c r="B33" s="1" t="s">
        <v>757</v>
      </c>
      <c r="C33" s="1">
        <v>235.81</v>
      </c>
      <c r="D33" s="1">
        <v>16.57</v>
      </c>
      <c r="E33" s="1">
        <v>0.37534400000000001</v>
      </c>
      <c r="F33" s="1">
        <f>99916800*(10^-6)</f>
        <v>99.916799999999995</v>
      </c>
      <c r="G33" s="1">
        <v>0</v>
      </c>
      <c r="H33" s="1">
        <v>44.95</v>
      </c>
    </row>
    <row r="34" spans="1:8">
      <c r="A34" s="1">
        <v>29</v>
      </c>
      <c r="B34" s="1" t="s">
        <v>758</v>
      </c>
      <c r="C34" s="1">
        <v>363.05</v>
      </c>
      <c r="D34" s="1">
        <v>17.010000000000002</v>
      </c>
      <c r="E34" s="1">
        <v>0.41100300000000001</v>
      </c>
      <c r="F34" s="1">
        <f>194112000*(10^-6)</f>
        <v>194.11199999999999</v>
      </c>
      <c r="G34" s="1">
        <v>0</v>
      </c>
      <c r="H34" s="1">
        <v>84.15</v>
      </c>
    </row>
    <row r="35" spans="1:8">
      <c r="A35" s="1">
        <v>30</v>
      </c>
      <c r="B35" s="1" t="s">
        <v>759</v>
      </c>
      <c r="C35" s="1">
        <v>357.68</v>
      </c>
      <c r="D35" s="1">
        <v>16.79</v>
      </c>
      <c r="E35" s="1">
        <v>0.33006400000000002</v>
      </c>
      <c r="F35" s="1">
        <f>101030400*(10^-6)</f>
        <v>101.0304</v>
      </c>
      <c r="G35" s="1">
        <v>2</v>
      </c>
      <c r="H35" s="1">
        <v>71.89</v>
      </c>
    </row>
    <row r="36" spans="1:8">
      <c r="A36" s="1">
        <v>31</v>
      </c>
      <c r="B36" s="1" t="s">
        <v>760</v>
      </c>
      <c r="C36" s="1">
        <v>351.49</v>
      </c>
      <c r="D36" s="1">
        <v>17.09</v>
      </c>
      <c r="E36" s="1">
        <v>0.49508000000000002</v>
      </c>
      <c r="F36" s="1">
        <f>316454400*(10^-6)</f>
        <v>316.45439999999996</v>
      </c>
      <c r="G36" s="1">
        <v>0</v>
      </c>
      <c r="H36" s="1">
        <v>70</v>
      </c>
    </row>
    <row r="37" spans="1:8">
      <c r="A37" s="1">
        <v>32</v>
      </c>
      <c r="B37" s="1" t="s">
        <v>761</v>
      </c>
      <c r="C37" s="1">
        <v>147.91999999999999</v>
      </c>
      <c r="D37" s="1">
        <v>16.29</v>
      </c>
      <c r="E37" s="1">
        <v>0.45414500000000002</v>
      </c>
      <c r="F37" s="1">
        <f>100915200*(10^-6)</f>
        <v>100.9152</v>
      </c>
      <c r="G37" s="1">
        <v>2</v>
      </c>
      <c r="H37" s="1">
        <v>28.33</v>
      </c>
    </row>
    <row r="38" spans="1:8">
      <c r="A38" s="1">
        <v>33</v>
      </c>
      <c r="B38" s="1" t="s">
        <v>762</v>
      </c>
      <c r="C38" s="1">
        <v>476.03</v>
      </c>
      <c r="D38" s="1">
        <v>17.329999999999998</v>
      </c>
      <c r="E38" s="1">
        <v>0.47557300000000002</v>
      </c>
      <c r="F38" s="1">
        <f>368140800*(10^-6)</f>
        <v>368.14079999999996</v>
      </c>
      <c r="G38" s="1">
        <v>2</v>
      </c>
      <c r="H38" s="1">
        <v>99.01</v>
      </c>
    </row>
    <row r="39" spans="1:8">
      <c r="A39" s="1">
        <v>34</v>
      </c>
      <c r="B39" s="1" t="s">
        <v>763</v>
      </c>
      <c r="C39" s="1">
        <v>102.16</v>
      </c>
      <c r="D39" s="1">
        <v>16.02</v>
      </c>
      <c r="E39" s="1">
        <v>0.49999399999999999</v>
      </c>
      <c r="F39" s="1">
        <f>101798400*(10^-6)</f>
        <v>101.7984</v>
      </c>
      <c r="G39" s="1">
        <v>2</v>
      </c>
      <c r="H39" s="1">
        <v>19.309999999999999</v>
      </c>
    </row>
    <row r="40" spans="1:8">
      <c r="A40" s="1">
        <v>35</v>
      </c>
      <c r="B40" s="1" t="s">
        <v>764</v>
      </c>
      <c r="C40" s="1">
        <v>281.26</v>
      </c>
      <c r="D40" s="1">
        <v>16.850000000000001</v>
      </c>
      <c r="E40" s="1">
        <v>0.45403500000000002</v>
      </c>
      <c r="F40" s="1">
        <f>191769600*(10^-6)</f>
        <v>191.7696</v>
      </c>
      <c r="G40" s="1">
        <v>0</v>
      </c>
      <c r="H40" s="1">
        <v>53.64</v>
      </c>
    </row>
    <row r="41" spans="1:8">
      <c r="A41" s="1">
        <v>36</v>
      </c>
      <c r="B41" s="1" t="s">
        <v>765</v>
      </c>
      <c r="C41" s="1">
        <v>529.71</v>
      </c>
      <c r="D41" s="1">
        <v>17.45</v>
      </c>
      <c r="E41" s="1">
        <v>0.49998999999999999</v>
      </c>
      <c r="F41" s="1">
        <f>527385600*(10^-6)</f>
        <v>527.38559999999995</v>
      </c>
      <c r="G41" s="1">
        <v>0</v>
      </c>
      <c r="H41" s="1">
        <v>130.80000000000001</v>
      </c>
    </row>
    <row r="42" spans="1:8">
      <c r="A42" s="1">
        <v>37</v>
      </c>
      <c r="B42" s="1" t="s">
        <v>766</v>
      </c>
      <c r="C42" s="1">
        <v>280.74</v>
      </c>
      <c r="D42" s="1">
        <v>16.850000000000001</v>
      </c>
      <c r="E42" s="1">
        <v>0.45663500000000001</v>
      </c>
      <c r="F42" s="1">
        <f>194227200*(10^-6)</f>
        <v>194.22719999999998</v>
      </c>
      <c r="G42" s="1">
        <v>0</v>
      </c>
      <c r="H42" s="1">
        <v>53.61</v>
      </c>
    </row>
    <row r="43" spans="1:8">
      <c r="A43" s="1">
        <v>38</v>
      </c>
      <c r="B43" s="1" t="s">
        <v>767</v>
      </c>
      <c r="C43" s="1">
        <v>280.67</v>
      </c>
      <c r="D43" s="1">
        <v>16.850000000000001</v>
      </c>
      <c r="E43" s="1">
        <v>0.45583699999999999</v>
      </c>
      <c r="F43" s="1">
        <f>193305600*(10^-6)</f>
        <v>193.3056</v>
      </c>
      <c r="G43" s="1">
        <v>0</v>
      </c>
      <c r="H43" s="1">
        <v>53.61</v>
      </c>
    </row>
    <row r="44" spans="1:8">
      <c r="A44" s="1">
        <v>39</v>
      </c>
      <c r="B44" s="1" t="s">
        <v>768</v>
      </c>
      <c r="C44" s="1">
        <v>450.22</v>
      </c>
      <c r="D44" s="1">
        <v>17.29</v>
      </c>
      <c r="E44" s="1">
        <v>0.48436499999999999</v>
      </c>
      <c r="F44" s="1">
        <f>369331200*(10^-6)</f>
        <v>369.33119999999997</v>
      </c>
      <c r="G44" s="1">
        <v>0</v>
      </c>
      <c r="H44" s="1">
        <v>100.38</v>
      </c>
    </row>
    <row r="45" spans="1:8">
      <c r="A45" s="1">
        <v>40</v>
      </c>
      <c r="B45" s="1" t="s">
        <v>769</v>
      </c>
      <c r="C45" s="1">
        <v>478.89</v>
      </c>
      <c r="D45" s="1">
        <v>17.32</v>
      </c>
      <c r="E45" s="1">
        <v>0.45898499999999998</v>
      </c>
      <c r="F45" s="1">
        <f>335731200*(10^-6)</f>
        <v>335.7312</v>
      </c>
      <c r="G45" s="1">
        <v>0</v>
      </c>
      <c r="H45" s="1">
        <v>98.27</v>
      </c>
    </row>
    <row r="46" spans="1:8">
      <c r="A46" s="1">
        <v>41</v>
      </c>
      <c r="B46" s="1" t="s">
        <v>770</v>
      </c>
      <c r="C46" s="1">
        <v>315.58999999999997</v>
      </c>
      <c r="D46" s="1">
        <v>16.73</v>
      </c>
      <c r="E46" s="1">
        <v>0.34167500000000001</v>
      </c>
      <c r="F46" s="1">
        <f>100761600*(10^-6)</f>
        <v>100.7616</v>
      </c>
      <c r="G46" s="1">
        <v>0</v>
      </c>
      <c r="H46" s="1">
        <v>75.150000000000006</v>
      </c>
    </row>
    <row r="47" spans="1:8">
      <c r="A47" s="1">
        <v>42</v>
      </c>
      <c r="B47" s="1" t="s">
        <v>771</v>
      </c>
      <c r="C47" s="1">
        <v>234.05</v>
      </c>
      <c r="D47" s="1">
        <v>16.57</v>
      </c>
      <c r="E47" s="1">
        <v>0.37739499999999998</v>
      </c>
      <c r="F47" s="1">
        <f>100646400*(10^-6)</f>
        <v>100.6464</v>
      </c>
      <c r="G47" s="1">
        <v>0</v>
      </c>
      <c r="H47" s="1">
        <v>44.63</v>
      </c>
    </row>
    <row r="48" spans="1:8">
      <c r="A48" s="1">
        <v>43</v>
      </c>
      <c r="B48" s="1" t="s">
        <v>772</v>
      </c>
      <c r="C48" s="1">
        <v>234.28</v>
      </c>
      <c r="D48" s="1">
        <v>16.57</v>
      </c>
      <c r="E48" s="1">
        <v>0.378162</v>
      </c>
      <c r="F48" s="1">
        <f>101299200*(10^-6)</f>
        <v>101.2992</v>
      </c>
      <c r="G48" s="1">
        <v>2</v>
      </c>
      <c r="H48" s="1">
        <v>44.63</v>
      </c>
    </row>
    <row r="49" spans="1:8">
      <c r="A49" s="1">
        <v>44</v>
      </c>
      <c r="B49" s="1" t="s">
        <v>773</v>
      </c>
      <c r="C49" s="1">
        <v>342.03</v>
      </c>
      <c r="D49" s="1">
        <v>16.78</v>
      </c>
      <c r="E49" s="1">
        <v>0.33592100000000003</v>
      </c>
      <c r="F49" s="1">
        <f>102988800*(10^-6)</f>
        <v>102.9888</v>
      </c>
      <c r="G49" s="1">
        <v>0</v>
      </c>
      <c r="H49" s="1">
        <v>73.760000000000005</v>
      </c>
    </row>
    <row r="50" spans="1:8">
      <c r="A50" s="1">
        <v>45</v>
      </c>
      <c r="B50" s="1" t="s">
        <v>774</v>
      </c>
      <c r="C50" s="1">
        <v>450.03</v>
      </c>
      <c r="D50" s="1">
        <v>17.29</v>
      </c>
      <c r="E50" s="1">
        <v>0.48442400000000002</v>
      </c>
      <c r="F50" s="1">
        <f>369331200*(10^-6)</f>
        <v>369.33119999999997</v>
      </c>
      <c r="G50" s="1">
        <v>2</v>
      </c>
      <c r="H50" s="1">
        <v>100.4</v>
      </c>
    </row>
    <row r="51" spans="1:8">
      <c r="A51" s="1">
        <v>46</v>
      </c>
      <c r="B51" s="1" t="s">
        <v>775</v>
      </c>
      <c r="C51" s="1">
        <v>482.13</v>
      </c>
      <c r="D51" s="1">
        <v>17.329999999999998</v>
      </c>
      <c r="E51" s="1">
        <v>0.459978</v>
      </c>
      <c r="F51" s="1">
        <f>339916800*(10^-6)</f>
        <v>339.91679999999997</v>
      </c>
      <c r="G51" s="1">
        <v>0</v>
      </c>
      <c r="H51" s="1">
        <v>98.29</v>
      </c>
    </row>
    <row r="52" spans="1:8">
      <c r="A52" s="1">
        <v>47</v>
      </c>
      <c r="B52" s="1" t="s">
        <v>776</v>
      </c>
      <c r="C52" s="1">
        <v>219.03</v>
      </c>
      <c r="D52" s="1">
        <v>16.54</v>
      </c>
      <c r="E52" s="1">
        <v>0.38922400000000001</v>
      </c>
      <c r="F52" s="1">
        <f>102182400*(10^-6)</f>
        <v>102.1824</v>
      </c>
      <c r="G52" s="1">
        <v>0</v>
      </c>
      <c r="H52" s="1">
        <v>45.05</v>
      </c>
    </row>
    <row r="53" spans="1:8">
      <c r="A53" s="1">
        <v>48</v>
      </c>
      <c r="B53" s="1" t="s">
        <v>777</v>
      </c>
      <c r="C53" s="1">
        <v>194.13</v>
      </c>
      <c r="D53" s="1">
        <v>16.579999999999998</v>
      </c>
      <c r="E53" s="1">
        <v>0.49999399999999999</v>
      </c>
      <c r="F53" s="1">
        <f>193459200*(10^-6)</f>
        <v>193.45919999999998</v>
      </c>
      <c r="G53" s="1">
        <v>2</v>
      </c>
      <c r="H53" s="1">
        <v>37.35</v>
      </c>
    </row>
    <row r="54" spans="1:8">
      <c r="A54" s="1">
        <v>49</v>
      </c>
      <c r="B54" s="1" t="s">
        <v>778</v>
      </c>
      <c r="C54" s="1">
        <v>378.99</v>
      </c>
      <c r="D54" s="1">
        <v>17.16</v>
      </c>
      <c r="E54" s="1">
        <v>0.49999900000000003</v>
      </c>
      <c r="F54" s="1">
        <f>378547200*(10^-6)</f>
        <v>378.54719999999998</v>
      </c>
      <c r="G54" s="1">
        <v>0</v>
      </c>
      <c r="H54" s="1">
        <v>83.76</v>
      </c>
    </row>
    <row r="55" spans="1:8">
      <c r="A55" s="1">
        <v>50</v>
      </c>
      <c r="B55" s="1" t="s">
        <v>779</v>
      </c>
      <c r="C55" s="1">
        <v>368.95</v>
      </c>
      <c r="D55" s="1">
        <v>17.13</v>
      </c>
      <c r="E55" s="1">
        <v>0.5</v>
      </c>
      <c r="F55" s="1">
        <f>368947200*(10^-6)</f>
        <v>368.94720000000001</v>
      </c>
      <c r="G55" s="1">
        <v>0</v>
      </c>
      <c r="H55" s="1">
        <v>69.91</v>
      </c>
    </row>
    <row r="56" spans="1:8">
      <c r="B56" s="1" t="s">
        <v>19</v>
      </c>
      <c r="C56" s="1">
        <f>AVERAGE(C6:C55)</f>
        <v>281.95580000000001</v>
      </c>
      <c r="D56" s="1">
        <f t="shared" ref="D56:F56" si="0">AVERAGE(D6:D55)</f>
        <v>16.733400000000003</v>
      </c>
      <c r="E56" s="1">
        <f t="shared" si="0"/>
        <v>0.44059927999999976</v>
      </c>
      <c r="F56" s="1">
        <f t="shared" si="0"/>
        <v>190.74969599999994</v>
      </c>
      <c r="H56" s="1">
        <f t="shared" ref="H56" si="1">AVERAGE(H6:H55)</f>
        <v>58.502800000000022</v>
      </c>
    </row>
    <row r="57" spans="1:8">
      <c r="B57" s="1" t="s">
        <v>20</v>
      </c>
      <c r="C57" s="1">
        <f>MIN(C5:C55)</f>
        <v>102.16</v>
      </c>
      <c r="D57" s="1">
        <f t="shared" ref="D57:F57" si="2">MIN(D5:D55)</f>
        <v>16.02</v>
      </c>
      <c r="E57" s="1">
        <f t="shared" si="2"/>
        <v>0.32902999999999999</v>
      </c>
      <c r="F57" s="1">
        <f t="shared" si="2"/>
        <v>99.494399999999999</v>
      </c>
      <c r="H57" s="1">
        <f t="shared" ref="H57" si="3">MIN(H5:H55)</f>
        <v>19.309999999999999</v>
      </c>
    </row>
    <row r="58" spans="1:8">
      <c r="B58" s="1" t="s">
        <v>3</v>
      </c>
      <c r="C58" s="1">
        <f>STDEV(C6:C55)</f>
        <v>116.32895168601544</v>
      </c>
      <c r="D58" s="1">
        <f t="shared" ref="D58:E58" si="4">STDEV(D6:D55)</f>
        <v>0.40067091692997076</v>
      </c>
      <c r="E58" s="1">
        <f t="shared" si="4"/>
        <v>5.5653111454189955E-2</v>
      </c>
      <c r="F58" s="1">
        <f>STDEV(F6:F55)</f>
        <v>113.65701639704413</v>
      </c>
      <c r="H58" s="1">
        <f>STDEV(H6:H55)</f>
        <v>27.294742787517372</v>
      </c>
    </row>
    <row r="60" spans="1:8">
      <c r="H60" s="2" t="s">
        <v>1435</v>
      </c>
    </row>
    <row r="61" spans="1:8" ht="18">
      <c r="A61" s="2" t="s">
        <v>7</v>
      </c>
      <c r="B61" s="3" t="s">
        <v>8</v>
      </c>
      <c r="C61" s="2" t="s">
        <v>4</v>
      </c>
      <c r="D61" s="2" t="s">
        <v>322</v>
      </c>
      <c r="E61" s="2" t="s">
        <v>321</v>
      </c>
      <c r="F61" s="2" t="s">
        <v>324</v>
      </c>
      <c r="G61" s="2" t="s">
        <v>323</v>
      </c>
      <c r="H61" s="2" t="s">
        <v>1436</v>
      </c>
    </row>
    <row r="62" spans="1:8">
      <c r="A62" s="1">
        <v>1</v>
      </c>
      <c r="B62" s="1" t="s">
        <v>880</v>
      </c>
      <c r="C62" s="1">
        <v>150.94</v>
      </c>
      <c r="D62" s="1">
        <v>40.78</v>
      </c>
      <c r="E62" s="1">
        <v>0.451239</v>
      </c>
      <c r="F62" s="1">
        <f>100876800*(10^-6)</f>
        <v>100.87679999999999</v>
      </c>
      <c r="G62" s="1">
        <v>8</v>
      </c>
      <c r="H62" s="1">
        <v>31.31</v>
      </c>
    </row>
    <row r="63" spans="1:8">
      <c r="A63" s="1">
        <v>2</v>
      </c>
      <c r="B63" s="1" t="s">
        <v>881</v>
      </c>
      <c r="C63" s="1">
        <v>139.24</v>
      </c>
      <c r="D63" s="1">
        <v>40.6</v>
      </c>
      <c r="E63" s="1">
        <v>0.45003599999999999</v>
      </c>
      <c r="F63" s="1">
        <f>99417600*(10^-6)</f>
        <v>99.417599999999993</v>
      </c>
      <c r="G63" s="1">
        <v>2</v>
      </c>
      <c r="H63" s="1">
        <v>26.55</v>
      </c>
    </row>
    <row r="64" spans="1:8">
      <c r="A64" s="1">
        <v>3</v>
      </c>
      <c r="B64" s="1" t="s">
        <v>882</v>
      </c>
      <c r="C64" s="1">
        <v>321.95</v>
      </c>
      <c r="D64" s="1">
        <v>42.51</v>
      </c>
      <c r="E64" s="1">
        <v>0.48979899999999998</v>
      </c>
      <c r="F64" s="1">
        <f>246489600*(10^-6)</f>
        <v>246.4896</v>
      </c>
      <c r="G64" s="1">
        <v>2</v>
      </c>
      <c r="H64" s="1">
        <v>66.13</v>
      </c>
    </row>
    <row r="65" spans="1:8">
      <c r="A65" s="1">
        <v>4</v>
      </c>
      <c r="B65" s="1" t="s">
        <v>883</v>
      </c>
      <c r="C65" s="1">
        <v>143.12</v>
      </c>
      <c r="D65" s="1">
        <v>40.729999999999997</v>
      </c>
      <c r="E65" s="1">
        <v>0.48042499999999999</v>
      </c>
      <c r="F65" s="1">
        <f>100723200*(10^-6)</f>
        <v>100.72319999999999</v>
      </c>
      <c r="G65" s="1">
        <v>8</v>
      </c>
      <c r="H65" s="1">
        <v>27.37</v>
      </c>
    </row>
    <row r="66" spans="1:8">
      <c r="A66" s="1">
        <v>5</v>
      </c>
      <c r="B66" s="1" t="s">
        <v>884</v>
      </c>
      <c r="C66" s="1">
        <v>138.75</v>
      </c>
      <c r="D66" s="1">
        <v>40.6</v>
      </c>
      <c r="E66" s="1">
        <v>0.45212599999999997</v>
      </c>
      <c r="F66" s="1">
        <f>101030400*(10^-6)</f>
        <v>101.0304</v>
      </c>
      <c r="G66" s="1">
        <v>6</v>
      </c>
      <c r="H66" s="1">
        <v>26.53</v>
      </c>
    </row>
    <row r="67" spans="1:8">
      <c r="A67" s="1">
        <v>6</v>
      </c>
      <c r="B67" s="1" t="s">
        <v>885</v>
      </c>
      <c r="C67" s="1">
        <v>318.3</v>
      </c>
      <c r="D67" s="1">
        <v>42.16</v>
      </c>
      <c r="E67" s="1">
        <v>0.391239</v>
      </c>
      <c r="F67" s="1">
        <f>101529600*(10^-6)</f>
        <v>101.5296</v>
      </c>
      <c r="G67" s="1">
        <v>8</v>
      </c>
      <c r="H67" s="1">
        <v>63.28</v>
      </c>
    </row>
    <row r="68" spans="1:8">
      <c r="A68" s="1">
        <v>7</v>
      </c>
      <c r="B68" s="1" t="s">
        <v>886</v>
      </c>
      <c r="C68" s="1">
        <v>120.39</v>
      </c>
      <c r="D68" s="1">
        <v>40.32</v>
      </c>
      <c r="E68" s="1">
        <v>0.45619799999999999</v>
      </c>
      <c r="F68" s="1">
        <f>101107200*(10^-6)</f>
        <v>101.10719999999999</v>
      </c>
      <c r="G68" s="1">
        <v>8</v>
      </c>
      <c r="H68" s="1">
        <v>22.91</v>
      </c>
    </row>
    <row r="69" spans="1:8">
      <c r="A69" s="1">
        <v>8</v>
      </c>
      <c r="B69" s="1" t="s">
        <v>887</v>
      </c>
      <c r="C69" s="1">
        <v>211.57</v>
      </c>
      <c r="D69" s="1">
        <v>41.45</v>
      </c>
      <c r="E69" s="1">
        <v>0.42854599999999998</v>
      </c>
      <c r="F69" s="1">
        <f>101606400*(10^-6)</f>
        <v>101.60639999999999</v>
      </c>
      <c r="G69" s="1">
        <v>8</v>
      </c>
      <c r="H69" s="1">
        <v>40.369999999999997</v>
      </c>
    </row>
    <row r="70" spans="1:8">
      <c r="A70" s="1">
        <v>9</v>
      </c>
      <c r="B70" s="1" t="s">
        <v>888</v>
      </c>
      <c r="C70" s="1">
        <v>139.37</v>
      </c>
      <c r="D70" s="1">
        <v>40.61</v>
      </c>
      <c r="E70" s="1">
        <v>0.45044299999999998</v>
      </c>
      <c r="F70" s="1">
        <f>101145600*(10^-6)</f>
        <v>101.1456</v>
      </c>
      <c r="G70" s="1">
        <v>4</v>
      </c>
      <c r="H70" s="1">
        <v>26.55</v>
      </c>
    </row>
    <row r="71" spans="1:8">
      <c r="A71" s="1">
        <v>10</v>
      </c>
      <c r="B71" s="1" t="s">
        <v>889</v>
      </c>
      <c r="C71" s="1">
        <v>154.83000000000001</v>
      </c>
      <c r="D71" s="1">
        <v>40.33</v>
      </c>
      <c r="E71" s="1">
        <v>0.31554599999999999</v>
      </c>
      <c r="F71" s="1">
        <f>53606400*(10^-6)</f>
        <v>53.606400000000001</v>
      </c>
      <c r="G71" s="1">
        <v>4</v>
      </c>
      <c r="H71" s="1">
        <v>29.42</v>
      </c>
    </row>
    <row r="72" spans="1:8">
      <c r="A72" s="1">
        <v>11</v>
      </c>
      <c r="B72" s="1" t="s">
        <v>890</v>
      </c>
      <c r="C72" s="1">
        <v>209.86</v>
      </c>
      <c r="D72" s="1">
        <v>41.43</v>
      </c>
      <c r="E72" s="1">
        <v>0.426396</v>
      </c>
      <c r="F72" s="1">
        <f>101414400*(10^-6)</f>
        <v>101.4144</v>
      </c>
      <c r="G72" s="1">
        <v>6</v>
      </c>
      <c r="H72" s="1">
        <v>40.22</v>
      </c>
    </row>
    <row r="73" spans="1:8">
      <c r="A73" s="1">
        <v>12</v>
      </c>
      <c r="B73" s="1" t="s">
        <v>891</v>
      </c>
      <c r="C73" s="1">
        <v>209.95</v>
      </c>
      <c r="D73" s="1">
        <v>41.03</v>
      </c>
      <c r="E73" s="1">
        <v>0.28187499999999999</v>
      </c>
      <c r="F73" s="1">
        <f>101606400*(10^-6)</f>
        <v>101.60639999999999</v>
      </c>
      <c r="G73" s="1">
        <v>4</v>
      </c>
      <c r="H73" s="1">
        <v>43.52</v>
      </c>
    </row>
    <row r="74" spans="1:8">
      <c r="A74" s="1">
        <v>13</v>
      </c>
      <c r="B74" s="1" t="s">
        <v>892</v>
      </c>
      <c r="C74" s="1">
        <v>245.68</v>
      </c>
      <c r="D74" s="1">
        <v>41.72</v>
      </c>
      <c r="E74" s="1">
        <v>0.42147699999999999</v>
      </c>
      <c r="F74" s="1">
        <f>102412800*(10^-6)</f>
        <v>102.41279999999999</v>
      </c>
      <c r="G74" s="1">
        <v>4</v>
      </c>
      <c r="H74" s="1">
        <v>46.71</v>
      </c>
    </row>
    <row r="75" spans="1:8">
      <c r="A75" s="1">
        <v>14</v>
      </c>
      <c r="B75" s="1" t="s">
        <v>893</v>
      </c>
      <c r="C75" s="1">
        <v>187.08</v>
      </c>
      <c r="D75" s="1">
        <v>40.479999999999997</v>
      </c>
      <c r="E75" s="1">
        <v>0.25957000000000002</v>
      </c>
      <c r="F75" s="1">
        <f>53337600*(10^-6)</f>
        <v>53.337599999999995</v>
      </c>
      <c r="G75" s="1">
        <v>4</v>
      </c>
      <c r="H75" s="1">
        <v>41.6</v>
      </c>
    </row>
    <row r="76" spans="1:8">
      <c r="A76" s="1">
        <v>15</v>
      </c>
      <c r="B76" s="1" t="s">
        <v>894</v>
      </c>
      <c r="C76" s="1">
        <v>145.46</v>
      </c>
      <c r="D76" s="1">
        <v>40.56</v>
      </c>
      <c r="E76" s="1">
        <v>0.42036000000000001</v>
      </c>
      <c r="F76" s="1">
        <f>63974400*(10^-6)</f>
        <v>63.974399999999996</v>
      </c>
      <c r="G76" s="1">
        <v>2</v>
      </c>
      <c r="H76" s="1">
        <v>27.94</v>
      </c>
    </row>
    <row r="77" spans="1:8">
      <c r="A77" s="1">
        <v>16</v>
      </c>
      <c r="B77" s="1" t="s">
        <v>895</v>
      </c>
      <c r="C77" s="1">
        <v>263.33999999999997</v>
      </c>
      <c r="D77" s="1">
        <v>41.27</v>
      </c>
      <c r="E77" s="1">
        <v>0.30327599999999999</v>
      </c>
      <c r="F77" s="1">
        <f>57792000*(10^-6)</f>
        <v>57.791999999999994</v>
      </c>
      <c r="G77" s="1">
        <v>2</v>
      </c>
      <c r="H77" s="1">
        <v>51.52</v>
      </c>
    </row>
    <row r="78" spans="1:8">
      <c r="A78" s="1">
        <v>17</v>
      </c>
      <c r="B78" s="1" t="s">
        <v>896</v>
      </c>
      <c r="C78" s="1">
        <v>185.2</v>
      </c>
      <c r="D78" s="1">
        <v>41.11</v>
      </c>
      <c r="E78" s="1">
        <v>0.41039500000000001</v>
      </c>
      <c r="F78" s="1">
        <f>101452800*(10^-6)</f>
        <v>101.4528</v>
      </c>
      <c r="G78" s="1">
        <v>0</v>
      </c>
      <c r="H78" s="1">
        <v>36.79</v>
      </c>
    </row>
    <row r="79" spans="1:8">
      <c r="A79" s="1">
        <v>18</v>
      </c>
      <c r="B79" s="1" t="s">
        <v>897</v>
      </c>
      <c r="C79" s="1">
        <v>190.07</v>
      </c>
      <c r="D79" s="1">
        <v>40.64</v>
      </c>
      <c r="E79" s="1">
        <v>0.245451</v>
      </c>
      <c r="F79" s="1">
        <f>90009600*(10^-6)</f>
        <v>90.009599999999992</v>
      </c>
      <c r="G79" s="1">
        <v>4</v>
      </c>
      <c r="H79" s="1">
        <v>40.049999999999997</v>
      </c>
    </row>
    <row r="80" spans="1:8">
      <c r="A80" s="1">
        <v>19</v>
      </c>
      <c r="B80" s="1" t="s">
        <v>898</v>
      </c>
      <c r="C80" s="1">
        <v>263.79000000000002</v>
      </c>
      <c r="D80" s="1">
        <v>42</v>
      </c>
      <c r="E80" s="1">
        <v>0.45329700000000001</v>
      </c>
      <c r="F80" s="1">
        <f>193612800*(10^-6)</f>
        <v>193.61279999999999</v>
      </c>
      <c r="G80" s="1">
        <v>0</v>
      </c>
      <c r="H80" s="1">
        <v>50.33</v>
      </c>
    </row>
    <row r="81" spans="1:8">
      <c r="A81" s="1">
        <v>20</v>
      </c>
      <c r="B81" s="1" t="s">
        <v>899</v>
      </c>
      <c r="C81" s="1">
        <v>257.52</v>
      </c>
      <c r="D81" s="1">
        <v>41.99</v>
      </c>
      <c r="E81" s="1">
        <v>0.46956500000000001</v>
      </c>
      <c r="F81" s="1">
        <f>190272000*(10^-6)</f>
        <v>190.27199999999999</v>
      </c>
      <c r="G81" s="1">
        <v>8</v>
      </c>
      <c r="H81" s="1">
        <v>50.64</v>
      </c>
    </row>
    <row r="82" spans="1:8">
      <c r="A82" s="1">
        <v>21</v>
      </c>
      <c r="B82" s="1" t="s">
        <v>900</v>
      </c>
      <c r="C82" s="1">
        <v>182.35</v>
      </c>
      <c r="D82" s="1">
        <v>41.22</v>
      </c>
      <c r="E82" s="1">
        <v>0.472742</v>
      </c>
      <c r="F82" s="1">
        <f>96307200*(10^-6)</f>
        <v>96.307199999999995</v>
      </c>
      <c r="G82" s="1">
        <v>0</v>
      </c>
      <c r="H82" s="1">
        <v>34.840000000000003</v>
      </c>
    </row>
    <row r="83" spans="1:8">
      <c r="A83" s="1">
        <v>22</v>
      </c>
      <c r="B83" s="1" t="s">
        <v>901</v>
      </c>
      <c r="C83" s="1">
        <v>369.35</v>
      </c>
      <c r="D83" s="1">
        <v>42.71</v>
      </c>
      <c r="E83" s="1">
        <v>0.449934</v>
      </c>
      <c r="F83" s="1">
        <f>193804800*(10^-6)</f>
        <v>193.8048</v>
      </c>
      <c r="G83" s="1">
        <v>6</v>
      </c>
      <c r="H83" s="1">
        <v>75.040000000000006</v>
      </c>
    </row>
    <row r="84" spans="1:8">
      <c r="A84" s="1">
        <v>23</v>
      </c>
      <c r="B84" s="1" t="s">
        <v>902</v>
      </c>
      <c r="C84" s="1">
        <v>259.18</v>
      </c>
      <c r="D84" s="1">
        <v>41.59</v>
      </c>
      <c r="E84" s="1">
        <v>0.35298499999999999</v>
      </c>
      <c r="F84" s="1">
        <f>101145600*(10^-6)</f>
        <v>101.1456</v>
      </c>
      <c r="G84" s="1">
        <v>0</v>
      </c>
      <c r="H84" s="1">
        <v>55.26</v>
      </c>
    </row>
    <row r="85" spans="1:8">
      <c r="A85" s="1">
        <v>24</v>
      </c>
      <c r="B85" s="1" t="s">
        <v>903</v>
      </c>
      <c r="C85" s="1">
        <v>135.51</v>
      </c>
      <c r="D85" s="1">
        <v>40.57</v>
      </c>
      <c r="E85" s="1">
        <v>0.46034799999999998</v>
      </c>
      <c r="F85" s="1">
        <f>102873600*(10^-6)</f>
        <v>102.8736</v>
      </c>
      <c r="G85" s="1">
        <v>6</v>
      </c>
      <c r="H85" s="1">
        <v>25.85</v>
      </c>
    </row>
    <row r="86" spans="1:8">
      <c r="A86" s="1">
        <v>25</v>
      </c>
      <c r="B86" s="1" t="s">
        <v>904</v>
      </c>
      <c r="C86" s="1">
        <v>160.44</v>
      </c>
      <c r="D86" s="1">
        <v>40.93</v>
      </c>
      <c r="E86" s="1">
        <v>0.46430399999999999</v>
      </c>
      <c r="F86" s="1">
        <f>100838400*(10^-6)</f>
        <v>100.83839999999999</v>
      </c>
      <c r="G86" s="1">
        <v>6</v>
      </c>
      <c r="H86" s="1">
        <v>30.76</v>
      </c>
    </row>
    <row r="87" spans="1:8">
      <c r="A87" s="1">
        <v>26</v>
      </c>
      <c r="B87" s="1" t="s">
        <v>905</v>
      </c>
      <c r="C87" s="1">
        <v>190.03</v>
      </c>
      <c r="D87" s="1">
        <v>41.31</v>
      </c>
      <c r="E87" s="1">
        <v>0.47161999999999998</v>
      </c>
      <c r="F87" s="1">
        <f>102259200*(10^-6)</f>
        <v>102.25919999999999</v>
      </c>
      <c r="G87" s="1">
        <v>6</v>
      </c>
      <c r="H87" s="1">
        <v>38.869999999999997</v>
      </c>
    </row>
    <row r="88" spans="1:8">
      <c r="A88" s="1">
        <v>27</v>
      </c>
      <c r="B88" s="1" t="s">
        <v>906</v>
      </c>
      <c r="C88" s="1">
        <v>168.67</v>
      </c>
      <c r="D88" s="1">
        <v>39.590000000000003</v>
      </c>
      <c r="E88" s="1">
        <v>0.232124</v>
      </c>
      <c r="F88" s="1">
        <f>8985600*(10^-6)</f>
        <v>8.9855999999999998</v>
      </c>
      <c r="G88" s="1">
        <v>2</v>
      </c>
      <c r="H88" s="1">
        <v>37.380000000000003</v>
      </c>
    </row>
    <row r="89" spans="1:8">
      <c r="A89" s="1">
        <v>28</v>
      </c>
      <c r="B89" s="1" t="s">
        <v>907</v>
      </c>
      <c r="C89" s="1">
        <v>261.81</v>
      </c>
      <c r="D89" s="1">
        <v>41.71</v>
      </c>
      <c r="E89" s="1">
        <v>0.40013500000000002</v>
      </c>
      <c r="F89" s="1">
        <f>101644800*(10^-6)</f>
        <v>101.64479999999999</v>
      </c>
      <c r="G89" s="1">
        <v>2</v>
      </c>
      <c r="H89" s="1">
        <v>49.71</v>
      </c>
    </row>
    <row r="90" spans="1:8">
      <c r="A90" s="1">
        <v>29</v>
      </c>
      <c r="B90" s="1" t="s">
        <v>908</v>
      </c>
      <c r="C90" s="1">
        <v>128.34</v>
      </c>
      <c r="D90" s="1">
        <v>40.299999999999997</v>
      </c>
      <c r="E90" s="1">
        <v>0.41022799999999998</v>
      </c>
      <c r="F90" s="1">
        <f>68851200*(10^-6)</f>
        <v>68.851199999999992</v>
      </c>
      <c r="G90" s="1">
        <v>2</v>
      </c>
      <c r="H90" s="1">
        <v>24.34</v>
      </c>
    </row>
    <row r="91" spans="1:8">
      <c r="A91" s="1">
        <v>30</v>
      </c>
      <c r="B91" s="1" t="s">
        <v>909</v>
      </c>
      <c r="C91" s="1">
        <v>241.18</v>
      </c>
      <c r="D91" s="1">
        <v>41.85</v>
      </c>
      <c r="E91" s="1">
        <v>0.47287200000000001</v>
      </c>
      <c r="F91" s="1">
        <f>192921600*(10^-6)</f>
        <v>192.92159999999998</v>
      </c>
      <c r="G91" s="1">
        <v>0</v>
      </c>
      <c r="H91" s="1">
        <v>50.22</v>
      </c>
    </row>
    <row r="92" spans="1:8">
      <c r="A92" s="1">
        <v>31</v>
      </c>
      <c r="B92" s="1" t="s">
        <v>910</v>
      </c>
      <c r="C92" s="1">
        <v>214.46</v>
      </c>
      <c r="D92" s="1">
        <v>41.27</v>
      </c>
      <c r="E92" s="1">
        <v>0.38342700000000002</v>
      </c>
      <c r="F92" s="1">
        <f>87283200*(10^-6)</f>
        <v>87.283199999999994</v>
      </c>
      <c r="G92" s="1">
        <v>4</v>
      </c>
      <c r="H92" s="1">
        <v>42.89</v>
      </c>
    </row>
    <row r="93" spans="1:8">
      <c r="A93" s="1">
        <v>32</v>
      </c>
      <c r="B93" s="1" t="s">
        <v>911</v>
      </c>
      <c r="C93" s="1">
        <v>227.24</v>
      </c>
      <c r="D93" s="1">
        <v>40.74</v>
      </c>
      <c r="E93" s="1">
        <v>0.35941400000000001</v>
      </c>
      <c r="F93" s="1">
        <f>13785600*(10^-6)</f>
        <v>13.785599999999999</v>
      </c>
      <c r="G93" s="1">
        <v>2</v>
      </c>
      <c r="H93" s="1">
        <v>44.57</v>
      </c>
    </row>
    <row r="94" spans="1:8">
      <c r="A94" s="1">
        <v>33</v>
      </c>
      <c r="B94" s="1" t="s">
        <v>912</v>
      </c>
      <c r="C94" s="1">
        <v>157.04</v>
      </c>
      <c r="D94" s="1">
        <v>40.880000000000003</v>
      </c>
      <c r="E94" s="1">
        <v>0.46157199999999998</v>
      </c>
      <c r="F94" s="1">
        <f>100876800*(10^-6)</f>
        <v>100.87679999999999</v>
      </c>
      <c r="G94" s="1">
        <v>2</v>
      </c>
      <c r="H94" s="1">
        <v>30.16</v>
      </c>
    </row>
    <row r="95" spans="1:8">
      <c r="A95" s="1">
        <v>34</v>
      </c>
      <c r="B95" s="1" t="s">
        <v>913</v>
      </c>
      <c r="C95" s="1">
        <v>138.27000000000001</v>
      </c>
      <c r="D95" s="1">
        <v>40.590000000000003</v>
      </c>
      <c r="E95" s="1">
        <v>0.45074900000000001</v>
      </c>
      <c r="F95" s="1">
        <f>99878400*(10^-6)</f>
        <v>99.878399999999999</v>
      </c>
      <c r="G95" s="1">
        <v>4</v>
      </c>
      <c r="H95" s="1">
        <v>26.56</v>
      </c>
    </row>
    <row r="96" spans="1:8">
      <c r="A96" s="1">
        <v>35</v>
      </c>
      <c r="B96" s="1" t="s">
        <v>914</v>
      </c>
      <c r="C96" s="1">
        <v>176.39</v>
      </c>
      <c r="D96" s="1">
        <v>40.9</v>
      </c>
      <c r="E96" s="1">
        <v>0.38847700000000002</v>
      </c>
      <c r="F96" s="1">
        <f>79603200*(10^-6)</f>
        <v>79.603200000000001</v>
      </c>
      <c r="G96" s="1">
        <v>4</v>
      </c>
      <c r="H96" s="1">
        <v>35.090000000000003</v>
      </c>
    </row>
    <row r="97" spans="1:8">
      <c r="A97" s="1">
        <v>36</v>
      </c>
      <c r="B97" s="1" t="s">
        <v>915</v>
      </c>
      <c r="C97" s="1">
        <v>203.09</v>
      </c>
      <c r="D97" s="1">
        <v>41.52</v>
      </c>
      <c r="E97" s="1">
        <v>0.49316199999999999</v>
      </c>
      <c r="F97" s="1">
        <f>187660800*(10^-6)</f>
        <v>187.66079999999999</v>
      </c>
      <c r="G97" s="1">
        <v>2</v>
      </c>
      <c r="H97" s="1">
        <v>39.630000000000003</v>
      </c>
    </row>
    <row r="98" spans="1:8">
      <c r="A98" s="1">
        <v>37</v>
      </c>
      <c r="B98" s="1" t="s">
        <v>916</v>
      </c>
      <c r="C98" s="1">
        <v>161.05000000000001</v>
      </c>
      <c r="D98" s="1">
        <v>40.549999999999997</v>
      </c>
      <c r="E98" s="1">
        <v>0.331343</v>
      </c>
      <c r="F98" s="1">
        <f>69849600*(10^-6)</f>
        <v>69.849599999999995</v>
      </c>
      <c r="G98" s="1">
        <v>0</v>
      </c>
      <c r="H98" s="1">
        <v>30.78</v>
      </c>
    </row>
    <row r="99" spans="1:8">
      <c r="A99" s="1">
        <v>38</v>
      </c>
      <c r="B99" s="1" t="s">
        <v>917</v>
      </c>
      <c r="C99" s="1">
        <v>101.03</v>
      </c>
      <c r="D99" s="1">
        <v>39.770000000000003</v>
      </c>
      <c r="E99" s="1">
        <v>0.39886500000000003</v>
      </c>
      <c r="F99" s="1">
        <f>52992000*(10^-6)</f>
        <v>52.991999999999997</v>
      </c>
      <c r="G99" s="1">
        <v>0</v>
      </c>
      <c r="H99" s="1">
        <v>19.309999999999999</v>
      </c>
    </row>
    <row r="100" spans="1:8">
      <c r="A100" s="1">
        <v>39</v>
      </c>
      <c r="B100" s="1" t="s">
        <v>918</v>
      </c>
      <c r="C100" s="1">
        <v>220.68</v>
      </c>
      <c r="D100" s="1">
        <v>40.729999999999997</v>
      </c>
      <c r="E100" s="1">
        <v>0.37589800000000001</v>
      </c>
      <c r="F100" s="1">
        <f>11481600*(10^-6)</f>
        <v>11.4816</v>
      </c>
      <c r="G100" s="1">
        <v>2</v>
      </c>
      <c r="H100" s="1">
        <v>42.16</v>
      </c>
    </row>
    <row r="101" spans="1:8">
      <c r="A101" s="1">
        <v>40</v>
      </c>
      <c r="B101" s="1" t="s">
        <v>919</v>
      </c>
      <c r="C101" s="1">
        <v>122.23</v>
      </c>
      <c r="D101" s="1">
        <v>40.369999999999997</v>
      </c>
      <c r="E101" s="1">
        <v>0.46720200000000001</v>
      </c>
      <c r="F101" s="1">
        <f>89280000*(10^-6)</f>
        <v>89.28</v>
      </c>
      <c r="G101" s="1">
        <v>4</v>
      </c>
      <c r="H101" s="1">
        <v>23.33</v>
      </c>
    </row>
    <row r="102" spans="1:8">
      <c r="A102" s="1">
        <v>41</v>
      </c>
      <c r="B102" s="1" t="s">
        <v>920</v>
      </c>
      <c r="C102" s="1">
        <v>156.56</v>
      </c>
      <c r="D102" s="1">
        <v>40.869999999999997</v>
      </c>
      <c r="E102" s="1">
        <v>0.46132800000000002</v>
      </c>
      <c r="F102" s="1">
        <f>100876800*(10^-6)</f>
        <v>100.87679999999999</v>
      </c>
      <c r="G102" s="1">
        <v>2</v>
      </c>
      <c r="H102" s="1">
        <v>30.13</v>
      </c>
    </row>
    <row r="103" spans="1:8">
      <c r="A103" s="1">
        <v>42</v>
      </c>
      <c r="B103" s="1" t="s">
        <v>921</v>
      </c>
      <c r="C103" s="1">
        <v>132.1</v>
      </c>
      <c r="D103" s="1">
        <v>40.54</v>
      </c>
      <c r="E103" s="1">
        <v>0.46869300000000003</v>
      </c>
      <c r="F103" s="1">
        <f>101299200*(10^-6)</f>
        <v>101.2992</v>
      </c>
      <c r="G103" s="1">
        <v>4</v>
      </c>
      <c r="H103" s="1">
        <v>25.67</v>
      </c>
    </row>
    <row r="104" spans="1:8">
      <c r="A104" s="1">
        <v>43</v>
      </c>
      <c r="B104" s="1" t="s">
        <v>922</v>
      </c>
      <c r="C104" s="1">
        <v>194.57</v>
      </c>
      <c r="D104" s="1">
        <v>41.19</v>
      </c>
      <c r="E104" s="1">
        <v>0.39993499999999998</v>
      </c>
      <c r="F104" s="1">
        <f>102720000*(10^-6)</f>
        <v>102.72</v>
      </c>
      <c r="G104" s="1">
        <v>0</v>
      </c>
      <c r="H104" s="1">
        <v>37.11</v>
      </c>
    </row>
    <row r="105" spans="1:8">
      <c r="A105" s="1">
        <v>44</v>
      </c>
      <c r="B105" s="1" t="s">
        <v>923</v>
      </c>
      <c r="C105" s="1">
        <v>162.97999999999999</v>
      </c>
      <c r="D105" s="1">
        <v>40.909999999999997</v>
      </c>
      <c r="E105" s="1">
        <v>0.441245</v>
      </c>
      <c r="F105" s="1">
        <f>100838400*(10^-6)</f>
        <v>100.83839999999999</v>
      </c>
      <c r="G105" s="1">
        <v>8</v>
      </c>
      <c r="H105" s="1">
        <v>31.49</v>
      </c>
    </row>
    <row r="106" spans="1:8">
      <c r="A106" s="1">
        <v>45</v>
      </c>
      <c r="B106" s="1" t="s">
        <v>924</v>
      </c>
      <c r="C106" s="1">
        <v>211.17</v>
      </c>
      <c r="D106" s="1">
        <v>41.44</v>
      </c>
      <c r="E106" s="1">
        <v>0.42696899999999999</v>
      </c>
      <c r="F106" s="1">
        <f>101568000*(10^-6)</f>
        <v>101.568</v>
      </c>
      <c r="G106" s="1">
        <v>8</v>
      </c>
      <c r="H106" s="1">
        <v>40.22</v>
      </c>
    </row>
    <row r="107" spans="1:8">
      <c r="A107" s="1">
        <v>46</v>
      </c>
      <c r="B107" s="1" t="s">
        <v>925</v>
      </c>
      <c r="C107" s="1">
        <v>172.82</v>
      </c>
      <c r="D107" s="1">
        <v>40.03</v>
      </c>
      <c r="E107" s="1">
        <v>0.33034200000000002</v>
      </c>
      <c r="F107" s="1">
        <f>8179200*(10^-6)</f>
        <v>8.1791999999999998</v>
      </c>
      <c r="G107" s="1">
        <v>0</v>
      </c>
      <c r="H107" s="1">
        <v>32.97</v>
      </c>
    </row>
    <row r="108" spans="1:8">
      <c r="A108" s="1">
        <v>47</v>
      </c>
      <c r="B108" s="1" t="s">
        <v>926</v>
      </c>
      <c r="C108" s="1">
        <v>234.32</v>
      </c>
      <c r="D108" s="1">
        <v>41.29</v>
      </c>
      <c r="E108" s="1">
        <v>0.29396099999999997</v>
      </c>
      <c r="F108" s="1">
        <f>101414400*(10^-6)</f>
        <v>101.4144</v>
      </c>
      <c r="G108" s="1">
        <v>4</v>
      </c>
      <c r="H108" s="1">
        <v>46.85</v>
      </c>
    </row>
    <row r="109" spans="1:8">
      <c r="A109" s="1">
        <v>48</v>
      </c>
      <c r="B109" s="1" t="s">
        <v>927</v>
      </c>
      <c r="C109" s="1">
        <v>249.56</v>
      </c>
      <c r="D109" s="1">
        <v>41.19</v>
      </c>
      <c r="E109" s="1">
        <v>0.39355200000000001</v>
      </c>
      <c r="F109" s="1">
        <f>19545600*(10^-6)</f>
        <v>19.5456</v>
      </c>
      <c r="G109" s="1">
        <v>0</v>
      </c>
      <c r="H109" s="1">
        <v>47.43</v>
      </c>
    </row>
    <row r="110" spans="1:8">
      <c r="A110" s="1">
        <v>49</v>
      </c>
      <c r="B110" s="1" t="s">
        <v>928</v>
      </c>
      <c r="C110" s="1">
        <v>178.82</v>
      </c>
      <c r="D110" s="1">
        <v>40.56</v>
      </c>
      <c r="E110" s="1">
        <v>0.30019499999999999</v>
      </c>
      <c r="F110" s="1">
        <f>39206400*(10^-6)</f>
        <v>39.206399999999995</v>
      </c>
      <c r="G110" s="1">
        <v>8</v>
      </c>
      <c r="H110" s="1">
        <v>36.46</v>
      </c>
    </row>
    <row r="111" spans="1:8">
      <c r="A111" s="1">
        <v>50</v>
      </c>
      <c r="B111" s="1" t="s">
        <v>929</v>
      </c>
      <c r="C111" s="1">
        <v>245.44</v>
      </c>
      <c r="D111" s="1">
        <v>41.41</v>
      </c>
      <c r="E111" s="1">
        <v>0.30868699999999999</v>
      </c>
      <c r="F111" s="1">
        <f>99340800*(10^-6)</f>
        <v>99.340800000000002</v>
      </c>
      <c r="G111" s="1">
        <v>2</v>
      </c>
      <c r="H111" s="1">
        <v>48.6</v>
      </c>
    </row>
    <row r="112" spans="1:8">
      <c r="B112" s="1" t="s">
        <v>19</v>
      </c>
      <c r="C112" s="1">
        <f>AVERAGE(C62:C111)</f>
        <v>195.06180000000003</v>
      </c>
      <c r="D112" s="1">
        <f t="shared" ref="D112:F112" si="5">AVERAGE(D62:D111)</f>
        <v>41.016999999999996</v>
      </c>
      <c r="E112" s="1">
        <f t="shared" si="5"/>
        <v>0.40359134000000002</v>
      </c>
      <c r="F112" s="1">
        <f t="shared" si="5"/>
        <v>96.014592000000007</v>
      </c>
      <c r="H112" s="1">
        <f t="shared" ref="H112" si="6">AVERAGE(H62:H111)</f>
        <v>38.468400000000003</v>
      </c>
    </row>
    <row r="113" spans="1:8">
      <c r="B113" s="1" t="s">
        <v>20</v>
      </c>
      <c r="C113" s="1">
        <f>MIN(C61:C111)</f>
        <v>101.03</v>
      </c>
      <c r="D113" s="1">
        <f t="shared" ref="D113:F113" si="7">MIN(D61:D111)</f>
        <v>39.590000000000003</v>
      </c>
      <c r="E113" s="1">
        <f t="shared" si="7"/>
        <v>0.232124</v>
      </c>
      <c r="F113" s="1">
        <f t="shared" si="7"/>
        <v>8.1791999999999998</v>
      </c>
      <c r="H113" s="1">
        <f t="shared" ref="H113" si="8">MIN(H61:H111)</f>
        <v>19.309999999999999</v>
      </c>
    </row>
    <row r="114" spans="1:8">
      <c r="B114" s="1" t="s">
        <v>3</v>
      </c>
      <c r="C114" s="1">
        <f>STDEV(C62:C111)</f>
        <v>57.12014186692759</v>
      </c>
      <c r="D114" s="1">
        <f t="shared" ref="D114:E114" si="9">STDEV(D62:D111)</f>
        <v>0.64949352324322729</v>
      </c>
      <c r="E114" s="1">
        <f t="shared" si="9"/>
        <v>7.0057184733618966E-2</v>
      </c>
      <c r="F114" s="1">
        <f>STDEV(F62:F111)</f>
        <v>48.908228291036025</v>
      </c>
      <c r="H114" s="1">
        <f>STDEV(H62:H111)</f>
        <v>11.807536915038684</v>
      </c>
    </row>
    <row r="116" spans="1:8">
      <c r="H116" s="2" t="s">
        <v>1435</v>
      </c>
    </row>
    <row r="117" spans="1:8" ht="18">
      <c r="A117" s="2" t="s">
        <v>7</v>
      </c>
      <c r="B117" s="3" t="s">
        <v>1</v>
      </c>
      <c r="C117" s="2" t="s">
        <v>4</v>
      </c>
      <c r="D117" s="2" t="s">
        <v>322</v>
      </c>
      <c r="E117" s="2" t="s">
        <v>321</v>
      </c>
      <c r="F117" s="2" t="s">
        <v>324</v>
      </c>
      <c r="G117" s="2" t="s">
        <v>323</v>
      </c>
      <c r="H117" s="2" t="s">
        <v>1436</v>
      </c>
    </row>
    <row r="118" spans="1:8">
      <c r="A118" s="1">
        <v>1</v>
      </c>
      <c r="B118" s="1" t="s">
        <v>630</v>
      </c>
      <c r="C118" s="1">
        <v>134.47</v>
      </c>
      <c r="D118" s="1">
        <v>80.67</v>
      </c>
      <c r="E118" s="1">
        <v>0.402196</v>
      </c>
      <c r="F118" s="1">
        <f>47923200*(10^-6)</f>
        <v>47.923200000000001</v>
      </c>
      <c r="G118" s="1">
        <v>6</v>
      </c>
      <c r="H118" s="1">
        <v>27.02</v>
      </c>
    </row>
    <row r="119" spans="1:8">
      <c r="A119" s="1">
        <v>2</v>
      </c>
      <c r="B119" s="1" t="s">
        <v>631</v>
      </c>
      <c r="C119" s="1">
        <v>159.44</v>
      </c>
      <c r="D119" s="1">
        <v>79.73</v>
      </c>
      <c r="E119" s="1">
        <v>0.32922600000000002</v>
      </c>
      <c r="F119" s="1">
        <f>7027200*(10^-6)</f>
        <v>7.0271999999999997</v>
      </c>
      <c r="G119" s="1">
        <v>6</v>
      </c>
      <c r="H119" s="1">
        <v>31.21</v>
      </c>
    </row>
    <row r="120" spans="1:8">
      <c r="A120" s="1">
        <v>3</v>
      </c>
      <c r="B120" s="1" t="s">
        <v>632</v>
      </c>
      <c r="C120" s="1">
        <v>157.06</v>
      </c>
      <c r="D120" s="1">
        <v>81.75</v>
      </c>
      <c r="E120" s="1">
        <v>0.46115699999999998</v>
      </c>
      <c r="F120" s="1">
        <f>101068800*(10^-6)</f>
        <v>101.0688</v>
      </c>
      <c r="G120" s="1">
        <v>4</v>
      </c>
      <c r="H120" s="1">
        <v>30.14</v>
      </c>
    </row>
    <row r="121" spans="1:8">
      <c r="A121" s="1">
        <v>4</v>
      </c>
      <c r="B121" s="1" t="s">
        <v>633</v>
      </c>
      <c r="C121" s="1">
        <v>155.16</v>
      </c>
      <c r="D121" s="1">
        <v>78.84</v>
      </c>
      <c r="E121" s="1">
        <v>0.26214399999999999</v>
      </c>
      <c r="F121" s="1">
        <f>460800*(10^-6)</f>
        <v>0.46079999999999999</v>
      </c>
      <c r="G121" s="1">
        <v>6</v>
      </c>
      <c r="H121" s="1">
        <v>33.200000000000003</v>
      </c>
    </row>
    <row r="122" spans="1:8">
      <c r="A122" s="1">
        <v>5</v>
      </c>
      <c r="B122" s="1" t="s">
        <v>634</v>
      </c>
      <c r="C122" s="1">
        <v>189.58</v>
      </c>
      <c r="D122" s="1">
        <v>80.87</v>
      </c>
      <c r="E122" s="1">
        <v>0.34940399999999999</v>
      </c>
      <c r="F122" s="1">
        <f>4377600*(10^-6)</f>
        <v>4.3776000000000002</v>
      </c>
      <c r="G122" s="1">
        <v>14</v>
      </c>
      <c r="H122" s="1">
        <v>36.799999999999997</v>
      </c>
    </row>
    <row r="123" spans="1:8">
      <c r="A123" s="1">
        <v>6</v>
      </c>
      <c r="B123" s="1" t="s">
        <v>635</v>
      </c>
      <c r="C123" s="1">
        <v>144.69999999999999</v>
      </c>
      <c r="D123" s="1">
        <v>81.17</v>
      </c>
      <c r="E123" s="1">
        <v>0.38211699999999998</v>
      </c>
      <c r="F123" s="1">
        <f>97920000*(10^-6)</f>
        <v>97.92</v>
      </c>
      <c r="G123" s="1">
        <v>12</v>
      </c>
      <c r="H123" s="1">
        <v>27.59</v>
      </c>
    </row>
    <row r="124" spans="1:8">
      <c r="A124" s="1">
        <v>7</v>
      </c>
      <c r="B124" s="1" t="s">
        <v>636</v>
      </c>
      <c r="C124" s="1">
        <v>167.83</v>
      </c>
      <c r="D124" s="1">
        <v>80.75</v>
      </c>
      <c r="E124" s="1">
        <v>0.28393600000000002</v>
      </c>
      <c r="F124" s="1">
        <f>32716800*(10^-6)</f>
        <v>32.716799999999999</v>
      </c>
      <c r="G124" s="1">
        <v>2</v>
      </c>
      <c r="H124" s="1">
        <v>34.76</v>
      </c>
    </row>
    <row r="125" spans="1:8">
      <c r="A125" s="1">
        <v>8</v>
      </c>
      <c r="B125" s="1" t="s">
        <v>637</v>
      </c>
      <c r="C125" s="1">
        <v>124.82</v>
      </c>
      <c r="D125" s="1">
        <v>80.08</v>
      </c>
      <c r="E125" s="1">
        <v>0.33630700000000002</v>
      </c>
      <c r="F125" s="1">
        <f>53836800*(10^-6)</f>
        <v>53.836799999999997</v>
      </c>
      <c r="G125" s="1">
        <v>12</v>
      </c>
      <c r="H125" s="1">
        <v>24.37</v>
      </c>
    </row>
    <row r="126" spans="1:8">
      <c r="A126" s="1">
        <v>9</v>
      </c>
      <c r="B126" s="1" t="s">
        <v>638</v>
      </c>
      <c r="C126" s="1">
        <v>139.47999999999999</v>
      </c>
      <c r="D126" s="1">
        <v>81.150000000000006</v>
      </c>
      <c r="E126" s="1">
        <v>0.44517099999999998</v>
      </c>
      <c r="F126" s="1">
        <f>72729600*(10^-6)</f>
        <v>72.729599999999991</v>
      </c>
      <c r="G126" s="1">
        <v>6</v>
      </c>
      <c r="H126" s="1">
        <v>26.99</v>
      </c>
    </row>
    <row r="127" spans="1:8">
      <c r="A127" s="1">
        <v>10</v>
      </c>
      <c r="B127" s="1" t="s">
        <v>639</v>
      </c>
      <c r="C127" s="1">
        <v>112.62</v>
      </c>
      <c r="D127" s="1">
        <v>78.930000000000007</v>
      </c>
      <c r="E127" s="1">
        <v>0.39075300000000002</v>
      </c>
      <c r="F127" s="1">
        <f>2265600*(10^-6)</f>
        <v>2.2656000000000001</v>
      </c>
      <c r="G127" s="1">
        <v>16</v>
      </c>
      <c r="H127" s="1">
        <v>21.52</v>
      </c>
    </row>
    <row r="128" spans="1:8">
      <c r="A128" s="1">
        <v>11</v>
      </c>
      <c r="B128" s="1" t="s">
        <v>640</v>
      </c>
      <c r="C128" s="1">
        <v>166.07</v>
      </c>
      <c r="D128" s="1">
        <v>81.3</v>
      </c>
      <c r="E128" s="1">
        <v>0.37845499999999999</v>
      </c>
      <c r="F128" s="1">
        <f>28953600*(10^-6)</f>
        <v>28.953599999999998</v>
      </c>
      <c r="G128" s="1">
        <v>6</v>
      </c>
      <c r="H128" s="1">
        <v>33.43</v>
      </c>
    </row>
    <row r="129" spans="1:8">
      <c r="A129" s="1">
        <v>12</v>
      </c>
      <c r="B129" s="1" t="s">
        <v>641</v>
      </c>
      <c r="C129" s="1">
        <v>155.99</v>
      </c>
      <c r="D129" s="1">
        <v>81.48</v>
      </c>
      <c r="E129" s="1">
        <v>0.39483099999999999</v>
      </c>
      <c r="F129" s="1">
        <f>99686400*(10^-6)</f>
        <v>99.686399999999992</v>
      </c>
      <c r="G129" s="1">
        <v>14</v>
      </c>
      <c r="H129" s="1">
        <v>29.78</v>
      </c>
    </row>
    <row r="130" spans="1:8">
      <c r="A130" s="1">
        <v>13</v>
      </c>
      <c r="B130" s="1" t="s">
        <v>642</v>
      </c>
      <c r="C130" s="1">
        <v>113.52</v>
      </c>
      <c r="D130" s="1">
        <v>80.290000000000006</v>
      </c>
      <c r="E130" s="1">
        <v>0.44415100000000002</v>
      </c>
      <c r="F130" s="1">
        <f>65702400*(10^-6)</f>
        <v>65.702399999999997</v>
      </c>
      <c r="G130" s="1">
        <v>2</v>
      </c>
      <c r="H130" s="1">
        <v>22.82</v>
      </c>
    </row>
    <row r="131" spans="1:8">
      <c r="A131" s="1">
        <v>14</v>
      </c>
      <c r="B131" s="1" t="s">
        <v>643</v>
      </c>
      <c r="C131" s="1">
        <v>155.82</v>
      </c>
      <c r="D131" s="1">
        <v>79.39</v>
      </c>
      <c r="E131" s="1">
        <v>0.36747299999999999</v>
      </c>
      <c r="F131" s="1">
        <f>422400*(10^-6)</f>
        <v>0.4224</v>
      </c>
      <c r="G131" s="1">
        <v>4</v>
      </c>
      <c r="H131" s="1">
        <v>29.62</v>
      </c>
    </row>
    <row r="132" spans="1:8">
      <c r="A132" s="1">
        <v>15</v>
      </c>
      <c r="B132" s="1" t="s">
        <v>644</v>
      </c>
      <c r="C132" s="1">
        <v>117.59</v>
      </c>
      <c r="D132" s="1">
        <v>80.260000000000005</v>
      </c>
      <c r="E132" s="1">
        <v>0.41753600000000002</v>
      </c>
      <c r="F132" s="1">
        <f>54144000*(10^-6)</f>
        <v>54.143999999999998</v>
      </c>
      <c r="G132" s="1">
        <v>10</v>
      </c>
      <c r="H132" s="1">
        <v>22.96</v>
      </c>
    </row>
    <row r="133" spans="1:8">
      <c r="A133" s="1">
        <v>16</v>
      </c>
      <c r="B133" s="1" t="s">
        <v>645</v>
      </c>
      <c r="C133" s="1">
        <v>113.47</v>
      </c>
      <c r="D133" s="1">
        <v>80.02</v>
      </c>
      <c r="E133" s="1">
        <v>0.40255600000000002</v>
      </c>
      <c r="F133" s="1">
        <f>52761600*(10^-6)</f>
        <v>52.761599999999994</v>
      </c>
      <c r="G133" s="1">
        <v>2</v>
      </c>
      <c r="H133" s="1">
        <v>21.69</v>
      </c>
    </row>
    <row r="134" spans="1:8">
      <c r="A134" s="1">
        <v>17</v>
      </c>
      <c r="B134" s="1" t="s">
        <v>646</v>
      </c>
      <c r="C134" s="1">
        <v>121.42</v>
      </c>
      <c r="D134" s="1">
        <v>79.53</v>
      </c>
      <c r="E134" s="1">
        <v>0.39146500000000001</v>
      </c>
      <c r="F134" s="1">
        <f>5145600*(10^-6)</f>
        <v>5.1456</v>
      </c>
      <c r="G134" s="1">
        <v>2</v>
      </c>
      <c r="H134" s="1">
        <v>23.28</v>
      </c>
    </row>
    <row r="135" spans="1:8">
      <c r="A135" s="1">
        <v>18</v>
      </c>
      <c r="B135" s="1" t="s">
        <v>647</v>
      </c>
      <c r="C135" s="1">
        <v>186.38</v>
      </c>
      <c r="D135" s="1">
        <v>81.52</v>
      </c>
      <c r="E135" s="1">
        <v>0.35256999999999999</v>
      </c>
      <c r="F135" s="1">
        <f>25113600*(10^-6)</f>
        <v>25.113599999999998</v>
      </c>
      <c r="G135" s="1">
        <v>8</v>
      </c>
      <c r="H135" s="1">
        <v>36.08</v>
      </c>
    </row>
    <row r="136" spans="1:8">
      <c r="A136" s="1">
        <v>19</v>
      </c>
      <c r="B136" s="1" t="s">
        <v>648</v>
      </c>
      <c r="C136" s="1">
        <v>184.57</v>
      </c>
      <c r="D136" s="1">
        <v>81.61</v>
      </c>
      <c r="E136" s="1">
        <v>0.37852999999999998</v>
      </c>
      <c r="F136" s="1">
        <f>16588800*(10^-6)</f>
        <v>16.588799999999999</v>
      </c>
      <c r="G136" s="1">
        <v>4</v>
      </c>
      <c r="H136" s="1">
        <v>36.67</v>
      </c>
    </row>
    <row r="137" spans="1:8">
      <c r="A137" s="1">
        <v>20</v>
      </c>
      <c r="B137" s="1" t="s">
        <v>649</v>
      </c>
      <c r="C137" s="1">
        <v>119.99</v>
      </c>
      <c r="D137" s="1">
        <v>80.03</v>
      </c>
      <c r="E137" s="1">
        <v>0.32684200000000002</v>
      </c>
      <c r="F137" s="1">
        <f>52992000*(10^-6)</f>
        <v>52.991999999999997</v>
      </c>
      <c r="G137" s="1">
        <v>10</v>
      </c>
      <c r="H137" s="1">
        <v>23.08</v>
      </c>
    </row>
    <row r="138" spans="1:8">
      <c r="A138" s="1">
        <v>21</v>
      </c>
      <c r="B138" s="1" t="s">
        <v>650</v>
      </c>
      <c r="C138" s="1">
        <v>138.85</v>
      </c>
      <c r="D138" s="1">
        <v>80.44</v>
      </c>
      <c r="E138" s="1">
        <v>0.42280600000000002</v>
      </c>
      <c r="F138" s="1">
        <f>9024000*(10^-6)</f>
        <v>9.0239999999999991</v>
      </c>
      <c r="G138" s="1">
        <v>6</v>
      </c>
      <c r="H138" s="1">
        <v>26.53</v>
      </c>
    </row>
    <row r="139" spans="1:8">
      <c r="A139" s="1">
        <v>22</v>
      </c>
      <c r="B139" s="1" t="s">
        <v>651</v>
      </c>
      <c r="C139" s="1">
        <v>126.63</v>
      </c>
      <c r="D139" s="1">
        <v>79.56</v>
      </c>
      <c r="E139" s="1">
        <v>0.26993699999999998</v>
      </c>
      <c r="F139" s="1">
        <f>23232000*(10^-6)</f>
        <v>23.231999999999999</v>
      </c>
      <c r="G139" s="1">
        <v>16</v>
      </c>
      <c r="H139" s="1">
        <v>26.3</v>
      </c>
    </row>
    <row r="140" spans="1:8">
      <c r="A140" s="1">
        <v>23</v>
      </c>
      <c r="B140" s="1" t="s">
        <v>652</v>
      </c>
      <c r="C140" s="1">
        <v>144.66</v>
      </c>
      <c r="D140" s="1">
        <v>79.39</v>
      </c>
      <c r="E140" s="1">
        <v>0.22750100000000001</v>
      </c>
      <c r="F140" s="1">
        <f>19776000*(10^-6)</f>
        <v>19.776</v>
      </c>
      <c r="G140" s="1">
        <v>0</v>
      </c>
      <c r="H140" s="1">
        <v>29.36</v>
      </c>
    </row>
    <row r="141" spans="1:8">
      <c r="A141" s="1">
        <v>24</v>
      </c>
      <c r="B141" s="1" t="s">
        <v>653</v>
      </c>
      <c r="C141" s="1">
        <v>128.43</v>
      </c>
      <c r="D141" s="1">
        <v>80.86</v>
      </c>
      <c r="E141" s="1">
        <v>0.44822800000000002</v>
      </c>
      <c r="F141" s="1">
        <f>85747200*(10^-6)</f>
        <v>85.747199999999992</v>
      </c>
      <c r="G141" s="1">
        <v>2</v>
      </c>
      <c r="H141" s="1">
        <v>24.73</v>
      </c>
    </row>
    <row r="142" spans="1:8">
      <c r="A142" s="1">
        <v>25</v>
      </c>
      <c r="B142" s="1" t="s">
        <v>654</v>
      </c>
      <c r="C142" s="1">
        <v>152.66</v>
      </c>
      <c r="D142" s="1">
        <v>81.25</v>
      </c>
      <c r="E142" s="1">
        <v>0.37908999999999998</v>
      </c>
      <c r="F142" s="1">
        <f>69158400*(10^-6)</f>
        <v>69.1584</v>
      </c>
      <c r="G142" s="1">
        <v>2</v>
      </c>
      <c r="H142" s="1">
        <v>29.23</v>
      </c>
    </row>
    <row r="143" spans="1:8">
      <c r="A143" s="1">
        <v>26</v>
      </c>
      <c r="B143" s="1" t="s">
        <v>655</v>
      </c>
      <c r="C143" s="1">
        <v>145.05000000000001</v>
      </c>
      <c r="D143" s="1">
        <v>80.69</v>
      </c>
      <c r="E143" s="1">
        <v>0.35891400000000001</v>
      </c>
      <c r="F143" s="1">
        <f>21696000*(10^-6)</f>
        <v>21.695999999999998</v>
      </c>
      <c r="G143" s="1">
        <v>2</v>
      </c>
      <c r="H143" s="1">
        <v>27.61</v>
      </c>
    </row>
    <row r="144" spans="1:8">
      <c r="A144" s="1">
        <v>27</v>
      </c>
      <c r="B144" s="1" t="s">
        <v>656</v>
      </c>
      <c r="C144" s="1">
        <v>134.68</v>
      </c>
      <c r="D144" s="1">
        <v>79.55</v>
      </c>
      <c r="E144" s="1">
        <v>0.28507100000000002</v>
      </c>
      <c r="F144" s="1">
        <f>14131200*(10^-6)</f>
        <v>14.1312</v>
      </c>
      <c r="G144" s="1">
        <v>0</v>
      </c>
      <c r="H144" s="1">
        <v>26.15</v>
      </c>
    </row>
    <row r="145" spans="1:8">
      <c r="A145" s="1">
        <v>28</v>
      </c>
      <c r="B145" s="1" t="s">
        <v>657</v>
      </c>
      <c r="C145" s="1">
        <v>115.53</v>
      </c>
      <c r="D145" s="1">
        <v>80.2</v>
      </c>
      <c r="E145" s="1">
        <v>0.41267399999999999</v>
      </c>
      <c r="F145" s="1">
        <f>64473600*(10^-6)</f>
        <v>64.47359999999999</v>
      </c>
      <c r="G145" s="1">
        <v>16</v>
      </c>
      <c r="H145" s="1">
        <v>22.03</v>
      </c>
    </row>
    <row r="146" spans="1:8">
      <c r="A146" s="1">
        <v>29</v>
      </c>
      <c r="B146" s="1" t="s">
        <v>658</v>
      </c>
      <c r="C146" s="1">
        <v>160.04</v>
      </c>
      <c r="D146" s="1">
        <v>80.150000000000006</v>
      </c>
      <c r="E146" s="1">
        <v>0.31245800000000001</v>
      </c>
      <c r="F146" s="1">
        <f>5260800*(10^-6)</f>
        <v>5.2607999999999997</v>
      </c>
      <c r="G146" s="1">
        <v>4</v>
      </c>
      <c r="H146" s="1">
        <v>31.87</v>
      </c>
    </row>
    <row r="147" spans="1:8">
      <c r="A147" s="1">
        <v>30</v>
      </c>
      <c r="B147" s="1" t="s">
        <v>659</v>
      </c>
      <c r="C147" s="1">
        <v>135.25</v>
      </c>
      <c r="D147" s="1">
        <v>79.23</v>
      </c>
      <c r="E147" s="1">
        <v>0.33158100000000001</v>
      </c>
      <c r="F147" s="1">
        <f>3801600*(10^-6)</f>
        <v>3.8015999999999996</v>
      </c>
      <c r="G147" s="1">
        <v>4</v>
      </c>
      <c r="H147" s="1">
        <v>25.86</v>
      </c>
    </row>
    <row r="148" spans="1:8">
      <c r="A148" s="1">
        <v>31</v>
      </c>
      <c r="B148" s="1" t="s">
        <v>660</v>
      </c>
      <c r="C148" s="1">
        <v>178.45</v>
      </c>
      <c r="D148" s="1">
        <v>82.01</v>
      </c>
      <c r="E148" s="1">
        <v>0.40654099999999999</v>
      </c>
      <c r="F148" s="1">
        <f>83827200*(10^-6)</f>
        <v>83.827199999999991</v>
      </c>
      <c r="G148" s="1">
        <v>4</v>
      </c>
      <c r="H148" s="1">
        <v>35.07</v>
      </c>
    </row>
    <row r="149" spans="1:8">
      <c r="A149" s="1">
        <v>32</v>
      </c>
      <c r="B149" s="1" t="s">
        <v>661</v>
      </c>
      <c r="C149" s="1">
        <v>165.73</v>
      </c>
      <c r="D149" s="1">
        <v>81.790000000000006</v>
      </c>
      <c r="E149" s="1">
        <v>0.41358499999999998</v>
      </c>
      <c r="F149" s="1">
        <f>99955200*(10^-6)</f>
        <v>99.955199999999991</v>
      </c>
      <c r="G149" s="1">
        <v>18</v>
      </c>
      <c r="H149" s="1">
        <v>31.71</v>
      </c>
    </row>
    <row r="150" spans="1:8">
      <c r="A150" s="1">
        <v>33</v>
      </c>
      <c r="B150" s="1" t="s">
        <v>662</v>
      </c>
      <c r="C150" s="1">
        <v>135.19999999999999</v>
      </c>
      <c r="D150" s="1">
        <v>79.430000000000007</v>
      </c>
      <c r="E150" s="1">
        <v>0.26712999999999998</v>
      </c>
      <c r="F150" s="1">
        <f>14092800*(10^-6)</f>
        <v>14.092799999999999</v>
      </c>
      <c r="G150" s="1">
        <v>18</v>
      </c>
      <c r="H150" s="1">
        <v>28.19</v>
      </c>
    </row>
    <row r="151" spans="1:8">
      <c r="A151" s="1">
        <v>34</v>
      </c>
      <c r="B151" s="1" t="s">
        <v>663</v>
      </c>
      <c r="C151" s="1">
        <v>170.29</v>
      </c>
      <c r="D151" s="1">
        <v>79.66</v>
      </c>
      <c r="E151" s="1">
        <v>0.26739000000000002</v>
      </c>
      <c r="F151" s="1">
        <f>7296000*(10^-6)</f>
        <v>7.2959999999999994</v>
      </c>
      <c r="G151" s="1">
        <v>16</v>
      </c>
      <c r="H151" s="1">
        <v>33.43</v>
      </c>
    </row>
    <row r="152" spans="1:8">
      <c r="A152" s="1">
        <v>35</v>
      </c>
      <c r="B152" s="1" t="s">
        <v>664</v>
      </c>
      <c r="C152" s="1">
        <v>168.97</v>
      </c>
      <c r="D152" s="1">
        <v>81.5</v>
      </c>
      <c r="E152" s="1">
        <v>0.357659</v>
      </c>
      <c r="F152" s="1">
        <f>69004800*(10^-6)</f>
        <v>69.004800000000003</v>
      </c>
      <c r="G152" s="1">
        <v>0</v>
      </c>
      <c r="H152" s="1">
        <v>32.31</v>
      </c>
    </row>
    <row r="153" spans="1:8">
      <c r="A153" s="1">
        <v>36</v>
      </c>
      <c r="B153" s="1" t="s">
        <v>665</v>
      </c>
      <c r="C153" s="1">
        <v>119.04</v>
      </c>
      <c r="D153" s="1">
        <v>80.09</v>
      </c>
      <c r="E153" s="1">
        <v>0.32943800000000001</v>
      </c>
      <c r="F153" s="1">
        <f>54451200*(10^-6)</f>
        <v>54.4512</v>
      </c>
      <c r="G153" s="1">
        <v>6</v>
      </c>
      <c r="H153" s="1">
        <v>22.64</v>
      </c>
    </row>
    <row r="154" spans="1:8">
      <c r="A154" s="1">
        <v>37</v>
      </c>
      <c r="B154" s="1" t="s">
        <v>666</v>
      </c>
      <c r="C154" s="1">
        <v>163.19999999999999</v>
      </c>
      <c r="D154" s="1">
        <v>79.760000000000005</v>
      </c>
      <c r="E154" s="1">
        <v>0.30157800000000001</v>
      </c>
      <c r="F154" s="1">
        <f>6758400*(10^-6)</f>
        <v>6.7584</v>
      </c>
      <c r="G154" s="1">
        <v>16</v>
      </c>
      <c r="H154" s="1">
        <v>31.43</v>
      </c>
    </row>
    <row r="155" spans="1:8">
      <c r="A155" s="1">
        <v>38</v>
      </c>
      <c r="B155" s="1" t="s">
        <v>667</v>
      </c>
      <c r="C155" s="1">
        <v>183.71</v>
      </c>
      <c r="D155" s="1">
        <v>82.16</v>
      </c>
      <c r="E155" s="1">
        <v>0.40007199999999998</v>
      </c>
      <c r="F155" s="1">
        <f>99187200*(10^-6)</f>
        <v>99.18719999999999</v>
      </c>
      <c r="G155" s="1">
        <v>0</v>
      </c>
      <c r="H155" s="1">
        <v>36.04</v>
      </c>
    </row>
    <row r="156" spans="1:8">
      <c r="A156" s="1">
        <v>39</v>
      </c>
      <c r="B156" s="1" t="s">
        <v>668</v>
      </c>
      <c r="C156" s="1">
        <v>125.14</v>
      </c>
      <c r="D156" s="1">
        <v>80.349999999999994</v>
      </c>
      <c r="E156" s="1">
        <v>0.36216900000000002</v>
      </c>
      <c r="F156" s="1">
        <f>53376000*(10^-6)</f>
        <v>53.375999999999998</v>
      </c>
      <c r="G156" s="1">
        <v>4</v>
      </c>
      <c r="H156" s="1">
        <v>24.5</v>
      </c>
    </row>
    <row r="157" spans="1:8">
      <c r="A157" s="1">
        <v>40</v>
      </c>
      <c r="B157" s="1" t="s">
        <v>669</v>
      </c>
      <c r="C157" s="1">
        <v>162.75</v>
      </c>
      <c r="D157" s="1">
        <v>80.88</v>
      </c>
      <c r="E157" s="1">
        <v>0.36281400000000003</v>
      </c>
      <c r="F157" s="1">
        <f>18892800*(10^-6)</f>
        <v>18.892799999999998</v>
      </c>
      <c r="G157" s="1">
        <v>6</v>
      </c>
      <c r="H157" s="1">
        <v>32.44</v>
      </c>
    </row>
    <row r="158" spans="1:8">
      <c r="A158" s="1">
        <v>41</v>
      </c>
      <c r="B158" s="1" t="s">
        <v>670</v>
      </c>
      <c r="C158" s="1">
        <v>127.27</v>
      </c>
      <c r="D158" s="1">
        <v>80.739999999999995</v>
      </c>
      <c r="E158" s="1">
        <v>0.44005</v>
      </c>
      <c r="F158" s="1">
        <f>66278400*(10^-6)</f>
        <v>66.278399999999991</v>
      </c>
      <c r="G158" s="1">
        <v>16</v>
      </c>
      <c r="H158" s="1">
        <v>24.94</v>
      </c>
    </row>
    <row r="159" spans="1:8">
      <c r="A159" s="1">
        <v>42</v>
      </c>
      <c r="B159" s="1" t="s">
        <v>671</v>
      </c>
      <c r="C159" s="1">
        <v>232.12</v>
      </c>
      <c r="D159" s="1">
        <v>82.15</v>
      </c>
      <c r="E159" s="1">
        <v>0.31752200000000003</v>
      </c>
      <c r="F159" s="1">
        <f>31104000*(10^-6)</f>
        <v>31.103999999999999</v>
      </c>
      <c r="G159" s="1">
        <v>8</v>
      </c>
      <c r="H159" s="1">
        <v>50.5</v>
      </c>
    </row>
    <row r="160" spans="1:8">
      <c r="A160" s="1">
        <v>43</v>
      </c>
      <c r="B160" s="1" t="s">
        <v>672</v>
      </c>
      <c r="C160" s="1">
        <v>148.82</v>
      </c>
      <c r="D160" s="1">
        <v>79.28</v>
      </c>
      <c r="E160" s="1">
        <v>0.31970199999999999</v>
      </c>
      <c r="F160" s="1">
        <f>2803200*(10^-6)</f>
        <v>2.8031999999999999</v>
      </c>
      <c r="G160" s="1">
        <v>10</v>
      </c>
      <c r="H160" s="1">
        <v>28.44</v>
      </c>
    </row>
    <row r="161" spans="1:8">
      <c r="A161" s="1">
        <v>44</v>
      </c>
      <c r="B161" s="1" t="s">
        <v>673</v>
      </c>
      <c r="C161" s="1">
        <v>111.55</v>
      </c>
      <c r="D161" s="1">
        <v>78.489999999999995</v>
      </c>
      <c r="E161" s="1">
        <v>0.21119399999999999</v>
      </c>
      <c r="F161" s="1">
        <f>7411200*(10^-6)</f>
        <v>7.4112</v>
      </c>
      <c r="G161" s="1">
        <v>16</v>
      </c>
      <c r="H161" s="1">
        <v>23.98</v>
      </c>
    </row>
    <row r="162" spans="1:8">
      <c r="A162" s="1">
        <v>45</v>
      </c>
      <c r="B162" s="1" t="s">
        <v>674</v>
      </c>
      <c r="C162" s="1">
        <v>188.44</v>
      </c>
      <c r="D162" s="1">
        <v>81.52</v>
      </c>
      <c r="E162" s="1">
        <v>0.33548899999999998</v>
      </c>
      <c r="F162" s="1">
        <f>17433600*(10^-6)</f>
        <v>17.433599999999998</v>
      </c>
      <c r="G162" s="1">
        <v>14</v>
      </c>
      <c r="H162" s="1">
        <v>36.950000000000003</v>
      </c>
    </row>
    <row r="163" spans="1:8">
      <c r="A163" s="1">
        <v>46</v>
      </c>
      <c r="B163" s="1" t="s">
        <v>675</v>
      </c>
      <c r="C163" s="1">
        <v>157.41</v>
      </c>
      <c r="D163" s="1">
        <v>81.760000000000005</v>
      </c>
      <c r="E163" s="1">
        <v>0.46055600000000002</v>
      </c>
      <c r="F163" s="1">
        <f>100032000*(10^-6)</f>
        <v>100.032</v>
      </c>
      <c r="G163" s="1">
        <v>8</v>
      </c>
      <c r="H163" s="1">
        <v>30.07</v>
      </c>
    </row>
    <row r="164" spans="1:8">
      <c r="A164" s="1">
        <v>47</v>
      </c>
      <c r="B164" s="1" t="s">
        <v>676</v>
      </c>
      <c r="C164" s="1">
        <v>139.69999999999999</v>
      </c>
      <c r="D164" s="1">
        <v>81.08</v>
      </c>
      <c r="E164" s="1">
        <v>0.43593700000000002</v>
      </c>
      <c r="F164" s="1">
        <f>61209600*(10^-6)</f>
        <v>61.209599999999995</v>
      </c>
      <c r="G164" s="1">
        <v>4</v>
      </c>
      <c r="H164" s="1">
        <v>27.01</v>
      </c>
    </row>
    <row r="165" spans="1:8">
      <c r="A165" s="1">
        <v>48</v>
      </c>
      <c r="B165" s="1" t="s">
        <v>677</v>
      </c>
      <c r="C165" s="1">
        <v>170.37</v>
      </c>
      <c r="D165" s="1">
        <v>81.12</v>
      </c>
      <c r="E165" s="1">
        <v>0.35498299999999999</v>
      </c>
      <c r="F165" s="1">
        <f>14668800*(10^-6)</f>
        <v>14.668799999999999</v>
      </c>
      <c r="G165" s="1">
        <v>16</v>
      </c>
      <c r="H165" s="1">
        <v>32.450000000000003</v>
      </c>
    </row>
    <row r="166" spans="1:8">
      <c r="A166" s="1">
        <v>49</v>
      </c>
      <c r="B166" s="1" t="s">
        <v>678</v>
      </c>
      <c r="C166" s="1">
        <v>115.43</v>
      </c>
      <c r="D166" s="1">
        <v>79.94</v>
      </c>
      <c r="E166" s="1">
        <v>0.404057</v>
      </c>
      <c r="F166" s="1">
        <f>29798400*(10^-6)</f>
        <v>29.798399999999997</v>
      </c>
      <c r="G166" s="1">
        <v>16</v>
      </c>
      <c r="H166" s="1">
        <v>22.61</v>
      </c>
    </row>
    <row r="167" spans="1:8">
      <c r="A167" s="1">
        <v>50</v>
      </c>
      <c r="B167" s="1" t="s">
        <v>679</v>
      </c>
      <c r="C167" s="1">
        <v>186.35</v>
      </c>
      <c r="D167" s="1">
        <v>80.88</v>
      </c>
      <c r="E167" s="1">
        <v>0.34549999999999997</v>
      </c>
      <c r="F167" s="1">
        <f>14208000*(10^-6)</f>
        <v>14.208</v>
      </c>
      <c r="G167" s="1">
        <v>8</v>
      </c>
      <c r="H167" s="1">
        <v>36.07</v>
      </c>
    </row>
    <row r="168" spans="1:8">
      <c r="B168" s="1" t="s">
        <v>19</v>
      </c>
      <c r="C168" s="1">
        <f>AVERAGE(C118:C167)</f>
        <v>149.03399999999999</v>
      </c>
      <c r="D168" s="1">
        <f t="shared" ref="D168:F168" si="10">AVERAGE(D118:D167)</f>
        <v>80.505600000000001</v>
      </c>
      <c r="E168" s="1">
        <f t="shared" si="10"/>
        <v>0.3607689200000001</v>
      </c>
      <c r="F168" s="1">
        <f t="shared" si="10"/>
        <v>39.798527999999997</v>
      </c>
      <c r="H168" s="1">
        <f>AVERAGE(H118:H167)</f>
        <v>29.269200000000005</v>
      </c>
    </row>
    <row r="169" spans="1:8">
      <c r="B169" s="1" t="s">
        <v>20</v>
      </c>
      <c r="C169" s="1">
        <f>MIN(C117:C167)</f>
        <v>111.55</v>
      </c>
      <c r="D169" s="1">
        <f t="shared" ref="D169:F169" si="11">MIN(D117:D167)</f>
        <v>78.489999999999995</v>
      </c>
      <c r="E169" s="1">
        <f t="shared" si="11"/>
        <v>0.21119399999999999</v>
      </c>
      <c r="F169" s="1">
        <f t="shared" si="11"/>
        <v>0.4224</v>
      </c>
      <c r="H169" s="1">
        <f>MIN(H117:H167)</f>
        <v>21.52</v>
      </c>
    </row>
    <row r="170" spans="1:8">
      <c r="B170" s="1" t="s">
        <v>3</v>
      </c>
      <c r="C170" s="1">
        <f>STDEV(C118:C167)</f>
        <v>26.356512884457363</v>
      </c>
      <c r="D170" s="1">
        <f t="shared" ref="D170:E170" si="12">STDEV(D118:D167)</f>
        <v>0.94083150370659741</v>
      </c>
      <c r="E170" s="1">
        <f t="shared" si="12"/>
        <v>6.0948034136095473E-2</v>
      </c>
      <c r="F170" s="1">
        <f>STDEV(F118:F167)</f>
        <v>33.096279559127716</v>
      </c>
      <c r="H170" s="1">
        <f>STDEV(H118:H167)</f>
        <v>5.5590345072737772</v>
      </c>
    </row>
    <row r="172" spans="1:8">
      <c r="H172" s="2" t="s">
        <v>1435</v>
      </c>
    </row>
    <row r="173" spans="1:8" ht="18">
      <c r="A173" s="2" t="s">
        <v>7</v>
      </c>
      <c r="B173" s="3" t="s">
        <v>9</v>
      </c>
      <c r="C173" s="2" t="s">
        <v>4</v>
      </c>
      <c r="D173" s="2" t="s">
        <v>322</v>
      </c>
      <c r="E173" s="2" t="s">
        <v>321</v>
      </c>
      <c r="F173" s="2" t="s">
        <v>324</v>
      </c>
      <c r="G173" s="2" t="s">
        <v>323</v>
      </c>
      <c r="H173" s="2" t="s">
        <v>1436</v>
      </c>
    </row>
    <row r="174" spans="1:8">
      <c r="A174" s="1">
        <v>1</v>
      </c>
      <c r="B174" s="1" t="s">
        <v>680</v>
      </c>
      <c r="C174" s="1">
        <v>108.2</v>
      </c>
      <c r="D174" s="1">
        <v>156.77000000000001</v>
      </c>
      <c r="E174" s="1">
        <v>0.31626199999999999</v>
      </c>
      <c r="F174" s="1">
        <f>806400*(10^-6)</f>
        <v>0.80640000000000001</v>
      </c>
      <c r="G174" s="1">
        <v>16</v>
      </c>
      <c r="H174" s="1">
        <v>20.62</v>
      </c>
    </row>
    <row r="175" spans="1:8">
      <c r="A175" s="1">
        <v>2</v>
      </c>
      <c r="B175" s="1" t="s">
        <v>681</v>
      </c>
      <c r="C175" s="1">
        <v>90.14</v>
      </c>
      <c r="D175" s="1">
        <v>154.69999999999999</v>
      </c>
      <c r="E175" s="1">
        <v>0.24743599999999999</v>
      </c>
      <c r="F175" s="1">
        <f>7296000*(10^-6)</f>
        <v>7.2959999999999994</v>
      </c>
      <c r="G175" s="1">
        <v>10</v>
      </c>
      <c r="H175" s="1">
        <v>17.32</v>
      </c>
    </row>
    <row r="176" spans="1:8">
      <c r="A176" s="1">
        <v>3</v>
      </c>
      <c r="B176" s="1" t="s">
        <v>682</v>
      </c>
      <c r="C176" s="1">
        <v>119.55</v>
      </c>
      <c r="D176" s="1">
        <v>156.32</v>
      </c>
      <c r="E176" s="1">
        <v>0.28492099999999998</v>
      </c>
      <c r="F176" s="1">
        <f>2956800*(10^-6)</f>
        <v>2.9567999999999999</v>
      </c>
      <c r="G176" s="1">
        <v>0</v>
      </c>
      <c r="H176" s="1">
        <v>23.54</v>
      </c>
    </row>
    <row r="177" spans="1:8">
      <c r="A177" s="1">
        <v>4</v>
      </c>
      <c r="B177" s="1" t="s">
        <v>683</v>
      </c>
      <c r="C177" s="1">
        <v>105.56</v>
      </c>
      <c r="D177" s="1">
        <v>156.61000000000001</v>
      </c>
      <c r="E177" s="1">
        <v>0.34592699999999998</v>
      </c>
      <c r="F177" s="1">
        <f>3686400*(10^-6)</f>
        <v>3.6863999999999999</v>
      </c>
      <c r="G177" s="1">
        <v>20</v>
      </c>
      <c r="H177" s="1">
        <v>20.399999999999999</v>
      </c>
    </row>
    <row r="178" spans="1:8">
      <c r="A178" s="1">
        <v>5</v>
      </c>
      <c r="B178" s="1" t="s">
        <v>684</v>
      </c>
      <c r="C178" s="1">
        <v>91.78</v>
      </c>
      <c r="D178" s="1">
        <v>154.72</v>
      </c>
      <c r="E178" s="1">
        <v>0.33667399999999997</v>
      </c>
      <c r="F178" s="1">
        <f>3648000*(10^-6)</f>
        <v>3.6479999999999997</v>
      </c>
      <c r="G178" s="1">
        <v>14</v>
      </c>
      <c r="H178" s="1">
        <v>17.600000000000001</v>
      </c>
    </row>
    <row r="179" spans="1:8">
      <c r="A179" s="1">
        <v>6</v>
      </c>
      <c r="B179" s="1" t="s">
        <v>685</v>
      </c>
      <c r="C179" s="1">
        <v>111.8</v>
      </c>
      <c r="D179" s="1">
        <v>159.74</v>
      </c>
      <c r="E179" s="1">
        <v>0.36551800000000001</v>
      </c>
      <c r="F179" s="1">
        <f>25228800*(10^-6)</f>
        <v>25.2288</v>
      </c>
      <c r="G179" s="1">
        <v>8</v>
      </c>
      <c r="H179" s="1">
        <v>21.39</v>
      </c>
    </row>
    <row r="180" spans="1:8">
      <c r="A180" s="1">
        <v>7</v>
      </c>
      <c r="B180" s="1" t="s">
        <v>686</v>
      </c>
      <c r="C180" s="1">
        <v>102.91</v>
      </c>
      <c r="D180" s="1">
        <v>157.56</v>
      </c>
      <c r="E180" s="1">
        <v>0.38136799999999998</v>
      </c>
      <c r="F180" s="1">
        <f>998400*(10^-6)</f>
        <v>0.99839999999999995</v>
      </c>
      <c r="G180" s="1">
        <v>26</v>
      </c>
      <c r="H180" s="1">
        <v>19.670000000000002</v>
      </c>
    </row>
    <row r="181" spans="1:8">
      <c r="A181" s="1">
        <v>8</v>
      </c>
      <c r="B181" s="1" t="s">
        <v>687</v>
      </c>
      <c r="C181" s="1">
        <v>78.94</v>
      </c>
      <c r="D181" s="1">
        <v>155.43</v>
      </c>
      <c r="E181" s="1">
        <v>0.33755000000000002</v>
      </c>
      <c r="F181" s="1">
        <f>4492800*(10^-6)</f>
        <v>4.4927999999999999</v>
      </c>
      <c r="G181" s="1">
        <v>26</v>
      </c>
      <c r="H181" s="1">
        <v>15.13</v>
      </c>
    </row>
    <row r="182" spans="1:8">
      <c r="A182" s="1">
        <v>9</v>
      </c>
      <c r="B182" s="1" t="s">
        <v>688</v>
      </c>
      <c r="C182" s="1">
        <v>95.31</v>
      </c>
      <c r="D182" s="1" t="e">
        <f>-inf</f>
        <v>#NAME?</v>
      </c>
      <c r="E182" s="1">
        <v>0.283966</v>
      </c>
      <c r="F182" s="1">
        <f>0*(10^-6)</f>
        <v>0</v>
      </c>
      <c r="G182" s="1">
        <v>2</v>
      </c>
      <c r="H182" s="1">
        <v>18.2</v>
      </c>
    </row>
    <row r="183" spans="1:8">
      <c r="A183" s="1">
        <v>10</v>
      </c>
      <c r="B183" s="1" t="s">
        <v>689</v>
      </c>
      <c r="C183" s="1">
        <v>104.67</v>
      </c>
      <c r="D183" s="1">
        <v>158.94</v>
      </c>
      <c r="E183" s="1">
        <v>0.394121</v>
      </c>
      <c r="F183" s="1">
        <f>21081600*(10^-6)</f>
        <v>21.081599999999998</v>
      </c>
      <c r="G183" s="1">
        <v>36</v>
      </c>
      <c r="H183" s="1">
        <v>19.98</v>
      </c>
    </row>
    <row r="184" spans="1:8">
      <c r="A184" s="1">
        <v>11</v>
      </c>
      <c r="B184" s="1" t="s">
        <v>690</v>
      </c>
      <c r="C184" s="1">
        <v>98.33</v>
      </c>
      <c r="D184" s="1">
        <v>157.66</v>
      </c>
      <c r="E184" s="1">
        <v>0.29996099999999998</v>
      </c>
      <c r="F184" s="1">
        <f>26572800*(10^-6)</f>
        <v>26.572799999999997</v>
      </c>
      <c r="G184" s="1">
        <v>18</v>
      </c>
      <c r="H184" s="1">
        <v>18.690000000000001</v>
      </c>
    </row>
    <row r="185" spans="1:8">
      <c r="A185" s="1">
        <v>12</v>
      </c>
      <c r="B185" s="1" t="s">
        <v>691</v>
      </c>
      <c r="C185" s="1">
        <v>109.18</v>
      </c>
      <c r="D185" s="1">
        <v>158.1</v>
      </c>
      <c r="E185" s="1">
        <v>0.35982599999999998</v>
      </c>
      <c r="F185" s="1">
        <f>2150400*(10^-6)</f>
        <v>2.1503999999999999</v>
      </c>
      <c r="G185" s="1">
        <v>30</v>
      </c>
      <c r="H185" s="1">
        <v>21.17</v>
      </c>
    </row>
    <row r="186" spans="1:8">
      <c r="A186" s="1">
        <v>13</v>
      </c>
      <c r="B186" s="1" t="s">
        <v>692</v>
      </c>
      <c r="C186" s="1">
        <v>83.1</v>
      </c>
      <c r="D186" s="1">
        <v>154.07</v>
      </c>
      <c r="E186" s="1">
        <v>0.38166099999999997</v>
      </c>
      <c r="F186" s="1">
        <f>268800*(10^-6)</f>
        <v>0.26879999999999998</v>
      </c>
      <c r="G186" s="1">
        <v>0</v>
      </c>
      <c r="H186" s="1">
        <v>15.83</v>
      </c>
    </row>
    <row r="187" spans="1:8">
      <c r="A187" s="1">
        <v>14</v>
      </c>
      <c r="B187" s="1" t="s">
        <v>693</v>
      </c>
      <c r="C187" s="1">
        <v>93.87</v>
      </c>
      <c r="D187" s="1">
        <v>155.19</v>
      </c>
      <c r="E187" s="1">
        <v>0.32776100000000002</v>
      </c>
      <c r="F187" s="1">
        <f>1420800*(10^-6)</f>
        <v>1.4207999999999998</v>
      </c>
      <c r="G187" s="1">
        <v>22</v>
      </c>
      <c r="H187" s="1">
        <v>18.2</v>
      </c>
    </row>
    <row r="188" spans="1:8">
      <c r="A188" s="1">
        <v>15</v>
      </c>
      <c r="B188" s="1" t="s">
        <v>694</v>
      </c>
      <c r="C188" s="1">
        <v>92.67</v>
      </c>
      <c r="D188" s="1">
        <v>155.43</v>
      </c>
      <c r="E188" s="1">
        <v>0.29687599999999997</v>
      </c>
      <c r="F188" s="1">
        <f>3110400*(10^-6)</f>
        <v>3.1103999999999998</v>
      </c>
      <c r="G188" s="1">
        <v>26</v>
      </c>
      <c r="H188" s="1">
        <v>17.78</v>
      </c>
    </row>
    <row r="189" spans="1:8">
      <c r="A189" s="1">
        <v>16</v>
      </c>
      <c r="B189" s="1" t="s">
        <v>695</v>
      </c>
      <c r="C189" s="1">
        <v>74.930000000000007</v>
      </c>
      <c r="D189" s="1">
        <v>156.01</v>
      </c>
      <c r="E189" s="1">
        <v>0.386905</v>
      </c>
      <c r="F189" s="1">
        <f>17856000*(10^-6)</f>
        <v>17.855999999999998</v>
      </c>
      <c r="G189" s="1">
        <v>18</v>
      </c>
      <c r="H189" s="1">
        <v>14.24</v>
      </c>
    </row>
    <row r="190" spans="1:8">
      <c r="A190" s="1">
        <v>17</v>
      </c>
      <c r="B190" s="1" t="s">
        <v>696</v>
      </c>
      <c r="C190" s="1">
        <v>96.7</v>
      </c>
      <c r="D190" s="1">
        <v>155.69999999999999</v>
      </c>
      <c r="E190" s="1">
        <v>0.30782900000000002</v>
      </c>
      <c r="F190" s="1">
        <f>3072000*(10^-6)</f>
        <v>3.0720000000000001</v>
      </c>
      <c r="G190" s="1">
        <v>26</v>
      </c>
      <c r="H190" s="1">
        <v>18.61</v>
      </c>
    </row>
    <row r="191" spans="1:8">
      <c r="A191" s="1">
        <v>18</v>
      </c>
      <c r="B191" s="1" t="s">
        <v>697</v>
      </c>
      <c r="C191" s="1">
        <v>87.63</v>
      </c>
      <c r="D191" s="1">
        <v>155.84</v>
      </c>
      <c r="E191" s="1">
        <v>0.39308599999999999</v>
      </c>
      <c r="F191" s="1">
        <f>345600*(10^-6)</f>
        <v>0.34559999999999996</v>
      </c>
      <c r="G191" s="1">
        <v>10</v>
      </c>
      <c r="H191" s="1">
        <v>16.77</v>
      </c>
    </row>
    <row r="192" spans="1:8">
      <c r="A192" s="1">
        <v>19</v>
      </c>
      <c r="B192" s="1" t="s">
        <v>698</v>
      </c>
      <c r="C192" s="1">
        <v>71.709999999999994</v>
      </c>
      <c r="D192" s="1">
        <v>152</v>
      </c>
      <c r="E192" s="1">
        <v>0.33941700000000002</v>
      </c>
      <c r="F192" s="1">
        <f>691200*(10^-6)</f>
        <v>0.69119999999999993</v>
      </c>
      <c r="G192" s="1">
        <v>14</v>
      </c>
      <c r="H192" s="1">
        <v>13.69</v>
      </c>
    </row>
    <row r="193" spans="1:8">
      <c r="A193" s="1">
        <v>20</v>
      </c>
      <c r="B193" s="1" t="s">
        <v>699</v>
      </c>
      <c r="C193" s="1">
        <v>101.22</v>
      </c>
      <c r="D193" s="1">
        <v>157.37</v>
      </c>
      <c r="E193" s="1">
        <v>0.35268699999999997</v>
      </c>
      <c r="F193" s="1">
        <f>6374400*(10^-6)</f>
        <v>6.3743999999999996</v>
      </c>
      <c r="G193" s="1">
        <v>24</v>
      </c>
      <c r="H193" s="1">
        <v>19.420000000000002</v>
      </c>
    </row>
    <row r="194" spans="1:8">
      <c r="A194" s="1">
        <v>21</v>
      </c>
      <c r="B194" s="1" t="s">
        <v>700</v>
      </c>
      <c r="C194" s="1">
        <v>102.47</v>
      </c>
      <c r="D194" s="1">
        <v>156.9</v>
      </c>
      <c r="E194" s="1">
        <v>0.33263399999999999</v>
      </c>
      <c r="F194" s="1">
        <f>2956800*(10^-6)</f>
        <v>2.9567999999999999</v>
      </c>
      <c r="G194" s="1">
        <v>34</v>
      </c>
      <c r="H194" s="1">
        <v>19.93</v>
      </c>
    </row>
    <row r="195" spans="1:8">
      <c r="A195" s="1">
        <v>22</v>
      </c>
      <c r="B195" s="1" t="s">
        <v>701</v>
      </c>
      <c r="C195" s="1">
        <v>98.26</v>
      </c>
      <c r="D195" s="1">
        <v>158.25</v>
      </c>
      <c r="E195" s="1">
        <v>0.38228000000000001</v>
      </c>
      <c r="F195" s="1">
        <f>19584000*(10^-6)</f>
        <v>19.584</v>
      </c>
      <c r="G195" s="1">
        <v>36</v>
      </c>
      <c r="H195" s="1">
        <v>18.850000000000001</v>
      </c>
    </row>
    <row r="196" spans="1:8">
      <c r="A196" s="1">
        <v>23</v>
      </c>
      <c r="B196" s="1" t="s">
        <v>702</v>
      </c>
      <c r="C196" s="1">
        <v>100.88</v>
      </c>
      <c r="D196" s="1">
        <v>155.9</v>
      </c>
      <c r="E196" s="1">
        <v>0.32423800000000003</v>
      </c>
      <c r="F196" s="1">
        <f>2841600*(10^-6)</f>
        <v>2.8415999999999997</v>
      </c>
      <c r="G196" s="1">
        <v>14</v>
      </c>
      <c r="H196" s="1">
        <v>19.27</v>
      </c>
    </row>
    <row r="197" spans="1:8">
      <c r="A197" s="1">
        <v>24</v>
      </c>
      <c r="B197" s="1" t="s">
        <v>703</v>
      </c>
      <c r="C197" s="1">
        <v>97.61</v>
      </c>
      <c r="D197" s="1">
        <v>158.83000000000001</v>
      </c>
      <c r="E197" s="1">
        <v>0.39394000000000001</v>
      </c>
      <c r="F197" s="1">
        <f>41472000*(10^-6)</f>
        <v>41.472000000000001</v>
      </c>
      <c r="G197" s="1">
        <v>22</v>
      </c>
      <c r="H197" s="1">
        <v>18.670000000000002</v>
      </c>
    </row>
    <row r="198" spans="1:8">
      <c r="A198" s="1">
        <v>25</v>
      </c>
      <c r="B198" s="1" t="s">
        <v>704</v>
      </c>
      <c r="C198" s="1">
        <v>112.39</v>
      </c>
      <c r="D198" s="1">
        <v>154.1</v>
      </c>
      <c r="E198" s="1">
        <v>0.31012699999999999</v>
      </c>
      <c r="F198" s="1">
        <f>960000*(10^-6)</f>
        <v>0.96</v>
      </c>
      <c r="G198" s="1">
        <v>24</v>
      </c>
      <c r="H198" s="1">
        <v>21.78</v>
      </c>
    </row>
    <row r="199" spans="1:8">
      <c r="A199" s="1">
        <v>26</v>
      </c>
      <c r="B199" s="1" t="s">
        <v>705</v>
      </c>
      <c r="C199" s="1">
        <v>112.47</v>
      </c>
      <c r="D199" s="1">
        <v>158.84</v>
      </c>
      <c r="E199" s="1">
        <v>0.34461000000000003</v>
      </c>
      <c r="F199" s="1">
        <f>13478400*(10^-6)</f>
        <v>13.478399999999999</v>
      </c>
      <c r="G199" s="1">
        <v>34</v>
      </c>
      <c r="H199" s="1">
        <v>21.5</v>
      </c>
    </row>
    <row r="200" spans="1:8">
      <c r="A200" s="1">
        <v>27</v>
      </c>
      <c r="B200" s="1" t="s">
        <v>706</v>
      </c>
      <c r="C200" s="1">
        <v>80.73</v>
      </c>
      <c r="D200" s="1" t="e">
        <f>-inf</f>
        <v>#NAME?</v>
      </c>
      <c r="E200" s="1">
        <v>0.35355199999999998</v>
      </c>
      <c r="F200" s="1">
        <f>0*(10^-6)</f>
        <v>0</v>
      </c>
      <c r="G200" s="1">
        <v>38</v>
      </c>
      <c r="H200" s="1">
        <v>15.46</v>
      </c>
    </row>
    <row r="201" spans="1:8">
      <c r="A201" s="1">
        <v>28</v>
      </c>
      <c r="B201" s="1" t="s">
        <v>707</v>
      </c>
      <c r="C201" s="1">
        <v>125.27</v>
      </c>
      <c r="D201" s="1">
        <v>155.96</v>
      </c>
      <c r="E201" s="1">
        <v>0.32256200000000002</v>
      </c>
      <c r="F201" s="1">
        <f>652800*(10^-6)</f>
        <v>0.65279999999999994</v>
      </c>
      <c r="G201" s="1">
        <v>22</v>
      </c>
      <c r="H201" s="1">
        <v>24.24</v>
      </c>
    </row>
    <row r="202" spans="1:8">
      <c r="A202" s="1">
        <v>29</v>
      </c>
      <c r="B202" s="1" t="s">
        <v>708</v>
      </c>
      <c r="C202" s="1">
        <v>101.46</v>
      </c>
      <c r="D202" s="1">
        <v>156.94999999999999</v>
      </c>
      <c r="E202" s="1">
        <v>0.29608600000000002</v>
      </c>
      <c r="F202" s="1">
        <f>2841600*(10^-6)</f>
        <v>2.8415999999999997</v>
      </c>
      <c r="G202" s="1">
        <v>30</v>
      </c>
      <c r="H202" s="1">
        <v>20.58</v>
      </c>
    </row>
    <row r="203" spans="1:8">
      <c r="A203" s="1">
        <v>30</v>
      </c>
      <c r="B203" s="1" t="s">
        <v>709</v>
      </c>
      <c r="C203" s="1">
        <v>118.11</v>
      </c>
      <c r="D203" s="1">
        <v>155.59</v>
      </c>
      <c r="E203" s="1">
        <v>0.243059</v>
      </c>
      <c r="F203" s="1">
        <f>5184000*(10^-6)</f>
        <v>5.1840000000000002</v>
      </c>
      <c r="G203" s="1">
        <v>30</v>
      </c>
      <c r="H203" s="1">
        <v>23.78</v>
      </c>
    </row>
    <row r="204" spans="1:8">
      <c r="A204" s="1">
        <v>31</v>
      </c>
      <c r="B204" s="1" t="s">
        <v>710</v>
      </c>
      <c r="C204" s="1">
        <v>105.55</v>
      </c>
      <c r="D204" s="1">
        <v>156.47999999999999</v>
      </c>
      <c r="E204" s="1">
        <v>0.30521999999999999</v>
      </c>
      <c r="F204" s="1">
        <f>2841600*(10^-6)</f>
        <v>2.8415999999999997</v>
      </c>
      <c r="G204" s="1">
        <v>12</v>
      </c>
      <c r="H204" s="1">
        <v>20.18</v>
      </c>
    </row>
    <row r="205" spans="1:8">
      <c r="A205" s="1">
        <v>32</v>
      </c>
      <c r="B205" s="1" t="s">
        <v>711</v>
      </c>
      <c r="C205" s="1">
        <v>97.74</v>
      </c>
      <c r="D205" s="1">
        <v>156.26</v>
      </c>
      <c r="E205" s="1">
        <v>0.40298800000000001</v>
      </c>
      <c r="F205" s="1">
        <f>2572800*(10^-6)</f>
        <v>2.5728</v>
      </c>
      <c r="G205" s="1">
        <v>36</v>
      </c>
      <c r="H205" s="1">
        <v>18.66</v>
      </c>
    </row>
    <row r="206" spans="1:8">
      <c r="A206" s="1">
        <v>33</v>
      </c>
      <c r="B206" s="1" t="s">
        <v>712</v>
      </c>
      <c r="C206" s="1">
        <v>101.61</v>
      </c>
      <c r="D206" s="1">
        <v>156.63999999999999</v>
      </c>
      <c r="E206" s="1">
        <v>0.35108299999999998</v>
      </c>
      <c r="F206" s="1">
        <f>2304000*(10^-6)</f>
        <v>2.3039999999999998</v>
      </c>
      <c r="G206" s="1">
        <v>14</v>
      </c>
      <c r="H206" s="1">
        <v>19.45</v>
      </c>
    </row>
    <row r="207" spans="1:8">
      <c r="A207" s="1">
        <v>34</v>
      </c>
      <c r="B207" s="1" t="s">
        <v>713</v>
      </c>
      <c r="C207" s="1">
        <v>107.13</v>
      </c>
      <c r="D207" s="1">
        <v>158.06</v>
      </c>
      <c r="E207" s="1">
        <v>0.329094</v>
      </c>
      <c r="F207" s="1">
        <f>14630400*(10^-6)</f>
        <v>14.6304</v>
      </c>
      <c r="G207" s="1">
        <v>36</v>
      </c>
      <c r="H207" s="1">
        <v>20.57</v>
      </c>
    </row>
    <row r="208" spans="1:8">
      <c r="A208" s="1">
        <v>35</v>
      </c>
      <c r="B208" s="1" t="s">
        <v>714</v>
      </c>
      <c r="C208" s="1">
        <v>106.69</v>
      </c>
      <c r="D208" s="1">
        <v>155.02000000000001</v>
      </c>
      <c r="E208" s="1">
        <v>0.28087800000000002</v>
      </c>
      <c r="F208" s="1">
        <f>1881600*(10^-6)</f>
        <v>1.8815999999999999</v>
      </c>
      <c r="G208" s="1">
        <v>34</v>
      </c>
      <c r="H208" s="1">
        <v>20.51</v>
      </c>
    </row>
    <row r="209" spans="1:8">
      <c r="A209" s="1">
        <v>36</v>
      </c>
      <c r="B209" s="1" t="s">
        <v>715</v>
      </c>
      <c r="C209" s="1">
        <v>118.29</v>
      </c>
      <c r="D209" s="1">
        <v>156.97999999999999</v>
      </c>
      <c r="E209" s="1">
        <v>0.32678000000000001</v>
      </c>
      <c r="F209" s="1">
        <f>4569600*(10^-6)</f>
        <v>4.5695999999999994</v>
      </c>
      <c r="G209" s="1">
        <v>38</v>
      </c>
      <c r="H209" s="1">
        <v>22.92</v>
      </c>
    </row>
    <row r="210" spans="1:8">
      <c r="A210" s="1">
        <v>37</v>
      </c>
      <c r="B210" s="1" t="s">
        <v>716</v>
      </c>
      <c r="C210" s="1">
        <v>108.49</v>
      </c>
      <c r="D210" s="1">
        <v>158.38</v>
      </c>
      <c r="E210" s="1">
        <v>0.36330800000000002</v>
      </c>
      <c r="F210" s="1">
        <f>6220800*(10^-6)</f>
        <v>6.2207999999999997</v>
      </c>
      <c r="G210" s="1">
        <v>20</v>
      </c>
      <c r="H210" s="1">
        <v>21.09</v>
      </c>
    </row>
    <row r="211" spans="1:8">
      <c r="A211" s="1">
        <v>38</v>
      </c>
      <c r="B211" s="1" t="s">
        <v>717</v>
      </c>
      <c r="C211" s="1">
        <v>87.68</v>
      </c>
      <c r="D211" s="1">
        <v>156.19</v>
      </c>
      <c r="E211" s="1">
        <v>0.31936999999999999</v>
      </c>
      <c r="F211" s="1">
        <f>7872000*(10^-6)</f>
        <v>7.8719999999999999</v>
      </c>
      <c r="G211" s="1">
        <v>8</v>
      </c>
      <c r="H211" s="1">
        <v>16.690000000000001</v>
      </c>
    </row>
    <row r="212" spans="1:8">
      <c r="A212" s="1">
        <v>39</v>
      </c>
      <c r="B212" s="1" t="s">
        <v>718</v>
      </c>
      <c r="C212" s="1">
        <v>103.56</v>
      </c>
      <c r="D212" s="1">
        <v>158.91</v>
      </c>
      <c r="E212" s="1">
        <v>0.40121099999999998</v>
      </c>
      <c r="F212" s="1">
        <f>19584000*(10^-6)</f>
        <v>19.584</v>
      </c>
      <c r="G212" s="1">
        <v>16</v>
      </c>
      <c r="H212" s="1">
        <v>19.89</v>
      </c>
    </row>
    <row r="213" spans="1:8">
      <c r="A213" s="1">
        <v>40</v>
      </c>
      <c r="B213" s="1" t="s">
        <v>719</v>
      </c>
      <c r="C213" s="1">
        <v>112.1</v>
      </c>
      <c r="D213" s="1">
        <v>154.85</v>
      </c>
      <c r="E213" s="1">
        <v>0.24903400000000001</v>
      </c>
      <c r="F213" s="1">
        <f>921600*(10^-6)</f>
        <v>0.92159999999999997</v>
      </c>
      <c r="G213" s="1">
        <v>20</v>
      </c>
      <c r="H213" s="1">
        <v>22.05</v>
      </c>
    </row>
    <row r="214" spans="1:8">
      <c r="A214" s="1">
        <v>41</v>
      </c>
      <c r="B214" s="1" t="s">
        <v>720</v>
      </c>
      <c r="C214" s="1">
        <v>87.76</v>
      </c>
      <c r="D214" s="1">
        <v>156.49</v>
      </c>
      <c r="E214" s="1">
        <v>0.36848900000000001</v>
      </c>
      <c r="F214" s="1">
        <f>4723200*(10^-6)</f>
        <v>4.7231999999999994</v>
      </c>
      <c r="G214" s="1">
        <v>14</v>
      </c>
      <c r="H214" s="1">
        <v>16.829999999999998</v>
      </c>
    </row>
    <row r="215" spans="1:8">
      <c r="A215" s="1">
        <v>42</v>
      </c>
      <c r="B215" s="1" t="s">
        <v>721</v>
      </c>
      <c r="C215" s="1">
        <v>106.4</v>
      </c>
      <c r="D215" s="1">
        <v>157.30000000000001</v>
      </c>
      <c r="E215" s="1">
        <v>0.29935499999999998</v>
      </c>
      <c r="F215" s="1">
        <f>6374400*(10^-6)</f>
        <v>6.3743999999999996</v>
      </c>
      <c r="G215" s="1">
        <v>14</v>
      </c>
      <c r="H215" s="1">
        <v>20.47</v>
      </c>
    </row>
    <row r="216" spans="1:8">
      <c r="A216" s="1">
        <v>43</v>
      </c>
      <c r="B216" s="1" t="s">
        <v>722</v>
      </c>
      <c r="C216" s="1">
        <v>76.41</v>
      </c>
      <c r="D216" s="1">
        <v>155.58000000000001</v>
      </c>
      <c r="E216" s="1">
        <v>0.36242000000000002</v>
      </c>
      <c r="F216" s="1">
        <f>9523200*(10^-6)</f>
        <v>9.5231999999999992</v>
      </c>
      <c r="G216" s="1">
        <v>2</v>
      </c>
      <c r="H216" s="1">
        <v>14.55</v>
      </c>
    </row>
    <row r="217" spans="1:8">
      <c r="A217" s="1">
        <v>44</v>
      </c>
      <c r="B217" s="1" t="s">
        <v>723</v>
      </c>
      <c r="C217" s="1">
        <v>109.5</v>
      </c>
      <c r="D217" s="1">
        <v>156.1</v>
      </c>
      <c r="E217" s="1">
        <v>0.347555</v>
      </c>
      <c r="F217" s="1">
        <f>1881600*(10^-6)</f>
        <v>1.8815999999999999</v>
      </c>
      <c r="G217" s="1">
        <v>30</v>
      </c>
      <c r="H217" s="1">
        <v>20.95</v>
      </c>
    </row>
    <row r="218" spans="1:8">
      <c r="A218" s="1">
        <v>45</v>
      </c>
      <c r="B218" s="1" t="s">
        <v>724</v>
      </c>
      <c r="C218" s="1">
        <v>122.78</v>
      </c>
      <c r="D218" s="1">
        <v>155.19</v>
      </c>
      <c r="E218" s="1">
        <v>0.28715499999999999</v>
      </c>
      <c r="F218" s="1">
        <f>960000*(10^-6)</f>
        <v>0.96</v>
      </c>
      <c r="G218" s="1">
        <v>32</v>
      </c>
      <c r="H218" s="1">
        <v>23.38</v>
      </c>
    </row>
    <row r="219" spans="1:8">
      <c r="A219" s="1">
        <v>46</v>
      </c>
      <c r="B219" s="1" t="s">
        <v>725</v>
      </c>
      <c r="C219" s="1">
        <v>88.75</v>
      </c>
      <c r="D219" s="1">
        <v>156.63</v>
      </c>
      <c r="E219" s="1">
        <v>0.35134700000000002</v>
      </c>
      <c r="F219" s="1">
        <f>9984000*(10^-6)</f>
        <v>9.984</v>
      </c>
      <c r="G219" s="1">
        <v>16</v>
      </c>
      <c r="H219" s="1">
        <v>16.96</v>
      </c>
    </row>
    <row r="220" spans="1:8">
      <c r="A220" s="1">
        <v>47</v>
      </c>
      <c r="B220" s="1" t="s">
        <v>726</v>
      </c>
      <c r="C220" s="1">
        <v>100.38</v>
      </c>
      <c r="D220" s="1">
        <v>157.57</v>
      </c>
      <c r="E220" s="1">
        <v>0.38900899999999999</v>
      </c>
      <c r="F220" s="1">
        <f>3916800*(10^-6)</f>
        <v>3.9167999999999998</v>
      </c>
      <c r="G220" s="1">
        <v>22</v>
      </c>
      <c r="H220" s="1">
        <v>19.329999999999998</v>
      </c>
    </row>
    <row r="221" spans="1:8">
      <c r="A221" s="1">
        <v>48</v>
      </c>
      <c r="B221" s="1" t="s">
        <v>727</v>
      </c>
      <c r="C221" s="1">
        <v>69.17</v>
      </c>
      <c r="D221" s="1">
        <v>151.88999999999999</v>
      </c>
      <c r="E221" s="1">
        <v>0.36373699999999998</v>
      </c>
      <c r="F221" s="1">
        <f>576000*(10^-6)</f>
        <v>0.57599999999999996</v>
      </c>
      <c r="G221" s="1">
        <v>36</v>
      </c>
      <c r="H221" s="1">
        <v>13.38</v>
      </c>
    </row>
    <row r="222" spans="1:8">
      <c r="A222" s="1">
        <v>49</v>
      </c>
      <c r="B222" s="1" t="s">
        <v>728</v>
      </c>
      <c r="C222" s="1">
        <v>93.86</v>
      </c>
      <c r="D222" s="1">
        <v>156.68</v>
      </c>
      <c r="E222" s="1">
        <v>0.338893</v>
      </c>
      <c r="F222" s="1">
        <f>5606400*(10^-6)</f>
        <v>5.6063999999999998</v>
      </c>
      <c r="G222" s="1">
        <v>8</v>
      </c>
      <c r="H222" s="1">
        <v>17.97</v>
      </c>
    </row>
    <row r="223" spans="1:8">
      <c r="A223" s="1">
        <v>50</v>
      </c>
      <c r="B223" s="1" t="s">
        <v>729</v>
      </c>
      <c r="C223" s="1">
        <v>85.67</v>
      </c>
      <c r="D223" s="1">
        <v>154.18</v>
      </c>
      <c r="E223" s="1">
        <v>0.35535299999999997</v>
      </c>
      <c r="F223" s="1">
        <f>1804800*(10^-6)</f>
        <v>1.8048</v>
      </c>
      <c r="G223" s="1">
        <v>2</v>
      </c>
      <c r="H223" s="1">
        <v>16.48</v>
      </c>
    </row>
    <row r="224" spans="1:8">
      <c r="B224" s="1" t="s">
        <v>19</v>
      </c>
      <c r="C224" s="1">
        <f>AVERAGE(C174:C223)</f>
        <v>99.147399999999976</v>
      </c>
      <c r="D224" s="1" t="e">
        <f t="shared" ref="D224:F224" si="13">AVERAGE(D174:D223)</f>
        <v>#NAME?</v>
      </c>
      <c r="E224" s="1">
        <f t="shared" si="13"/>
        <v>0.33670237999999997</v>
      </c>
      <c r="F224" s="1">
        <f t="shared" si="13"/>
        <v>6.615552000000001</v>
      </c>
      <c r="H224" s="1">
        <f t="shared" ref="H224" si="14">AVERAGE(H174:H223)</f>
        <v>19.092400000000001</v>
      </c>
    </row>
    <row r="225" spans="1:8">
      <c r="B225" s="1" t="s">
        <v>20</v>
      </c>
      <c r="C225" s="1">
        <f>MIN(C173:C223)</f>
        <v>69.17</v>
      </c>
      <c r="D225" s="1" t="e">
        <f t="shared" ref="D225:F225" si="15">MIN(D173:D223)</f>
        <v>#NAME?</v>
      </c>
      <c r="E225" s="1">
        <f t="shared" si="15"/>
        <v>0.243059</v>
      </c>
      <c r="F225" s="1">
        <f t="shared" si="15"/>
        <v>0</v>
      </c>
      <c r="H225" s="1">
        <f t="shared" ref="H225" si="16">MIN(H173:H223)</f>
        <v>13.38</v>
      </c>
    </row>
    <row r="226" spans="1:8">
      <c r="B226" s="1" t="s">
        <v>3</v>
      </c>
      <c r="C226" s="1">
        <f>STDEV(C174:C223)</f>
        <v>13.166847020034171</v>
      </c>
      <c r="D226" s="1" t="e">
        <f t="shared" ref="D226:E226" si="17">STDEV(D174:D223)</f>
        <v>#NAME?</v>
      </c>
      <c r="E226" s="1">
        <f t="shared" si="17"/>
        <v>4.0661534007366322E-2</v>
      </c>
      <c r="F226" s="1">
        <f>STDEV(F174:F223)</f>
        <v>8.4337287933204017</v>
      </c>
      <c r="H226" s="1">
        <f>STDEV(H174:H223)</f>
        <v>2.6355300438896161</v>
      </c>
    </row>
    <row r="228" spans="1:8">
      <c r="H228" s="2" t="s">
        <v>1435</v>
      </c>
    </row>
    <row r="229" spans="1:8" ht="18">
      <c r="A229" s="2" t="s">
        <v>7</v>
      </c>
      <c r="B229" s="3" t="s">
        <v>2</v>
      </c>
      <c r="C229" s="2" t="s">
        <v>4</v>
      </c>
      <c r="D229" s="2" t="s">
        <v>322</v>
      </c>
      <c r="E229" s="2" t="s">
        <v>321</v>
      </c>
      <c r="F229" s="2" t="s">
        <v>324</v>
      </c>
      <c r="G229" s="2" t="s">
        <v>323</v>
      </c>
      <c r="H229" s="2" t="s">
        <v>1436</v>
      </c>
    </row>
    <row r="230" spans="1:8">
      <c r="A230" s="1">
        <v>1</v>
      </c>
      <c r="B230" s="1" t="s">
        <v>780</v>
      </c>
      <c r="C230" s="1">
        <v>77.41</v>
      </c>
      <c r="D230" s="1">
        <v>232.07</v>
      </c>
      <c r="E230" s="1">
        <v>0.37264700000000001</v>
      </c>
      <c r="F230" s="1">
        <f>806400*(10^-6)</f>
        <v>0.80640000000000001</v>
      </c>
      <c r="G230" s="1">
        <v>50</v>
      </c>
      <c r="H230" s="1">
        <v>14.78</v>
      </c>
    </row>
    <row r="231" spans="1:8">
      <c r="A231" s="1">
        <v>2</v>
      </c>
      <c r="B231" s="1" t="s">
        <v>781</v>
      </c>
      <c r="C231" s="1">
        <v>85.84</v>
      </c>
      <c r="D231" s="1">
        <v>229</v>
      </c>
      <c r="E231" s="1">
        <v>0.31842900000000002</v>
      </c>
      <c r="F231" s="1">
        <f>345600*(10^-6)</f>
        <v>0.34559999999999996</v>
      </c>
      <c r="G231" s="1">
        <v>18</v>
      </c>
      <c r="H231" s="1">
        <v>16.350000000000001</v>
      </c>
    </row>
    <row r="232" spans="1:8">
      <c r="A232" s="1">
        <v>3</v>
      </c>
      <c r="B232" s="1" t="s">
        <v>782</v>
      </c>
      <c r="C232" s="1">
        <v>79.510000000000005</v>
      </c>
      <c r="D232" s="1">
        <v>231.7</v>
      </c>
      <c r="E232" s="1">
        <v>0.315104</v>
      </c>
      <c r="F232" s="1">
        <f>2227200*(10^-6)</f>
        <v>2.2271999999999998</v>
      </c>
      <c r="G232" s="1">
        <v>32</v>
      </c>
      <c r="H232" s="1">
        <v>15.22</v>
      </c>
    </row>
    <row r="233" spans="1:8">
      <c r="A233" s="1">
        <v>4</v>
      </c>
      <c r="B233" s="1" t="s">
        <v>783</v>
      </c>
      <c r="C233" s="1">
        <v>79.27</v>
      </c>
      <c r="D233" s="1">
        <v>231.56</v>
      </c>
      <c r="E233" s="1">
        <v>0.35959799999999997</v>
      </c>
      <c r="F233" s="1">
        <f>3801600*(10^-6)</f>
        <v>3.8015999999999996</v>
      </c>
      <c r="G233" s="1">
        <v>30</v>
      </c>
      <c r="H233" s="1">
        <v>15.18</v>
      </c>
    </row>
    <row r="234" spans="1:8">
      <c r="A234" s="1">
        <v>5</v>
      </c>
      <c r="B234" s="1" t="s">
        <v>784</v>
      </c>
      <c r="C234" s="1">
        <v>74.569999999999993</v>
      </c>
      <c r="D234" s="1">
        <v>227.36</v>
      </c>
      <c r="E234" s="1">
        <v>0.30324000000000001</v>
      </c>
      <c r="F234" s="1">
        <f>1305600*(10^-6)</f>
        <v>1.3055999999999999</v>
      </c>
      <c r="G234" s="1">
        <v>28</v>
      </c>
      <c r="H234" s="1">
        <v>14.27</v>
      </c>
    </row>
    <row r="235" spans="1:8">
      <c r="A235" s="1">
        <v>6</v>
      </c>
      <c r="B235" s="1" t="s">
        <v>785</v>
      </c>
      <c r="C235" s="1">
        <v>65.37</v>
      </c>
      <c r="D235" s="1">
        <v>229.8</v>
      </c>
      <c r="E235" s="1">
        <v>0.30182399999999998</v>
      </c>
      <c r="F235" s="1">
        <f>4300800*(10^-6)</f>
        <v>4.3007999999999997</v>
      </c>
      <c r="G235" s="1">
        <v>28</v>
      </c>
      <c r="H235" s="1">
        <v>12.62</v>
      </c>
    </row>
    <row r="236" spans="1:8">
      <c r="A236" s="1">
        <v>7</v>
      </c>
      <c r="B236" s="1" t="s">
        <v>786</v>
      </c>
      <c r="C236" s="1">
        <v>80.03</v>
      </c>
      <c r="D236" s="1">
        <v>231.87</v>
      </c>
      <c r="E236" s="1">
        <v>0.29464499999999999</v>
      </c>
      <c r="F236" s="1">
        <f>6297600*(10^-6)</f>
        <v>6.2976000000000001</v>
      </c>
      <c r="G236" s="1">
        <v>0</v>
      </c>
      <c r="H236" s="1">
        <v>15.48</v>
      </c>
    </row>
    <row r="237" spans="1:8">
      <c r="A237" s="1">
        <v>8</v>
      </c>
      <c r="B237" s="1" t="s">
        <v>787</v>
      </c>
      <c r="C237" s="1">
        <v>71.180000000000007</v>
      </c>
      <c r="D237" s="1">
        <v>233.19</v>
      </c>
      <c r="E237" s="1">
        <v>0.35702400000000001</v>
      </c>
      <c r="F237" s="1">
        <f>12480000*(10^-6)</f>
        <v>12.479999999999999</v>
      </c>
      <c r="G237" s="1">
        <v>36</v>
      </c>
      <c r="H237" s="1">
        <v>13.57</v>
      </c>
    </row>
    <row r="238" spans="1:8">
      <c r="A238" s="1">
        <v>9</v>
      </c>
      <c r="B238" s="1" t="s">
        <v>788</v>
      </c>
      <c r="C238" s="1">
        <v>71.72</v>
      </c>
      <c r="D238" s="1">
        <v>232.92</v>
      </c>
      <c r="E238" s="1">
        <v>0.34413899999999997</v>
      </c>
      <c r="F238" s="1">
        <f>12864000*(10^-6)</f>
        <v>12.863999999999999</v>
      </c>
      <c r="G238" s="1">
        <v>4</v>
      </c>
      <c r="H238" s="1">
        <v>13.78</v>
      </c>
    </row>
    <row r="239" spans="1:8">
      <c r="A239" s="1">
        <v>10</v>
      </c>
      <c r="B239" s="1" t="s">
        <v>789</v>
      </c>
      <c r="C239" s="1">
        <v>77.400000000000006</v>
      </c>
      <c r="D239" s="1">
        <v>228.39</v>
      </c>
      <c r="E239" s="1">
        <v>0.29962800000000001</v>
      </c>
      <c r="F239" s="1">
        <f>345600*(10^-6)</f>
        <v>0.34559999999999996</v>
      </c>
      <c r="G239" s="1">
        <v>2</v>
      </c>
      <c r="H239" s="1">
        <v>14.86</v>
      </c>
    </row>
    <row r="240" spans="1:8">
      <c r="A240" s="1">
        <v>11</v>
      </c>
      <c r="B240" s="1" t="s">
        <v>790</v>
      </c>
      <c r="C240" s="1">
        <v>75.03</v>
      </c>
      <c r="D240" s="1">
        <v>229.24</v>
      </c>
      <c r="E240" s="1">
        <v>0.37870700000000002</v>
      </c>
      <c r="F240" s="1">
        <f>153600*(10^-6)</f>
        <v>0.15359999999999999</v>
      </c>
      <c r="G240" s="1">
        <v>48</v>
      </c>
      <c r="H240" s="1">
        <v>14.24</v>
      </c>
    </row>
    <row r="241" spans="1:8">
      <c r="A241" s="1">
        <v>12</v>
      </c>
      <c r="B241" s="1" t="s">
        <v>791</v>
      </c>
      <c r="C241" s="1">
        <v>87.09</v>
      </c>
      <c r="D241" s="1">
        <v>228.86</v>
      </c>
      <c r="E241" s="1">
        <v>0.31401200000000001</v>
      </c>
      <c r="F241" s="1">
        <f>153600*(10^-6)</f>
        <v>0.15359999999999999</v>
      </c>
      <c r="G241" s="1">
        <v>58</v>
      </c>
      <c r="H241" s="1">
        <v>16.64</v>
      </c>
    </row>
    <row r="242" spans="1:8">
      <c r="A242" s="1">
        <v>13</v>
      </c>
      <c r="B242" s="1" t="s">
        <v>792</v>
      </c>
      <c r="C242" s="1">
        <v>77.83</v>
      </c>
      <c r="D242" s="1">
        <v>229.91</v>
      </c>
      <c r="E242" s="1">
        <v>0.34899599999999997</v>
      </c>
      <c r="F242" s="1">
        <f>883200*(10^-6)</f>
        <v>0.88319999999999999</v>
      </c>
      <c r="G242" s="1">
        <v>42</v>
      </c>
      <c r="H242" s="1">
        <v>14.88</v>
      </c>
    </row>
    <row r="243" spans="1:8">
      <c r="A243" s="1">
        <v>14</v>
      </c>
      <c r="B243" s="1" t="s">
        <v>793</v>
      </c>
      <c r="C243" s="1">
        <v>80.349999999999994</v>
      </c>
      <c r="D243" s="1">
        <v>230.81</v>
      </c>
      <c r="E243" s="1">
        <v>0.27376099999999998</v>
      </c>
      <c r="F243" s="1">
        <f>2572800*(10^-6)</f>
        <v>2.5728</v>
      </c>
      <c r="G243" s="1">
        <v>34</v>
      </c>
      <c r="H243" s="1">
        <v>15.33</v>
      </c>
    </row>
    <row r="244" spans="1:8">
      <c r="A244" s="1">
        <v>15</v>
      </c>
      <c r="B244" s="1" t="s">
        <v>794</v>
      </c>
      <c r="C244" s="1">
        <v>69.84</v>
      </c>
      <c r="D244" s="1" t="e">
        <f>-inf</f>
        <v>#NAME?</v>
      </c>
      <c r="E244" s="1">
        <v>0.34433399999999997</v>
      </c>
      <c r="F244" s="1">
        <f>0*(10^-6)</f>
        <v>0</v>
      </c>
      <c r="G244" s="1">
        <v>34</v>
      </c>
      <c r="H244" s="1">
        <v>13.3</v>
      </c>
    </row>
    <row r="245" spans="1:8">
      <c r="A245" s="1">
        <v>16</v>
      </c>
      <c r="B245" s="1" t="s">
        <v>795</v>
      </c>
      <c r="C245" s="1">
        <v>77.86</v>
      </c>
      <c r="D245" s="1">
        <v>229.34</v>
      </c>
      <c r="E245" s="1">
        <v>0.282698</v>
      </c>
      <c r="F245" s="1">
        <f>3110400*(10^-6)</f>
        <v>3.1103999999999998</v>
      </c>
      <c r="G245" s="1">
        <v>56</v>
      </c>
      <c r="H245" s="1">
        <v>15.08</v>
      </c>
    </row>
    <row r="246" spans="1:8">
      <c r="A246" s="1">
        <v>17</v>
      </c>
      <c r="B246" s="1" t="s">
        <v>796</v>
      </c>
      <c r="C246" s="1">
        <v>77.69</v>
      </c>
      <c r="D246" s="1" t="e">
        <f>-inf</f>
        <v>#NAME?</v>
      </c>
      <c r="E246" s="1">
        <v>0.330042</v>
      </c>
      <c r="F246" s="1">
        <f>0*(10^-6)</f>
        <v>0</v>
      </c>
      <c r="G246" s="1">
        <v>16</v>
      </c>
      <c r="H246" s="1">
        <v>14.81</v>
      </c>
    </row>
    <row r="247" spans="1:8">
      <c r="A247" s="1">
        <v>18</v>
      </c>
      <c r="B247" s="1" t="s">
        <v>797</v>
      </c>
      <c r="C247" s="1">
        <v>94.48</v>
      </c>
      <c r="D247" s="1">
        <v>230.56</v>
      </c>
      <c r="E247" s="1">
        <v>0.29579100000000003</v>
      </c>
      <c r="F247" s="1">
        <f>268800*(10^-6)</f>
        <v>0.26879999999999998</v>
      </c>
      <c r="G247" s="1">
        <v>56</v>
      </c>
      <c r="H247" s="1">
        <v>18.059999999999999</v>
      </c>
    </row>
    <row r="248" spans="1:8">
      <c r="A248" s="1">
        <v>19</v>
      </c>
      <c r="B248" s="1" t="s">
        <v>798</v>
      </c>
      <c r="C248" s="1">
        <v>85.13</v>
      </c>
      <c r="D248" s="1">
        <v>231.34</v>
      </c>
      <c r="E248" s="1">
        <v>0.32661400000000002</v>
      </c>
      <c r="F248" s="1">
        <f>1228800*(10^-6)</f>
        <v>1.2287999999999999</v>
      </c>
      <c r="G248" s="1">
        <v>10</v>
      </c>
      <c r="H248" s="1">
        <v>16.399999999999999</v>
      </c>
    </row>
    <row r="249" spans="1:8">
      <c r="A249" s="1">
        <v>20</v>
      </c>
      <c r="B249" s="1" t="s">
        <v>799</v>
      </c>
      <c r="C249" s="1">
        <v>71.02</v>
      </c>
      <c r="D249" s="1">
        <v>231.13</v>
      </c>
      <c r="E249" s="1">
        <v>0.35554200000000002</v>
      </c>
      <c r="F249" s="1">
        <f>268800*(10^-6)</f>
        <v>0.26879999999999998</v>
      </c>
      <c r="G249" s="1">
        <v>30</v>
      </c>
      <c r="H249" s="1">
        <v>13.58</v>
      </c>
    </row>
    <row r="250" spans="1:8">
      <c r="A250" s="1">
        <v>21</v>
      </c>
      <c r="B250" s="1" t="s">
        <v>800</v>
      </c>
      <c r="C250" s="1">
        <v>80.069999999999993</v>
      </c>
      <c r="D250" s="1">
        <v>227.25</v>
      </c>
      <c r="E250" s="1">
        <v>0.23880899999999999</v>
      </c>
      <c r="F250" s="1">
        <f>460800*(10^-6)</f>
        <v>0.46079999999999999</v>
      </c>
      <c r="G250" s="1">
        <v>6</v>
      </c>
      <c r="H250" s="1">
        <v>15.25</v>
      </c>
    </row>
    <row r="251" spans="1:8">
      <c r="A251" s="1">
        <v>22</v>
      </c>
      <c r="B251" s="1" t="s">
        <v>801</v>
      </c>
      <c r="C251" s="1">
        <v>74.37</v>
      </c>
      <c r="D251" s="1">
        <v>232.07</v>
      </c>
      <c r="E251" s="1">
        <v>0.30369699999999999</v>
      </c>
      <c r="F251" s="1">
        <f>5644800*(10^-6)</f>
        <v>5.6448</v>
      </c>
      <c r="G251" s="1">
        <v>22</v>
      </c>
      <c r="H251" s="1">
        <v>14.22</v>
      </c>
    </row>
    <row r="252" spans="1:8">
      <c r="A252" s="1">
        <v>23</v>
      </c>
      <c r="B252" s="1" t="s">
        <v>802</v>
      </c>
      <c r="C252" s="1">
        <v>83.8</v>
      </c>
      <c r="D252" s="1">
        <v>230.93</v>
      </c>
      <c r="E252" s="1">
        <v>0.30227599999999999</v>
      </c>
      <c r="F252" s="1">
        <f>2304000*(10^-6)</f>
        <v>2.3039999999999998</v>
      </c>
      <c r="G252" s="1">
        <v>44</v>
      </c>
      <c r="H252" s="1">
        <v>16.16</v>
      </c>
    </row>
    <row r="253" spans="1:8">
      <c r="A253" s="1">
        <v>24</v>
      </c>
      <c r="B253" s="1" t="s">
        <v>803</v>
      </c>
      <c r="C253" s="1">
        <v>72.37</v>
      </c>
      <c r="D253" s="1">
        <v>225.25</v>
      </c>
      <c r="E253" s="1">
        <v>0.31972600000000001</v>
      </c>
      <c r="F253" s="1">
        <f>652800*(10^-6)</f>
        <v>0.65279999999999994</v>
      </c>
      <c r="G253" s="1">
        <v>14</v>
      </c>
      <c r="H253" s="1">
        <v>13.82</v>
      </c>
    </row>
    <row r="254" spans="1:8">
      <c r="A254" s="1">
        <v>25</v>
      </c>
      <c r="B254" s="1" t="s">
        <v>804</v>
      </c>
      <c r="C254" s="1">
        <v>78.22</v>
      </c>
      <c r="D254" s="1">
        <v>231.15</v>
      </c>
      <c r="E254" s="1">
        <v>0.30598700000000001</v>
      </c>
      <c r="F254" s="1">
        <f>1536000*(10^-6)</f>
        <v>1.536</v>
      </c>
      <c r="G254" s="1">
        <v>38</v>
      </c>
      <c r="H254" s="1">
        <v>15.05</v>
      </c>
    </row>
    <row r="255" spans="1:8">
      <c r="A255" s="1">
        <v>26</v>
      </c>
      <c r="B255" s="1" t="s">
        <v>805</v>
      </c>
      <c r="C255" s="1">
        <v>79.03</v>
      </c>
      <c r="D255" s="1">
        <v>232.26</v>
      </c>
      <c r="E255" s="1">
        <v>0.35070800000000002</v>
      </c>
      <c r="F255" s="1">
        <f>1152000*(10^-6)</f>
        <v>1.1519999999999999</v>
      </c>
      <c r="G255" s="1">
        <v>52</v>
      </c>
      <c r="H255" s="1">
        <v>15.05</v>
      </c>
    </row>
    <row r="256" spans="1:8">
      <c r="A256" s="1">
        <v>27</v>
      </c>
      <c r="B256" s="1" t="s">
        <v>806</v>
      </c>
      <c r="C256" s="1">
        <v>74.87</v>
      </c>
      <c r="D256" s="1">
        <v>228.9</v>
      </c>
      <c r="E256" s="1">
        <v>0.33796599999999999</v>
      </c>
      <c r="F256" s="1">
        <f>307200*(10^-6)</f>
        <v>0.30719999999999997</v>
      </c>
      <c r="G256" s="1">
        <v>0</v>
      </c>
      <c r="H256" s="1">
        <v>14.33</v>
      </c>
    </row>
    <row r="257" spans="1:8">
      <c r="A257" s="1">
        <v>28</v>
      </c>
      <c r="B257" s="1" t="s">
        <v>807</v>
      </c>
      <c r="C257" s="1">
        <v>78.19</v>
      </c>
      <c r="D257" s="1">
        <v>225.69</v>
      </c>
      <c r="E257" s="1">
        <v>0.27146700000000001</v>
      </c>
      <c r="F257" s="1">
        <f>192000*(10^-6)</f>
        <v>0.192</v>
      </c>
      <c r="G257" s="1">
        <v>14</v>
      </c>
      <c r="H257" s="1">
        <v>14.94</v>
      </c>
    </row>
    <row r="258" spans="1:8">
      <c r="A258" s="1">
        <v>29</v>
      </c>
      <c r="B258" s="1" t="s">
        <v>808</v>
      </c>
      <c r="C258" s="1">
        <v>79.069999999999993</v>
      </c>
      <c r="D258" s="1">
        <v>230.46</v>
      </c>
      <c r="E258" s="1">
        <v>0.32203399999999999</v>
      </c>
      <c r="F258" s="1">
        <f>844800*(10^-6)</f>
        <v>0.8448</v>
      </c>
      <c r="G258" s="1">
        <v>34</v>
      </c>
      <c r="H258" s="1">
        <v>15.14</v>
      </c>
    </row>
    <row r="259" spans="1:8">
      <c r="A259" s="1">
        <v>30</v>
      </c>
      <c r="B259" s="1" t="s">
        <v>809</v>
      </c>
      <c r="C259" s="1">
        <v>79.569999999999993</v>
      </c>
      <c r="D259" s="1">
        <v>230.06</v>
      </c>
      <c r="E259" s="1">
        <v>0.29696499999999998</v>
      </c>
      <c r="F259" s="1">
        <f>422400*(10^-6)</f>
        <v>0.4224</v>
      </c>
      <c r="G259" s="1">
        <v>2</v>
      </c>
      <c r="H259" s="1">
        <v>15.14</v>
      </c>
    </row>
    <row r="260" spans="1:8">
      <c r="A260" s="1">
        <v>31</v>
      </c>
      <c r="B260" s="1" t="s">
        <v>810</v>
      </c>
      <c r="C260" s="1">
        <v>77.150000000000006</v>
      </c>
      <c r="D260" s="1">
        <v>231.76</v>
      </c>
      <c r="E260" s="1">
        <v>0.34857300000000002</v>
      </c>
      <c r="F260" s="1">
        <f>2457600*(10^-6)</f>
        <v>2.4575999999999998</v>
      </c>
      <c r="G260" s="1">
        <v>8</v>
      </c>
      <c r="H260" s="1">
        <v>14.77</v>
      </c>
    </row>
    <row r="261" spans="1:8">
      <c r="A261" s="1">
        <v>32</v>
      </c>
      <c r="B261" s="1" t="s">
        <v>811</v>
      </c>
      <c r="C261" s="1">
        <v>91.53</v>
      </c>
      <c r="D261" s="1">
        <v>229.96</v>
      </c>
      <c r="E261" s="1">
        <v>0.27388499999999999</v>
      </c>
      <c r="F261" s="1">
        <f>921600*(10^-6)</f>
        <v>0.92159999999999997</v>
      </c>
      <c r="G261" s="1">
        <v>48</v>
      </c>
      <c r="H261" s="1">
        <v>17.54</v>
      </c>
    </row>
    <row r="262" spans="1:8">
      <c r="A262" s="1">
        <v>33</v>
      </c>
      <c r="B262" s="1" t="s">
        <v>812</v>
      </c>
      <c r="C262" s="1">
        <v>75.81</v>
      </c>
      <c r="D262" s="1">
        <v>231.6</v>
      </c>
      <c r="E262" s="1">
        <v>0.313189</v>
      </c>
      <c r="F262" s="1">
        <f>1152000*(10^-6)</f>
        <v>1.1519999999999999</v>
      </c>
      <c r="G262" s="1">
        <v>44</v>
      </c>
      <c r="H262" s="1">
        <v>14.49</v>
      </c>
    </row>
    <row r="263" spans="1:8">
      <c r="A263" s="1">
        <v>34</v>
      </c>
      <c r="B263" s="1" t="s">
        <v>813</v>
      </c>
      <c r="C263" s="1">
        <v>75.099999999999994</v>
      </c>
      <c r="D263" s="1">
        <v>230.65</v>
      </c>
      <c r="E263" s="1">
        <v>0.30675000000000002</v>
      </c>
      <c r="F263" s="1">
        <f>2265600*(10^-6)</f>
        <v>2.2656000000000001</v>
      </c>
      <c r="G263" s="1">
        <v>56</v>
      </c>
      <c r="H263" s="1">
        <v>14.34</v>
      </c>
    </row>
    <row r="264" spans="1:8">
      <c r="A264" s="1">
        <v>35</v>
      </c>
      <c r="B264" s="1" t="s">
        <v>814</v>
      </c>
      <c r="C264" s="1">
        <v>84.83</v>
      </c>
      <c r="D264" s="1">
        <v>230.42</v>
      </c>
      <c r="E264" s="1">
        <v>0.30886999999999998</v>
      </c>
      <c r="F264" s="1">
        <f>384000*(10^-6)</f>
        <v>0.38400000000000001</v>
      </c>
      <c r="G264" s="1">
        <v>40</v>
      </c>
      <c r="H264" s="1">
        <v>16.37</v>
      </c>
    </row>
    <row r="265" spans="1:8">
      <c r="A265" s="1">
        <v>36</v>
      </c>
      <c r="B265" s="1" t="s">
        <v>815</v>
      </c>
      <c r="C265" s="1">
        <v>68.790000000000006</v>
      </c>
      <c r="D265" s="1">
        <v>226.68</v>
      </c>
      <c r="E265" s="1">
        <v>0.36654599999999998</v>
      </c>
      <c r="F265" s="1">
        <f>307200*(10^-6)</f>
        <v>0.30719999999999997</v>
      </c>
      <c r="G265" s="1">
        <v>54</v>
      </c>
      <c r="H265" s="1">
        <v>13.12</v>
      </c>
    </row>
    <row r="266" spans="1:8">
      <c r="A266" s="1">
        <v>37</v>
      </c>
      <c r="B266" s="1" t="s">
        <v>816</v>
      </c>
      <c r="C266" s="1">
        <v>73.02</v>
      </c>
      <c r="D266" s="1">
        <v>233.14</v>
      </c>
      <c r="E266" s="1">
        <v>0.37628899999999998</v>
      </c>
      <c r="F266" s="1">
        <f>3379200*(10^-6)</f>
        <v>3.3792</v>
      </c>
      <c r="G266" s="1">
        <v>32</v>
      </c>
      <c r="H266" s="1">
        <v>13.99</v>
      </c>
    </row>
    <row r="267" spans="1:8">
      <c r="A267" s="1">
        <v>38</v>
      </c>
      <c r="B267" s="1" t="s">
        <v>817</v>
      </c>
      <c r="C267" s="1">
        <v>81.540000000000006</v>
      </c>
      <c r="D267" s="1" t="e">
        <f>-inf</f>
        <v>#NAME?</v>
      </c>
      <c r="E267" s="1">
        <v>0.34760999999999997</v>
      </c>
      <c r="F267" s="1">
        <f>0*(10^-6)</f>
        <v>0</v>
      </c>
      <c r="G267" s="1">
        <v>28</v>
      </c>
      <c r="H267" s="1">
        <v>15.58</v>
      </c>
    </row>
    <row r="268" spans="1:8">
      <c r="A268" s="1">
        <v>39</v>
      </c>
      <c r="B268" s="1" t="s">
        <v>818</v>
      </c>
      <c r="C268" s="1">
        <v>82.59</v>
      </c>
      <c r="D268" s="1">
        <v>231.96</v>
      </c>
      <c r="E268" s="1">
        <v>0.28979300000000002</v>
      </c>
      <c r="F268" s="1">
        <f>2304000*(10^-6)</f>
        <v>2.3039999999999998</v>
      </c>
      <c r="G268" s="1">
        <v>10</v>
      </c>
      <c r="H268" s="1">
        <v>15.96</v>
      </c>
    </row>
    <row r="269" spans="1:8">
      <c r="A269" s="1">
        <v>40</v>
      </c>
      <c r="B269" s="1" t="s">
        <v>819</v>
      </c>
      <c r="C269" s="1">
        <v>71.63</v>
      </c>
      <c r="D269" s="1">
        <v>228.87</v>
      </c>
      <c r="E269" s="1">
        <v>0.31741799999999998</v>
      </c>
      <c r="F269" s="1">
        <f>460800*(10^-6)</f>
        <v>0.46079999999999999</v>
      </c>
      <c r="G269" s="1">
        <v>12</v>
      </c>
      <c r="H269" s="1">
        <v>13.64</v>
      </c>
    </row>
    <row r="270" spans="1:8">
      <c r="A270" s="1">
        <v>41</v>
      </c>
      <c r="B270" s="1" t="s">
        <v>820</v>
      </c>
      <c r="C270" s="1">
        <v>77.849999999999994</v>
      </c>
      <c r="D270" s="1">
        <v>230.7</v>
      </c>
      <c r="E270" s="1">
        <v>0.35248699999999999</v>
      </c>
      <c r="F270" s="1">
        <f>1075200*(10^-6)</f>
        <v>1.0751999999999999</v>
      </c>
      <c r="G270" s="1">
        <v>26</v>
      </c>
      <c r="H270" s="1">
        <v>14.95</v>
      </c>
    </row>
    <row r="271" spans="1:8">
      <c r="A271" s="1">
        <v>42</v>
      </c>
      <c r="B271" s="1" t="s">
        <v>821</v>
      </c>
      <c r="C271" s="1">
        <v>70.28</v>
      </c>
      <c r="D271" s="1">
        <v>231.41</v>
      </c>
      <c r="E271" s="1">
        <v>0.33325900000000003</v>
      </c>
      <c r="F271" s="1">
        <f>1113600*(10^-6)</f>
        <v>1.1135999999999999</v>
      </c>
      <c r="G271" s="1">
        <v>36</v>
      </c>
      <c r="H271" s="1">
        <v>13.42</v>
      </c>
    </row>
    <row r="272" spans="1:8">
      <c r="A272" s="1">
        <v>43</v>
      </c>
      <c r="B272" s="1" t="s">
        <v>822</v>
      </c>
      <c r="C272" s="1">
        <v>74.680000000000007</v>
      </c>
      <c r="D272" s="1">
        <v>226.58</v>
      </c>
      <c r="E272" s="1">
        <v>0.31436500000000001</v>
      </c>
      <c r="F272" s="1">
        <f>76800*(10^-6)</f>
        <v>7.6799999999999993E-2</v>
      </c>
      <c r="G272" s="1">
        <v>20</v>
      </c>
      <c r="H272" s="1">
        <v>14.3</v>
      </c>
    </row>
    <row r="273" spans="1:8">
      <c r="A273" s="1">
        <v>44</v>
      </c>
      <c r="B273" s="1" t="s">
        <v>823</v>
      </c>
      <c r="C273" s="1">
        <v>63.74</v>
      </c>
      <c r="D273" s="1">
        <v>228.93</v>
      </c>
      <c r="E273" s="1">
        <v>0.39327600000000001</v>
      </c>
      <c r="F273" s="1">
        <f>576000*(10^-6)</f>
        <v>0.57599999999999996</v>
      </c>
      <c r="G273" s="1">
        <v>34</v>
      </c>
      <c r="H273" s="1">
        <v>12.11</v>
      </c>
    </row>
    <row r="274" spans="1:8">
      <c r="A274" s="1">
        <v>45</v>
      </c>
      <c r="B274" s="1" t="s">
        <v>824</v>
      </c>
      <c r="C274" s="1">
        <v>77.3</v>
      </c>
      <c r="D274" s="1">
        <v>233.61</v>
      </c>
      <c r="E274" s="1">
        <v>0.35153000000000001</v>
      </c>
      <c r="F274" s="1">
        <f>7142400*(10^-6)</f>
        <v>7.1423999999999994</v>
      </c>
      <c r="G274" s="1">
        <v>44</v>
      </c>
      <c r="H274" s="1">
        <v>14.78</v>
      </c>
    </row>
    <row r="275" spans="1:8">
      <c r="A275" s="1">
        <v>46</v>
      </c>
      <c r="B275" s="1" t="s">
        <v>825</v>
      </c>
      <c r="C275" s="1">
        <v>78.400000000000006</v>
      </c>
      <c r="D275" s="1">
        <v>233.47</v>
      </c>
      <c r="E275" s="1">
        <v>0.37594300000000003</v>
      </c>
      <c r="F275" s="1">
        <f>3840000*(10^-6)</f>
        <v>3.84</v>
      </c>
      <c r="G275" s="1">
        <v>2</v>
      </c>
      <c r="H275" s="1">
        <v>14.91</v>
      </c>
    </row>
    <row r="276" spans="1:8">
      <c r="A276" s="1">
        <v>47</v>
      </c>
      <c r="B276" s="1" t="s">
        <v>826</v>
      </c>
      <c r="C276" s="1">
        <v>90.5</v>
      </c>
      <c r="D276" s="1">
        <v>233.88</v>
      </c>
      <c r="E276" s="1">
        <v>0.32748500000000003</v>
      </c>
      <c r="F276" s="1">
        <f>3187200*(10^-6)</f>
        <v>3.1871999999999998</v>
      </c>
      <c r="G276" s="1">
        <v>18</v>
      </c>
      <c r="H276" s="1">
        <v>17.260000000000002</v>
      </c>
    </row>
    <row r="277" spans="1:8">
      <c r="A277" s="1">
        <v>48</v>
      </c>
      <c r="B277" s="1" t="s">
        <v>827</v>
      </c>
      <c r="C277" s="1">
        <v>76.430000000000007</v>
      </c>
      <c r="D277" s="1">
        <v>233.09</v>
      </c>
      <c r="E277" s="1">
        <v>0.37830200000000003</v>
      </c>
      <c r="F277" s="1">
        <f>1996800*(10^-6)</f>
        <v>1.9967999999999999</v>
      </c>
      <c r="G277" s="1">
        <v>0</v>
      </c>
      <c r="H277" s="1">
        <v>14.57</v>
      </c>
    </row>
    <row r="278" spans="1:8">
      <c r="A278" s="1">
        <v>49</v>
      </c>
      <c r="B278" s="1" t="s">
        <v>828</v>
      </c>
      <c r="C278" s="1">
        <v>62.82</v>
      </c>
      <c r="D278" s="1">
        <v>231.22</v>
      </c>
      <c r="E278" s="1">
        <v>0.40107199999999998</v>
      </c>
      <c r="F278" s="1">
        <f>2035200*(10^-6)</f>
        <v>2.0352000000000001</v>
      </c>
      <c r="G278" s="1">
        <v>36</v>
      </c>
      <c r="H278" s="1">
        <v>12.04</v>
      </c>
    </row>
    <row r="279" spans="1:8">
      <c r="A279" s="1">
        <v>50</v>
      </c>
      <c r="B279" s="1" t="s">
        <v>829</v>
      </c>
      <c r="C279" s="1">
        <v>81.73</v>
      </c>
      <c r="D279" s="1">
        <v>230.87</v>
      </c>
      <c r="E279" s="1">
        <v>0.30678699999999998</v>
      </c>
      <c r="F279" s="1">
        <f>422400*(10^-6)</f>
        <v>0.4224</v>
      </c>
      <c r="G279" s="1">
        <v>16</v>
      </c>
      <c r="H279" s="1">
        <v>15.85</v>
      </c>
    </row>
    <row r="280" spans="1:8">
      <c r="B280" s="1" t="s">
        <v>19</v>
      </c>
      <c r="C280" s="1">
        <f>AVERAGE(C230:C279)</f>
        <v>77.478000000000009</v>
      </c>
      <c r="D280" s="1" t="e">
        <f t="shared" ref="D280:F280" si="18">AVERAGE(D230:D279)</f>
        <v>#NAME?</v>
      </c>
      <c r="E280" s="1">
        <f t="shared" si="18"/>
        <v>0.32699677999999993</v>
      </c>
      <c r="F280" s="1">
        <f t="shared" si="18"/>
        <v>2.0405759999999997</v>
      </c>
      <c r="H280" s="1">
        <f t="shared" ref="H280" si="19">AVERAGE(H230:H279)</f>
        <v>14.830399999999999</v>
      </c>
    </row>
    <row r="281" spans="1:8">
      <c r="B281" s="1" t="s">
        <v>20</v>
      </c>
      <c r="C281" s="1">
        <f>MIN(C229:C279)</f>
        <v>62.82</v>
      </c>
      <c r="D281" s="1" t="e">
        <f t="shared" ref="D281:F281" si="20">MIN(D229:D279)</f>
        <v>#NAME?</v>
      </c>
      <c r="E281" s="1">
        <f t="shared" si="20"/>
        <v>0.23880899999999999</v>
      </c>
      <c r="F281" s="1">
        <f t="shared" si="20"/>
        <v>0</v>
      </c>
      <c r="H281" s="1">
        <f t="shared" ref="H281" si="21">MIN(H229:H279)</f>
        <v>12.04</v>
      </c>
    </row>
    <row r="282" spans="1:8">
      <c r="B282" s="1" t="s">
        <v>3</v>
      </c>
      <c r="C282" s="1">
        <f>STDEV(C230:C279)</f>
        <v>6.4699254009513831</v>
      </c>
      <c r="D282" s="1" t="e">
        <f t="shared" ref="D282:E282" si="22">STDEV(D230:D279)</f>
        <v>#NAME?</v>
      </c>
      <c r="E282" s="1">
        <f t="shared" si="22"/>
        <v>3.4631514165564502E-2</v>
      </c>
      <c r="F282" s="1">
        <f>STDEV(F230:F279)</f>
        <v>2.7552707618019712</v>
      </c>
      <c r="H282" s="1">
        <f>STDEV(H230:H279)</f>
        <v>1.2533708997120387</v>
      </c>
    </row>
    <row r="284" spans="1:8">
      <c r="H284" s="2" t="s">
        <v>1435</v>
      </c>
    </row>
    <row r="285" spans="1:8" ht="18">
      <c r="A285" s="2" t="s">
        <v>7</v>
      </c>
      <c r="B285" s="3" t="s">
        <v>10</v>
      </c>
      <c r="C285" s="2" t="s">
        <v>4</v>
      </c>
      <c r="D285" s="2" t="s">
        <v>322</v>
      </c>
      <c r="E285" s="2" t="s">
        <v>321</v>
      </c>
      <c r="F285" s="2" t="s">
        <v>324</v>
      </c>
      <c r="G285" s="2" t="s">
        <v>323</v>
      </c>
      <c r="H285" s="2" t="s">
        <v>1436</v>
      </c>
    </row>
    <row r="286" spans="1:8">
      <c r="A286" s="1">
        <v>1</v>
      </c>
      <c r="B286" s="1" t="s">
        <v>830</v>
      </c>
      <c r="C286" s="1">
        <v>62.77</v>
      </c>
      <c r="D286" s="1">
        <v>299.77</v>
      </c>
      <c r="E286" s="1">
        <v>0.28627000000000002</v>
      </c>
      <c r="F286" s="1">
        <f>76800*(10^-6)</f>
        <v>7.6799999999999993E-2</v>
      </c>
      <c r="G286" s="1">
        <v>24</v>
      </c>
      <c r="H286" s="1">
        <v>11.98</v>
      </c>
    </row>
    <row r="287" spans="1:8">
      <c r="A287" s="1">
        <v>2</v>
      </c>
      <c r="B287" s="1" t="s">
        <v>831</v>
      </c>
      <c r="C287" s="1">
        <v>62</v>
      </c>
      <c r="D287" s="1">
        <v>307.11</v>
      </c>
      <c r="E287" s="1">
        <v>0.35802600000000001</v>
      </c>
      <c r="F287" s="1">
        <f>5529600*(10^-6)</f>
        <v>5.5295999999999994</v>
      </c>
      <c r="G287" s="1">
        <v>30</v>
      </c>
      <c r="H287" s="1">
        <v>11.82</v>
      </c>
    </row>
    <row r="288" spans="1:8">
      <c r="A288" s="1">
        <v>3</v>
      </c>
      <c r="B288" s="1" t="s">
        <v>832</v>
      </c>
      <c r="C288" s="1">
        <v>74.099999999999994</v>
      </c>
      <c r="D288" s="1">
        <v>301.2</v>
      </c>
      <c r="E288" s="1">
        <v>0.27995399999999998</v>
      </c>
      <c r="F288" s="1">
        <f>576000*(10^-6)</f>
        <v>0.57599999999999996</v>
      </c>
      <c r="G288" s="1">
        <v>76</v>
      </c>
      <c r="H288" s="1">
        <v>14.15</v>
      </c>
    </row>
    <row r="289" spans="1:8">
      <c r="A289" s="1">
        <v>4</v>
      </c>
      <c r="B289" s="1" t="s">
        <v>833</v>
      </c>
      <c r="C289" s="1">
        <v>64.11</v>
      </c>
      <c r="D289" s="1">
        <v>306</v>
      </c>
      <c r="E289" s="1">
        <v>0.34925600000000001</v>
      </c>
      <c r="F289" s="1">
        <f>2496000*(10^-6)</f>
        <v>2.496</v>
      </c>
      <c r="G289" s="1">
        <v>48</v>
      </c>
      <c r="H289" s="1">
        <v>12.19</v>
      </c>
    </row>
    <row r="290" spans="1:8">
      <c r="A290" s="1">
        <v>5</v>
      </c>
      <c r="B290" s="1" t="s">
        <v>834</v>
      </c>
      <c r="C290" s="1">
        <v>63.46</v>
      </c>
      <c r="D290" s="1">
        <v>296.42</v>
      </c>
      <c r="E290" s="1">
        <v>0.28608</v>
      </c>
      <c r="F290" s="1">
        <f>345600*(10^-6)</f>
        <v>0.34559999999999996</v>
      </c>
      <c r="G290" s="1">
        <v>2</v>
      </c>
      <c r="H290" s="1">
        <v>12.06</v>
      </c>
    </row>
    <row r="291" spans="1:8">
      <c r="A291" s="1">
        <v>6</v>
      </c>
      <c r="B291" s="1" t="s">
        <v>835</v>
      </c>
      <c r="C291" s="1">
        <v>68.510000000000005</v>
      </c>
      <c r="D291" s="1">
        <v>295.18</v>
      </c>
      <c r="E291" s="1">
        <v>0.29599399999999998</v>
      </c>
      <c r="F291" s="1">
        <f>38400*(10^-6)</f>
        <v>3.8399999999999997E-2</v>
      </c>
      <c r="G291" s="1">
        <v>24</v>
      </c>
      <c r="H291" s="1">
        <v>13.06</v>
      </c>
    </row>
    <row r="292" spans="1:8">
      <c r="A292" s="1">
        <v>7</v>
      </c>
      <c r="B292" s="1" t="s">
        <v>836</v>
      </c>
      <c r="C292" s="1">
        <v>60.57</v>
      </c>
      <c r="D292" s="1">
        <v>302.95</v>
      </c>
      <c r="E292" s="1">
        <v>0.30422399999999999</v>
      </c>
      <c r="F292" s="1">
        <f>1497600*(10^-6)</f>
        <v>1.4976</v>
      </c>
      <c r="G292" s="1">
        <v>36</v>
      </c>
      <c r="H292" s="1">
        <v>11.55</v>
      </c>
    </row>
    <row r="293" spans="1:8">
      <c r="A293" s="1">
        <v>8</v>
      </c>
      <c r="B293" s="1" t="s">
        <v>837</v>
      </c>
      <c r="C293" s="1">
        <v>66.8</v>
      </c>
      <c r="D293" s="1" t="e">
        <f>-inf</f>
        <v>#NAME?</v>
      </c>
      <c r="E293" s="1">
        <v>0.31669900000000001</v>
      </c>
      <c r="F293" s="1">
        <f>0*(10^-6)</f>
        <v>0</v>
      </c>
      <c r="G293" s="1">
        <v>70</v>
      </c>
      <c r="H293" s="1">
        <v>12.77</v>
      </c>
    </row>
    <row r="294" spans="1:8">
      <c r="A294" s="1">
        <v>9</v>
      </c>
      <c r="B294" s="1" t="s">
        <v>838</v>
      </c>
      <c r="C294" s="1">
        <v>66.569999999999993</v>
      </c>
      <c r="D294" s="1">
        <v>306.97000000000003</v>
      </c>
      <c r="E294" s="1">
        <v>0.305587</v>
      </c>
      <c r="F294" s="1">
        <f>4070400*(10^-6)</f>
        <v>4.0704000000000002</v>
      </c>
      <c r="G294" s="1">
        <v>72</v>
      </c>
      <c r="H294" s="1">
        <v>12.82</v>
      </c>
    </row>
    <row r="295" spans="1:8">
      <c r="A295" s="1">
        <v>10</v>
      </c>
      <c r="B295" s="1" t="s">
        <v>839</v>
      </c>
      <c r="C295" s="1">
        <v>58.34</v>
      </c>
      <c r="D295" s="1">
        <v>305.95999999999998</v>
      </c>
      <c r="E295" s="1">
        <v>0.29524</v>
      </c>
      <c r="F295" s="1">
        <f>2457600*(10^-6)</f>
        <v>2.4575999999999998</v>
      </c>
      <c r="G295" s="1">
        <v>72</v>
      </c>
      <c r="H295" s="1">
        <v>11.15</v>
      </c>
    </row>
    <row r="296" spans="1:8">
      <c r="A296" s="1">
        <v>11</v>
      </c>
      <c r="B296" s="1" t="s">
        <v>840</v>
      </c>
      <c r="C296" s="1">
        <v>66.150000000000006</v>
      </c>
      <c r="D296" s="1">
        <v>306.39</v>
      </c>
      <c r="E296" s="1">
        <v>0.32787899999999998</v>
      </c>
      <c r="F296" s="1">
        <f>1536000*(10^-6)</f>
        <v>1.536</v>
      </c>
      <c r="G296" s="1">
        <v>76</v>
      </c>
      <c r="H296" s="1">
        <v>12.67</v>
      </c>
    </row>
    <row r="297" spans="1:8">
      <c r="A297" s="1">
        <v>12</v>
      </c>
      <c r="B297" s="1" t="s">
        <v>841</v>
      </c>
      <c r="C297" s="1">
        <v>58.45</v>
      </c>
      <c r="D297" s="1">
        <v>302.48</v>
      </c>
      <c r="E297" s="1">
        <v>0.33922600000000003</v>
      </c>
      <c r="F297" s="1">
        <f>76800*(10^-6)</f>
        <v>7.6799999999999993E-2</v>
      </c>
      <c r="G297" s="1">
        <v>22</v>
      </c>
      <c r="H297" s="1">
        <v>11.1</v>
      </c>
    </row>
    <row r="298" spans="1:8">
      <c r="A298" s="1">
        <v>13</v>
      </c>
      <c r="B298" s="1" t="s">
        <v>842</v>
      </c>
      <c r="C298" s="1">
        <v>67.16</v>
      </c>
      <c r="D298" s="1">
        <v>306.52</v>
      </c>
      <c r="E298" s="1">
        <v>0.31786799999999998</v>
      </c>
      <c r="F298" s="1">
        <f>2572800*(10^-6)</f>
        <v>2.5728</v>
      </c>
      <c r="G298" s="1">
        <v>46</v>
      </c>
      <c r="H298" s="1">
        <v>12.83</v>
      </c>
    </row>
    <row r="299" spans="1:8">
      <c r="A299" s="1">
        <v>14</v>
      </c>
      <c r="B299" s="1" t="s">
        <v>843</v>
      </c>
      <c r="C299" s="1">
        <v>68.430000000000007</v>
      </c>
      <c r="D299" s="1">
        <v>306.18</v>
      </c>
      <c r="E299" s="1">
        <v>0.298678</v>
      </c>
      <c r="F299" s="1">
        <f>1305600*(10^-6)</f>
        <v>1.3055999999999999</v>
      </c>
      <c r="G299" s="1">
        <v>26</v>
      </c>
      <c r="H299" s="1">
        <v>13.1</v>
      </c>
    </row>
    <row r="300" spans="1:8">
      <c r="A300" s="1">
        <v>15</v>
      </c>
      <c r="B300" s="1" t="s">
        <v>844</v>
      </c>
      <c r="C300" s="1">
        <v>59.74</v>
      </c>
      <c r="D300" s="1">
        <v>303.17</v>
      </c>
      <c r="E300" s="1">
        <v>0.29396699999999998</v>
      </c>
      <c r="F300" s="1">
        <f>1881600*(10^-6)</f>
        <v>1.8815999999999999</v>
      </c>
      <c r="G300" s="1">
        <v>2</v>
      </c>
      <c r="H300" s="1">
        <v>11.47</v>
      </c>
    </row>
    <row r="301" spans="1:8">
      <c r="A301" s="1">
        <v>16</v>
      </c>
      <c r="B301" s="1" t="s">
        <v>845</v>
      </c>
      <c r="C301" s="1">
        <v>66.92</v>
      </c>
      <c r="D301" s="1">
        <v>305.95</v>
      </c>
      <c r="E301" s="1">
        <v>0.26938800000000002</v>
      </c>
      <c r="F301" s="1">
        <f>3686400*(10^-6)</f>
        <v>3.6863999999999999</v>
      </c>
      <c r="G301" s="1">
        <v>78</v>
      </c>
      <c r="H301" s="1">
        <v>12.77</v>
      </c>
    </row>
    <row r="302" spans="1:8">
      <c r="A302" s="1">
        <v>17</v>
      </c>
      <c r="B302" s="1" t="s">
        <v>846</v>
      </c>
      <c r="C302" s="1">
        <v>64.59</v>
      </c>
      <c r="D302" s="1">
        <v>300.3</v>
      </c>
      <c r="E302" s="1">
        <v>0.28649599999999997</v>
      </c>
      <c r="F302" s="1">
        <f>76800*(10^-6)</f>
        <v>7.6799999999999993E-2</v>
      </c>
      <c r="G302" s="1">
        <v>70</v>
      </c>
      <c r="H302" s="1">
        <v>12.33</v>
      </c>
    </row>
    <row r="303" spans="1:8">
      <c r="A303" s="1">
        <v>18</v>
      </c>
      <c r="B303" s="1" t="s">
        <v>847</v>
      </c>
      <c r="C303" s="1">
        <v>60.46</v>
      </c>
      <c r="D303" s="1">
        <v>304.33</v>
      </c>
      <c r="E303" s="1">
        <v>0.30839699999999998</v>
      </c>
      <c r="F303" s="1">
        <f>768000*(10^-6)</f>
        <v>0.76800000000000002</v>
      </c>
      <c r="G303" s="1">
        <v>4</v>
      </c>
      <c r="H303" s="1">
        <v>11.64</v>
      </c>
    </row>
    <row r="304" spans="1:8">
      <c r="A304" s="1">
        <v>19</v>
      </c>
      <c r="B304" s="1" t="s">
        <v>848</v>
      </c>
      <c r="C304" s="1">
        <v>82.3</v>
      </c>
      <c r="D304" s="1">
        <v>303.43</v>
      </c>
      <c r="E304" s="1">
        <v>0.26450699999999999</v>
      </c>
      <c r="F304" s="1">
        <f>499200*(10^-6)</f>
        <v>0.49919999999999998</v>
      </c>
      <c r="G304" s="1">
        <v>16</v>
      </c>
      <c r="H304" s="1">
        <v>15.72</v>
      </c>
    </row>
    <row r="305" spans="1:8">
      <c r="A305" s="1">
        <v>20</v>
      </c>
      <c r="B305" s="1" t="s">
        <v>849</v>
      </c>
      <c r="C305" s="1">
        <v>56.14</v>
      </c>
      <c r="D305" s="1">
        <v>303.7</v>
      </c>
      <c r="E305" s="1">
        <v>0.309479</v>
      </c>
      <c r="F305" s="1">
        <f>3840000*(10^-6)</f>
        <v>3.84</v>
      </c>
      <c r="G305" s="1">
        <v>38</v>
      </c>
      <c r="H305" s="1">
        <v>10.78</v>
      </c>
    </row>
    <row r="306" spans="1:8">
      <c r="A306" s="1">
        <v>21</v>
      </c>
      <c r="B306" s="1" t="s">
        <v>850</v>
      </c>
      <c r="C306" s="1">
        <v>51.03</v>
      </c>
      <c r="D306" s="1">
        <v>300.45999999999998</v>
      </c>
      <c r="E306" s="1">
        <v>0.35081800000000002</v>
      </c>
      <c r="F306" s="1">
        <f>230400*(10^-6)</f>
        <v>0.23039999999999999</v>
      </c>
      <c r="G306" s="1">
        <v>28</v>
      </c>
      <c r="H306" s="1">
        <v>9.68</v>
      </c>
    </row>
    <row r="307" spans="1:8">
      <c r="A307" s="1">
        <v>22</v>
      </c>
      <c r="B307" s="1" t="s">
        <v>851</v>
      </c>
      <c r="C307" s="1">
        <v>71.31</v>
      </c>
      <c r="D307" s="1">
        <v>299.2</v>
      </c>
      <c r="E307" s="1">
        <v>0.293765</v>
      </c>
      <c r="F307" s="1">
        <f>38400*(10^-6)</f>
        <v>3.8399999999999997E-2</v>
      </c>
      <c r="G307" s="1">
        <v>30</v>
      </c>
      <c r="H307" s="1">
        <v>13.65</v>
      </c>
    </row>
    <row r="308" spans="1:8">
      <c r="A308" s="1">
        <v>23</v>
      </c>
      <c r="B308" s="1" t="s">
        <v>852</v>
      </c>
      <c r="C308" s="1">
        <v>67.45</v>
      </c>
      <c r="D308" s="1">
        <v>300.31</v>
      </c>
      <c r="E308" s="1">
        <v>0.257048</v>
      </c>
      <c r="F308" s="1">
        <f>230400*(10^-6)</f>
        <v>0.23039999999999999</v>
      </c>
      <c r="G308" s="1">
        <v>36</v>
      </c>
      <c r="H308" s="1">
        <v>12.84</v>
      </c>
    </row>
    <row r="309" spans="1:8">
      <c r="A309" s="1">
        <v>24</v>
      </c>
      <c r="B309" s="1" t="s">
        <v>853</v>
      </c>
      <c r="C309" s="1">
        <v>63.06</v>
      </c>
      <c r="D309" s="1">
        <v>298.37</v>
      </c>
      <c r="E309" s="1">
        <v>0.29961500000000002</v>
      </c>
      <c r="F309" s="1">
        <f>1344000*(10^-6)</f>
        <v>1.3439999999999999</v>
      </c>
      <c r="G309" s="1">
        <v>76</v>
      </c>
      <c r="H309" s="1">
        <v>12</v>
      </c>
    </row>
    <row r="310" spans="1:8">
      <c r="A310" s="1">
        <v>25</v>
      </c>
      <c r="B310" s="1" t="s">
        <v>854</v>
      </c>
      <c r="C310" s="1">
        <v>66.38</v>
      </c>
      <c r="D310" s="1">
        <v>300.95</v>
      </c>
      <c r="E310" s="1">
        <v>0.29471900000000001</v>
      </c>
      <c r="F310" s="1">
        <f>230400*(10^-6)</f>
        <v>0.23039999999999999</v>
      </c>
      <c r="G310" s="1">
        <v>76</v>
      </c>
      <c r="H310" s="1">
        <v>12.71</v>
      </c>
    </row>
    <row r="311" spans="1:8">
      <c r="A311" s="1">
        <v>26</v>
      </c>
      <c r="B311" s="1" t="s">
        <v>855</v>
      </c>
      <c r="C311" s="1">
        <v>67.180000000000007</v>
      </c>
      <c r="D311" s="1">
        <v>305.67</v>
      </c>
      <c r="E311" s="1">
        <v>0.35243400000000003</v>
      </c>
      <c r="F311" s="1">
        <f>307200*(10^-6)</f>
        <v>0.30719999999999997</v>
      </c>
      <c r="G311" s="1">
        <v>68</v>
      </c>
      <c r="H311" s="1">
        <v>12.84</v>
      </c>
    </row>
    <row r="312" spans="1:8">
      <c r="A312" s="1">
        <v>27</v>
      </c>
      <c r="B312" s="1" t="s">
        <v>856</v>
      </c>
      <c r="C312" s="1">
        <v>61.19</v>
      </c>
      <c r="D312" s="1">
        <v>307.02</v>
      </c>
      <c r="E312" s="1">
        <v>0.35547299999999998</v>
      </c>
      <c r="F312" s="1">
        <f>4108800*(10^-6)</f>
        <v>4.1087999999999996</v>
      </c>
      <c r="G312" s="1">
        <v>64</v>
      </c>
      <c r="H312" s="1">
        <v>11.7</v>
      </c>
    </row>
    <row r="313" spans="1:8">
      <c r="A313" s="1">
        <v>28</v>
      </c>
      <c r="B313" s="1" t="s">
        <v>857</v>
      </c>
      <c r="C313" s="1">
        <v>70.89</v>
      </c>
      <c r="D313" s="1">
        <v>300.74</v>
      </c>
      <c r="E313" s="1">
        <v>0.29640100000000003</v>
      </c>
      <c r="F313" s="1">
        <f>806400*(10^-6)</f>
        <v>0.80640000000000001</v>
      </c>
      <c r="G313" s="1">
        <v>40</v>
      </c>
      <c r="H313" s="1">
        <v>13.53</v>
      </c>
    </row>
    <row r="314" spans="1:8">
      <c r="A314" s="1">
        <v>29</v>
      </c>
      <c r="B314" s="1" t="s">
        <v>858</v>
      </c>
      <c r="C314" s="1">
        <v>60.09</v>
      </c>
      <c r="D314" s="1">
        <v>306.86</v>
      </c>
      <c r="E314" s="1">
        <v>0.36715500000000001</v>
      </c>
      <c r="F314" s="1">
        <f>2419200*(10^-6)</f>
        <v>2.4192</v>
      </c>
      <c r="G314" s="1">
        <v>24</v>
      </c>
      <c r="H314" s="1">
        <v>11.44</v>
      </c>
    </row>
    <row r="315" spans="1:8">
      <c r="A315" s="1">
        <v>30</v>
      </c>
      <c r="B315" s="1" t="s">
        <v>859</v>
      </c>
      <c r="C315" s="1">
        <v>64.13</v>
      </c>
      <c r="D315" s="1" t="e">
        <f>-inf</f>
        <v>#NAME?</v>
      </c>
      <c r="E315" s="1">
        <v>0.29617399999999999</v>
      </c>
      <c r="F315" s="1">
        <f>0*(10^-6)</f>
        <v>0</v>
      </c>
      <c r="G315" s="1">
        <v>68</v>
      </c>
      <c r="H315" s="1">
        <v>12.21</v>
      </c>
    </row>
    <row r="316" spans="1:8">
      <c r="A316" s="1">
        <v>31</v>
      </c>
      <c r="B316" s="1" t="s">
        <v>860</v>
      </c>
      <c r="C316" s="1">
        <v>65.02</v>
      </c>
      <c r="D316" s="1">
        <v>304.68</v>
      </c>
      <c r="E316" s="1">
        <v>0.30666599999999999</v>
      </c>
      <c r="F316" s="1">
        <f>1152000*(10^-6)</f>
        <v>1.1519999999999999</v>
      </c>
      <c r="G316" s="1">
        <v>62</v>
      </c>
      <c r="H316" s="1">
        <v>12.41</v>
      </c>
    </row>
    <row r="317" spans="1:8">
      <c r="A317" s="1">
        <v>32</v>
      </c>
      <c r="B317" s="1" t="s">
        <v>861</v>
      </c>
      <c r="C317" s="1">
        <v>64.8</v>
      </c>
      <c r="D317" s="1">
        <v>302.82</v>
      </c>
      <c r="E317" s="1">
        <v>0.31946400000000003</v>
      </c>
      <c r="F317" s="1">
        <f>1190400*(10^-6)</f>
        <v>1.1903999999999999</v>
      </c>
      <c r="G317" s="1">
        <v>4</v>
      </c>
      <c r="H317" s="1">
        <v>12.36</v>
      </c>
    </row>
    <row r="318" spans="1:8">
      <c r="A318" s="1">
        <v>33</v>
      </c>
      <c r="B318" s="1" t="s">
        <v>862</v>
      </c>
      <c r="C318" s="1">
        <v>61.86</v>
      </c>
      <c r="D318" s="1">
        <v>305.38</v>
      </c>
      <c r="E318" s="1">
        <v>0.30771900000000002</v>
      </c>
      <c r="F318" s="1">
        <f>5107200*(10^-6)</f>
        <v>5.1071999999999997</v>
      </c>
      <c r="G318" s="1">
        <v>20</v>
      </c>
      <c r="H318" s="1">
        <v>11.83</v>
      </c>
    </row>
    <row r="319" spans="1:8">
      <c r="A319" s="1">
        <v>34</v>
      </c>
      <c r="B319" s="1" t="s">
        <v>863</v>
      </c>
      <c r="C319" s="1">
        <v>61.11</v>
      </c>
      <c r="D319" s="1">
        <v>301.99</v>
      </c>
      <c r="E319" s="1">
        <v>0.28475400000000001</v>
      </c>
      <c r="F319" s="1">
        <f>1766400*(10^-6)</f>
        <v>1.7664</v>
      </c>
      <c r="G319" s="1">
        <v>72</v>
      </c>
      <c r="H319" s="1">
        <v>11.7</v>
      </c>
    </row>
    <row r="320" spans="1:8">
      <c r="A320" s="1">
        <v>35</v>
      </c>
      <c r="B320" s="1" t="s">
        <v>864</v>
      </c>
      <c r="C320" s="1">
        <v>65.19</v>
      </c>
      <c r="D320" s="1">
        <v>298.88</v>
      </c>
      <c r="E320" s="1">
        <v>0.28925699999999999</v>
      </c>
      <c r="F320" s="1">
        <f>230400*(10^-6)</f>
        <v>0.23039999999999999</v>
      </c>
      <c r="G320" s="1">
        <v>20</v>
      </c>
      <c r="H320" s="1">
        <v>12.43</v>
      </c>
    </row>
    <row r="321" spans="1:8">
      <c r="A321" s="1">
        <v>36</v>
      </c>
      <c r="B321" s="1" t="s">
        <v>865</v>
      </c>
      <c r="C321" s="1">
        <v>65.38</v>
      </c>
      <c r="D321" s="1">
        <v>305.74</v>
      </c>
      <c r="E321" s="1">
        <v>0.26328000000000001</v>
      </c>
      <c r="F321" s="1">
        <f>4838400*(10^-6)</f>
        <v>4.8384</v>
      </c>
      <c r="G321" s="1">
        <v>40</v>
      </c>
      <c r="H321" s="1">
        <v>12.53</v>
      </c>
    </row>
    <row r="322" spans="1:8">
      <c r="A322" s="1">
        <v>37</v>
      </c>
      <c r="B322" s="1" t="s">
        <v>866</v>
      </c>
      <c r="C322" s="1">
        <v>68.56</v>
      </c>
      <c r="D322" s="1">
        <v>305.62</v>
      </c>
      <c r="E322" s="1">
        <v>0.30012699999999998</v>
      </c>
      <c r="F322" s="1">
        <f>1689600*(10^-6)</f>
        <v>1.6896</v>
      </c>
      <c r="G322" s="1">
        <v>34</v>
      </c>
      <c r="H322" s="1">
        <v>13.11</v>
      </c>
    </row>
    <row r="323" spans="1:8">
      <c r="A323" s="1">
        <v>38</v>
      </c>
      <c r="B323" s="1" t="s">
        <v>867</v>
      </c>
      <c r="C323" s="1">
        <v>60.26</v>
      </c>
      <c r="D323" s="1">
        <v>303.56</v>
      </c>
      <c r="E323" s="1">
        <v>0.34611900000000001</v>
      </c>
      <c r="F323" s="1">
        <f>76800*(10^-6)</f>
        <v>7.6799999999999993E-2</v>
      </c>
      <c r="G323" s="1">
        <v>64</v>
      </c>
      <c r="H323" s="1">
        <v>11.47</v>
      </c>
    </row>
    <row r="324" spans="1:8">
      <c r="A324" s="1">
        <v>39</v>
      </c>
      <c r="B324" s="1" t="s">
        <v>868</v>
      </c>
      <c r="C324" s="1">
        <v>64.94</v>
      </c>
      <c r="D324" s="1">
        <v>301.7</v>
      </c>
      <c r="E324" s="1">
        <v>0.327961</v>
      </c>
      <c r="F324" s="1">
        <f>384000*(10^-6)</f>
        <v>0.38400000000000001</v>
      </c>
      <c r="G324" s="1">
        <v>50</v>
      </c>
      <c r="H324" s="1">
        <v>12.39</v>
      </c>
    </row>
    <row r="325" spans="1:8">
      <c r="A325" s="1">
        <v>40</v>
      </c>
      <c r="B325" s="1" t="s">
        <v>869</v>
      </c>
      <c r="C325" s="1">
        <v>63.43</v>
      </c>
      <c r="D325" s="1">
        <v>300.56</v>
      </c>
      <c r="E325" s="1">
        <v>0.33499499999999999</v>
      </c>
      <c r="F325" s="1">
        <f>499200*(10^-6)</f>
        <v>0.49919999999999998</v>
      </c>
      <c r="G325" s="1">
        <v>60</v>
      </c>
      <c r="H325" s="1">
        <v>12.06</v>
      </c>
    </row>
    <row r="326" spans="1:8">
      <c r="A326" s="1">
        <v>41</v>
      </c>
      <c r="B326" s="1" t="s">
        <v>870</v>
      </c>
      <c r="C326" s="1">
        <v>71.64</v>
      </c>
      <c r="D326" s="1">
        <v>302.14999999999998</v>
      </c>
      <c r="E326" s="1">
        <v>0.26354100000000003</v>
      </c>
      <c r="F326" s="1">
        <f>192000*(10^-6)</f>
        <v>0.192</v>
      </c>
      <c r="G326" s="1">
        <v>54</v>
      </c>
      <c r="H326" s="1">
        <v>13.64</v>
      </c>
    </row>
    <row r="327" spans="1:8">
      <c r="A327" s="1">
        <v>42</v>
      </c>
      <c r="B327" s="1" t="s">
        <v>871</v>
      </c>
      <c r="C327" s="1">
        <v>61.87</v>
      </c>
      <c r="D327" s="1">
        <v>302.32</v>
      </c>
      <c r="E327" s="1">
        <v>0.28334100000000001</v>
      </c>
      <c r="F327" s="1">
        <f>883200*(10^-6)</f>
        <v>0.88319999999999999</v>
      </c>
      <c r="G327" s="1">
        <v>12</v>
      </c>
      <c r="H327" s="1">
        <v>11.89</v>
      </c>
    </row>
    <row r="328" spans="1:8">
      <c r="A328" s="1">
        <v>43</v>
      </c>
      <c r="B328" s="1" t="s">
        <v>872</v>
      </c>
      <c r="C328" s="1">
        <v>61.32</v>
      </c>
      <c r="D328" s="1">
        <v>304.13</v>
      </c>
      <c r="E328" s="1">
        <v>0.26963599999999999</v>
      </c>
      <c r="F328" s="1">
        <f>6259200*(10^-6)</f>
        <v>6.2591999999999999</v>
      </c>
      <c r="G328" s="1">
        <v>62</v>
      </c>
      <c r="H328" s="1">
        <v>11.87</v>
      </c>
    </row>
    <row r="329" spans="1:8">
      <c r="A329" s="1">
        <v>44</v>
      </c>
      <c r="B329" s="1" t="s">
        <v>873</v>
      </c>
      <c r="C329" s="1">
        <v>57.8</v>
      </c>
      <c r="D329" s="1">
        <v>303.14</v>
      </c>
      <c r="E329" s="1">
        <v>0.33573500000000001</v>
      </c>
      <c r="F329" s="1">
        <f>960000*(10^-6)</f>
        <v>0.96</v>
      </c>
      <c r="G329" s="1">
        <v>10</v>
      </c>
      <c r="H329" s="1">
        <v>11.04</v>
      </c>
    </row>
    <row r="330" spans="1:8">
      <c r="A330" s="1">
        <v>45</v>
      </c>
      <c r="B330" s="1" t="s">
        <v>874</v>
      </c>
      <c r="C330" s="1">
        <v>63.27</v>
      </c>
      <c r="D330" s="1">
        <v>305.33</v>
      </c>
      <c r="E330" s="1">
        <v>0.32872499999999999</v>
      </c>
      <c r="F330" s="1">
        <f>844800*(10^-6)</f>
        <v>0.8448</v>
      </c>
      <c r="G330" s="1">
        <v>58</v>
      </c>
      <c r="H330" s="1">
        <v>12.09</v>
      </c>
    </row>
    <row r="331" spans="1:8">
      <c r="A331" s="1">
        <v>46</v>
      </c>
      <c r="B331" s="1" t="s">
        <v>875</v>
      </c>
      <c r="C331" s="1">
        <v>63.05</v>
      </c>
      <c r="D331" s="1" t="e">
        <f>-inf</f>
        <v>#NAME?</v>
      </c>
      <c r="E331" s="1">
        <v>0.389123</v>
      </c>
      <c r="F331" s="1">
        <f>0*(10^-6)</f>
        <v>0</v>
      </c>
      <c r="G331" s="1">
        <v>60</v>
      </c>
      <c r="H331" s="1">
        <v>11.97</v>
      </c>
    </row>
    <row r="332" spans="1:8">
      <c r="A332" s="1">
        <v>47</v>
      </c>
      <c r="B332" s="1" t="s">
        <v>876</v>
      </c>
      <c r="C332" s="1">
        <v>63.09</v>
      </c>
      <c r="D332" s="1">
        <v>300.98</v>
      </c>
      <c r="E332" s="1">
        <v>0.31598300000000001</v>
      </c>
      <c r="F332" s="1">
        <f>230400*(10^-6)</f>
        <v>0.23039999999999999</v>
      </c>
      <c r="G332" s="1">
        <v>64</v>
      </c>
      <c r="H332" s="1">
        <v>12.08</v>
      </c>
    </row>
    <row r="333" spans="1:8">
      <c r="A333" s="1">
        <v>48</v>
      </c>
      <c r="B333" s="1" t="s">
        <v>877</v>
      </c>
      <c r="C333" s="1">
        <v>71.19</v>
      </c>
      <c r="D333" s="1">
        <v>307.83999999999997</v>
      </c>
      <c r="E333" s="1">
        <v>0.33519700000000002</v>
      </c>
      <c r="F333" s="1">
        <f>2995200*(10^-6)</f>
        <v>2.9952000000000001</v>
      </c>
      <c r="G333" s="1">
        <v>18</v>
      </c>
      <c r="H333" s="1">
        <v>13.61</v>
      </c>
    </row>
    <row r="334" spans="1:8">
      <c r="A334" s="1">
        <v>49</v>
      </c>
      <c r="B334" s="1" t="s">
        <v>878</v>
      </c>
      <c r="C334" s="1">
        <v>74.78</v>
      </c>
      <c r="D334" s="1">
        <v>304.52999999999997</v>
      </c>
      <c r="E334" s="1">
        <v>0.27307999999999999</v>
      </c>
      <c r="F334" s="1">
        <f>1459200*(10^-6)</f>
        <v>1.4591999999999998</v>
      </c>
      <c r="G334" s="1">
        <v>34</v>
      </c>
      <c r="H334" s="1">
        <v>14.46</v>
      </c>
    </row>
    <row r="335" spans="1:8">
      <c r="A335" s="1">
        <v>50</v>
      </c>
      <c r="B335" s="1" t="s">
        <v>879</v>
      </c>
      <c r="C335" s="1">
        <v>62.43</v>
      </c>
      <c r="D335" s="1">
        <v>303.66000000000003</v>
      </c>
      <c r="E335" s="1">
        <v>0.31713400000000003</v>
      </c>
      <c r="F335" s="1">
        <f>768000*(10^-6)</f>
        <v>0.76800000000000002</v>
      </c>
      <c r="G335" s="1">
        <v>66</v>
      </c>
      <c r="H335" s="1">
        <v>11.91</v>
      </c>
    </row>
    <row r="336" spans="1:8">
      <c r="B336" s="1" t="s">
        <v>19</v>
      </c>
      <c r="C336" s="1">
        <f>AVERAGE(C286:C335)</f>
        <v>64.625400000000013</v>
      </c>
      <c r="D336" s="1" t="e">
        <f t="shared" ref="D336:F336" si="23">AVERAGE(D286:D335)</f>
        <v>#NAME?</v>
      </c>
      <c r="E336" s="1">
        <f t="shared" si="23"/>
        <v>0.30897307999999996</v>
      </c>
      <c r="F336" s="1">
        <f t="shared" si="23"/>
        <v>1.4914560000000003</v>
      </c>
      <c r="H336" s="1">
        <f t="shared" ref="H336" si="24">AVERAGE(H286:H335)</f>
        <v>12.348199999999999</v>
      </c>
    </row>
    <row r="337" spans="1:8">
      <c r="B337" s="1" t="s">
        <v>20</v>
      </c>
      <c r="C337" s="1">
        <f>MIN(C285:C335)</f>
        <v>51.03</v>
      </c>
      <c r="D337" s="1" t="e">
        <f t="shared" ref="D337:F337" si="25">MIN(D285:D335)</f>
        <v>#NAME?</v>
      </c>
      <c r="E337" s="1">
        <f t="shared" si="25"/>
        <v>0.257048</v>
      </c>
      <c r="F337" s="1">
        <f t="shared" si="25"/>
        <v>0</v>
      </c>
      <c r="H337" s="1">
        <f t="shared" ref="H337" si="26">MIN(H285:H335)</f>
        <v>9.68</v>
      </c>
    </row>
    <row r="338" spans="1:8">
      <c r="B338" s="1" t="s">
        <v>3</v>
      </c>
      <c r="C338" s="1">
        <f>STDEV(C286:C335)</f>
        <v>5.1982961140929076</v>
      </c>
      <c r="D338" s="1" t="e">
        <f t="shared" ref="D338:E338" si="27">STDEV(D286:D335)</f>
        <v>#NAME?</v>
      </c>
      <c r="E338" s="1">
        <f t="shared" si="27"/>
        <v>3.0097820952951885E-2</v>
      </c>
      <c r="F338" s="1">
        <f>STDEV(F286:F335)</f>
        <v>1.6400058252957761</v>
      </c>
      <c r="H338" s="1">
        <f>STDEV(H286:H335)</f>
        <v>1.0021501170697236</v>
      </c>
    </row>
    <row r="340" spans="1:8">
      <c r="H340" s="2" t="s">
        <v>1435</v>
      </c>
    </row>
    <row r="341" spans="1:8" ht="18">
      <c r="A341" s="2" t="s">
        <v>7</v>
      </c>
      <c r="B341" s="3" t="s">
        <v>6</v>
      </c>
      <c r="C341" s="2" t="s">
        <v>4</v>
      </c>
      <c r="D341" s="2" t="s">
        <v>322</v>
      </c>
      <c r="E341" s="2" t="s">
        <v>321</v>
      </c>
      <c r="F341" s="2" t="s">
        <v>324</v>
      </c>
      <c r="G341" s="2" t="s">
        <v>323</v>
      </c>
      <c r="H341" s="2" t="s">
        <v>1436</v>
      </c>
    </row>
    <row r="342" spans="1:8">
      <c r="A342" s="1">
        <v>1</v>
      </c>
      <c r="B342" s="1" t="s">
        <v>1334</v>
      </c>
      <c r="C342" s="1">
        <v>56.12</v>
      </c>
      <c r="D342" s="1">
        <v>378.1</v>
      </c>
      <c r="E342" s="1">
        <v>0.33604000000000001</v>
      </c>
      <c r="F342" s="1">
        <v>0.19</v>
      </c>
      <c r="G342" s="1">
        <v>38</v>
      </c>
      <c r="H342" s="1">
        <v>10.7</v>
      </c>
    </row>
    <row r="343" spans="1:8">
      <c r="A343" s="1">
        <v>2</v>
      </c>
      <c r="B343" s="1" t="s">
        <v>1335</v>
      </c>
      <c r="C343" s="1">
        <v>52.63</v>
      </c>
      <c r="D343" s="1">
        <v>375.81</v>
      </c>
      <c r="E343" s="1">
        <v>0.34328799999999998</v>
      </c>
      <c r="F343" s="1">
        <v>0.38</v>
      </c>
      <c r="G343" s="1">
        <v>82</v>
      </c>
      <c r="H343" s="1">
        <v>10.01</v>
      </c>
    </row>
    <row r="344" spans="1:8">
      <c r="A344" s="1">
        <v>3</v>
      </c>
      <c r="B344" s="1" t="s">
        <v>1336</v>
      </c>
      <c r="C344" s="1">
        <v>61.31</v>
      </c>
      <c r="D344" s="1">
        <v>375.37</v>
      </c>
      <c r="E344" s="1">
        <v>0.305172</v>
      </c>
      <c r="F344" s="1">
        <v>0.69</v>
      </c>
      <c r="G344" s="1">
        <v>18</v>
      </c>
      <c r="H344" s="1">
        <v>11.68</v>
      </c>
    </row>
    <row r="345" spans="1:8">
      <c r="A345" s="1">
        <v>4</v>
      </c>
      <c r="B345" s="1" t="s">
        <v>1337</v>
      </c>
      <c r="C345" s="1">
        <v>51.23</v>
      </c>
      <c r="D345" s="1">
        <v>370.9</v>
      </c>
      <c r="E345" s="1">
        <v>0.29481200000000002</v>
      </c>
      <c r="F345" s="1">
        <v>0.12</v>
      </c>
      <c r="G345" s="1">
        <v>90</v>
      </c>
      <c r="H345" s="1">
        <v>9.75</v>
      </c>
    </row>
    <row r="346" spans="1:8">
      <c r="A346" s="1">
        <v>5</v>
      </c>
      <c r="B346" s="1" t="s">
        <v>1338</v>
      </c>
      <c r="C346" s="1">
        <v>59.1</v>
      </c>
      <c r="D346" s="1">
        <v>379.48</v>
      </c>
      <c r="E346" s="1">
        <v>0.25613000000000002</v>
      </c>
      <c r="F346" s="1">
        <v>5.34</v>
      </c>
      <c r="G346" s="1">
        <v>62</v>
      </c>
      <c r="H346" s="1">
        <v>11.3</v>
      </c>
    </row>
    <row r="347" spans="1:8">
      <c r="A347" s="1">
        <v>6</v>
      </c>
      <c r="B347" s="1" t="s">
        <v>1339</v>
      </c>
      <c r="C347" s="1">
        <v>53.16</v>
      </c>
      <c r="D347" s="1">
        <v>376.34</v>
      </c>
      <c r="E347" s="1">
        <v>0.29783500000000002</v>
      </c>
      <c r="F347" s="1">
        <v>0.42</v>
      </c>
      <c r="G347" s="1">
        <v>30</v>
      </c>
      <c r="H347" s="1">
        <v>10.14</v>
      </c>
    </row>
    <row r="348" spans="1:8">
      <c r="A348" s="1">
        <v>7</v>
      </c>
      <c r="B348" s="1" t="s">
        <v>1340</v>
      </c>
      <c r="C348" s="1">
        <v>54.5</v>
      </c>
      <c r="D348" s="1">
        <v>377.04</v>
      </c>
      <c r="E348" s="1">
        <v>0.313884</v>
      </c>
      <c r="F348" s="1">
        <v>0.27</v>
      </c>
      <c r="G348" s="1">
        <v>4</v>
      </c>
      <c r="H348" s="1">
        <v>10.37</v>
      </c>
    </row>
    <row r="349" spans="1:8">
      <c r="A349" s="1">
        <v>8</v>
      </c>
      <c r="B349" s="1" t="s">
        <v>1341</v>
      </c>
      <c r="C349" s="1">
        <v>49.08</v>
      </c>
      <c r="D349" s="1">
        <v>376.78</v>
      </c>
      <c r="E349" s="1">
        <v>0.32271499999999997</v>
      </c>
      <c r="F349" s="1">
        <v>1.69</v>
      </c>
      <c r="G349" s="1">
        <v>2</v>
      </c>
      <c r="H349" s="1">
        <v>9.35</v>
      </c>
    </row>
    <row r="350" spans="1:8">
      <c r="A350" s="1">
        <v>9</v>
      </c>
      <c r="B350" s="1" t="s">
        <v>1342</v>
      </c>
      <c r="C350" s="1">
        <v>54.35</v>
      </c>
      <c r="D350" s="1">
        <v>373.65</v>
      </c>
      <c r="E350" s="1">
        <v>0.29233100000000001</v>
      </c>
      <c r="F350" s="1">
        <v>0.15</v>
      </c>
      <c r="G350" s="1">
        <v>70</v>
      </c>
      <c r="H350" s="1">
        <v>10.41</v>
      </c>
    </row>
    <row r="351" spans="1:8">
      <c r="A351" s="1">
        <v>10</v>
      </c>
      <c r="B351" s="1" t="s">
        <v>1343</v>
      </c>
      <c r="C351" s="1">
        <v>57.41</v>
      </c>
      <c r="D351" s="1">
        <v>375.65</v>
      </c>
      <c r="E351" s="1">
        <v>0.286999</v>
      </c>
      <c r="F351" s="1">
        <v>0.73</v>
      </c>
      <c r="G351" s="1">
        <v>34</v>
      </c>
      <c r="H351" s="1">
        <v>10.97</v>
      </c>
    </row>
    <row r="352" spans="1:8">
      <c r="A352" s="1">
        <v>11</v>
      </c>
      <c r="B352" s="1" t="s">
        <v>1344</v>
      </c>
      <c r="C352" s="1">
        <v>54.38</v>
      </c>
      <c r="D352" s="1">
        <v>370.17</v>
      </c>
      <c r="E352" s="1">
        <v>0.28272900000000001</v>
      </c>
      <c r="F352" s="1">
        <v>0.04</v>
      </c>
      <c r="G352" s="1">
        <v>40</v>
      </c>
      <c r="H352" s="1">
        <v>10.37</v>
      </c>
    </row>
    <row r="353" spans="1:8">
      <c r="A353" s="1">
        <v>12</v>
      </c>
      <c r="B353" s="1" t="s">
        <v>1345</v>
      </c>
      <c r="C353" s="1">
        <v>54.82</v>
      </c>
      <c r="D353" s="1">
        <v>377.68</v>
      </c>
      <c r="E353" s="1">
        <v>0.32503700000000002</v>
      </c>
      <c r="F353" s="1">
        <v>1.65</v>
      </c>
      <c r="G353" s="1">
        <v>68</v>
      </c>
      <c r="H353" s="1">
        <v>10.47</v>
      </c>
    </row>
    <row r="354" spans="1:8">
      <c r="A354" s="1">
        <v>13</v>
      </c>
      <c r="B354" s="1" t="s">
        <v>1346</v>
      </c>
      <c r="C354" s="1">
        <v>58.56</v>
      </c>
      <c r="D354" s="1">
        <v>370.65</v>
      </c>
      <c r="E354" s="1">
        <v>0.24370700000000001</v>
      </c>
      <c r="F354" s="1">
        <v>0.27</v>
      </c>
      <c r="G354" s="1">
        <v>8</v>
      </c>
      <c r="H354" s="1">
        <v>11.15</v>
      </c>
    </row>
    <row r="355" spans="1:8">
      <c r="A355" s="1">
        <v>14</v>
      </c>
      <c r="B355" s="1" t="s">
        <v>1347</v>
      </c>
      <c r="C355" s="1">
        <v>63.21</v>
      </c>
      <c r="D355" s="1" t="e">
        <f>-inf</f>
        <v>#NAME?</v>
      </c>
      <c r="E355" s="1">
        <v>0.27984799999999999</v>
      </c>
      <c r="F355" s="1">
        <v>0</v>
      </c>
      <c r="G355" s="1">
        <v>44</v>
      </c>
      <c r="H355" s="1">
        <v>12.09</v>
      </c>
    </row>
    <row r="356" spans="1:8">
      <c r="A356" s="1">
        <v>15</v>
      </c>
      <c r="B356" s="1" t="s">
        <v>1348</v>
      </c>
      <c r="C356" s="1">
        <v>56.25</v>
      </c>
      <c r="D356" s="1">
        <v>376.21</v>
      </c>
      <c r="E356" s="1">
        <v>0.32101299999999999</v>
      </c>
      <c r="F356" s="1">
        <v>0.19</v>
      </c>
      <c r="G356" s="1">
        <v>74</v>
      </c>
      <c r="H356" s="1">
        <v>10.76</v>
      </c>
    </row>
    <row r="357" spans="1:8">
      <c r="A357" s="1">
        <v>16</v>
      </c>
      <c r="B357" s="1" t="s">
        <v>1349</v>
      </c>
      <c r="C357" s="1">
        <v>51.17</v>
      </c>
      <c r="D357" s="1">
        <v>377.93</v>
      </c>
      <c r="E357" s="1">
        <v>0.36362899999999998</v>
      </c>
      <c r="F357" s="1">
        <v>0.46</v>
      </c>
      <c r="G357" s="1">
        <v>44</v>
      </c>
      <c r="H357" s="1">
        <v>9.75</v>
      </c>
    </row>
    <row r="358" spans="1:8">
      <c r="A358" s="1">
        <v>17</v>
      </c>
      <c r="B358" s="1" t="s">
        <v>1350</v>
      </c>
      <c r="C358" s="1">
        <v>52.61</v>
      </c>
      <c r="D358" s="1">
        <v>374.01</v>
      </c>
      <c r="E358" s="1">
        <v>0.29132000000000002</v>
      </c>
      <c r="F358" s="1">
        <v>0.81</v>
      </c>
      <c r="G358" s="1">
        <v>82</v>
      </c>
      <c r="H358" s="1">
        <v>10.1</v>
      </c>
    </row>
    <row r="359" spans="1:8">
      <c r="A359" s="1">
        <v>18</v>
      </c>
      <c r="B359" s="1" t="s">
        <v>1351</v>
      </c>
      <c r="C359" s="1">
        <v>48.93</v>
      </c>
      <c r="D359" s="1">
        <v>375.01</v>
      </c>
      <c r="E359" s="1">
        <v>0.31400099999999997</v>
      </c>
      <c r="F359" s="1">
        <v>2.42</v>
      </c>
      <c r="G359" s="1">
        <v>90</v>
      </c>
      <c r="H359" s="1">
        <v>9.33</v>
      </c>
    </row>
    <row r="360" spans="1:8">
      <c r="A360" s="1">
        <v>19</v>
      </c>
      <c r="B360" s="1" t="s">
        <v>1352</v>
      </c>
      <c r="C360" s="1">
        <v>55.38</v>
      </c>
      <c r="D360" s="1">
        <v>369.31</v>
      </c>
      <c r="E360" s="1">
        <v>0.280115</v>
      </c>
      <c r="F360" s="1">
        <v>0.35</v>
      </c>
      <c r="G360" s="1">
        <v>90</v>
      </c>
      <c r="H360" s="1">
        <v>10.59</v>
      </c>
    </row>
    <row r="361" spans="1:8">
      <c r="A361" s="1">
        <v>20</v>
      </c>
      <c r="B361" s="1" t="s">
        <v>1353</v>
      </c>
      <c r="C361" s="1">
        <v>63.97</v>
      </c>
      <c r="D361" s="1">
        <v>375.42</v>
      </c>
      <c r="E361" s="1">
        <v>0.27165699999999998</v>
      </c>
      <c r="F361" s="1">
        <v>0.84</v>
      </c>
      <c r="G361" s="1">
        <v>46</v>
      </c>
      <c r="H361" s="1">
        <v>12.22</v>
      </c>
    </row>
    <row r="362" spans="1:8">
      <c r="A362" s="1">
        <v>21</v>
      </c>
      <c r="B362" s="1" t="s">
        <v>1354</v>
      </c>
      <c r="C362" s="1">
        <v>54.58</v>
      </c>
      <c r="D362" s="1">
        <v>377.38</v>
      </c>
      <c r="E362" s="1">
        <v>0.304589</v>
      </c>
      <c r="F362" s="1">
        <v>2.73</v>
      </c>
      <c r="G362" s="1">
        <v>64</v>
      </c>
      <c r="H362" s="1">
        <v>10.39</v>
      </c>
    </row>
    <row r="363" spans="1:8">
      <c r="A363" s="1">
        <v>22</v>
      </c>
      <c r="B363" s="1" t="s">
        <v>1355</v>
      </c>
      <c r="C363" s="1">
        <v>51.78</v>
      </c>
      <c r="D363" s="1">
        <v>375.29</v>
      </c>
      <c r="E363" s="1">
        <v>0.27993099999999999</v>
      </c>
      <c r="F363" s="1">
        <v>2.19</v>
      </c>
      <c r="G363" s="1">
        <v>64</v>
      </c>
      <c r="H363" s="1">
        <v>9.8699999999999992</v>
      </c>
    </row>
    <row r="364" spans="1:8">
      <c r="A364" s="1">
        <v>23</v>
      </c>
      <c r="B364" s="1" t="s">
        <v>1356</v>
      </c>
      <c r="C364" s="1">
        <v>48.79</v>
      </c>
      <c r="D364" s="1">
        <v>373.02</v>
      </c>
      <c r="E364" s="1">
        <v>0.31629699999999999</v>
      </c>
      <c r="F364" s="1">
        <v>0.31</v>
      </c>
      <c r="G364" s="1">
        <v>84</v>
      </c>
      <c r="H364" s="1">
        <v>9.3000000000000007</v>
      </c>
    </row>
    <row r="365" spans="1:8">
      <c r="A365" s="1">
        <v>24</v>
      </c>
      <c r="B365" s="1" t="s">
        <v>1357</v>
      </c>
      <c r="C365" s="1">
        <v>61.65</v>
      </c>
      <c r="D365" s="1">
        <v>374.76</v>
      </c>
      <c r="E365" s="1">
        <v>0.28478300000000001</v>
      </c>
      <c r="F365" s="1">
        <v>0.61</v>
      </c>
      <c r="G365" s="1">
        <v>72</v>
      </c>
      <c r="H365" s="1">
        <v>11.84</v>
      </c>
    </row>
    <row r="366" spans="1:8">
      <c r="A366" s="1">
        <v>25</v>
      </c>
      <c r="B366" s="1" t="s">
        <v>1358</v>
      </c>
      <c r="C366" s="1">
        <v>57.91</v>
      </c>
      <c r="D366" s="1">
        <v>381.06</v>
      </c>
      <c r="E366" s="1">
        <v>0.321019</v>
      </c>
      <c r="F366" s="1">
        <v>2.88</v>
      </c>
      <c r="G366" s="1">
        <v>84</v>
      </c>
      <c r="H366" s="1">
        <v>11.04</v>
      </c>
    </row>
    <row r="367" spans="1:8">
      <c r="A367" s="1">
        <v>26</v>
      </c>
      <c r="B367" s="1" t="s">
        <v>1359</v>
      </c>
      <c r="C367" s="1">
        <v>57.59</v>
      </c>
      <c r="D367" s="1">
        <v>379.72</v>
      </c>
      <c r="E367" s="1">
        <v>0.323959</v>
      </c>
      <c r="F367" s="1">
        <v>1.54</v>
      </c>
      <c r="G367" s="1">
        <v>88</v>
      </c>
      <c r="H367" s="1">
        <v>10.96</v>
      </c>
    </row>
    <row r="368" spans="1:8">
      <c r="A368" s="1">
        <v>27</v>
      </c>
      <c r="B368" s="1" t="s">
        <v>1360</v>
      </c>
      <c r="C368" s="1">
        <v>52.75</v>
      </c>
      <c r="D368" s="1">
        <v>366.04</v>
      </c>
      <c r="E368" s="1">
        <v>0.29900700000000002</v>
      </c>
      <c r="F368" s="1">
        <v>0.15</v>
      </c>
      <c r="G368" s="1">
        <v>22</v>
      </c>
      <c r="H368" s="1">
        <v>10.039999999999999</v>
      </c>
    </row>
    <row r="369" spans="1:8">
      <c r="A369" s="1">
        <v>28</v>
      </c>
      <c r="B369" s="1" t="s">
        <v>1361</v>
      </c>
      <c r="C369" s="1">
        <v>52.35</v>
      </c>
      <c r="D369" s="1">
        <v>372.53</v>
      </c>
      <c r="E369" s="1">
        <v>0.24171100000000001</v>
      </c>
      <c r="F369" s="1">
        <v>1.27</v>
      </c>
      <c r="G369" s="1">
        <v>30</v>
      </c>
      <c r="H369" s="1">
        <v>10.09</v>
      </c>
    </row>
    <row r="370" spans="1:8">
      <c r="A370" s="1">
        <v>29</v>
      </c>
      <c r="B370" s="1" t="s">
        <v>1362</v>
      </c>
      <c r="C370" s="1">
        <v>55.74</v>
      </c>
      <c r="D370" s="1">
        <v>379.29</v>
      </c>
      <c r="E370" s="1">
        <v>0.344999</v>
      </c>
      <c r="F370" s="1">
        <v>1.77</v>
      </c>
      <c r="G370" s="1">
        <v>84</v>
      </c>
      <c r="H370" s="1">
        <v>10.66</v>
      </c>
    </row>
    <row r="371" spans="1:8">
      <c r="A371" s="1">
        <v>30</v>
      </c>
      <c r="B371" s="1" t="s">
        <v>1363</v>
      </c>
      <c r="C371" s="1">
        <v>51.54</v>
      </c>
      <c r="D371" s="1">
        <v>377.2</v>
      </c>
      <c r="E371" s="1">
        <v>0.31566499999999997</v>
      </c>
      <c r="F371" s="1">
        <v>0.54</v>
      </c>
      <c r="G371" s="1">
        <v>68</v>
      </c>
      <c r="H371" s="1">
        <v>9.81</v>
      </c>
    </row>
    <row r="372" spans="1:8">
      <c r="A372" s="1">
        <v>31</v>
      </c>
      <c r="B372" s="1" t="s">
        <v>1364</v>
      </c>
      <c r="C372" s="1">
        <v>54.64</v>
      </c>
      <c r="D372" s="1">
        <v>375.51</v>
      </c>
      <c r="E372" s="1">
        <v>0.29904700000000001</v>
      </c>
      <c r="F372" s="1">
        <v>1.61</v>
      </c>
      <c r="G372" s="1">
        <v>88</v>
      </c>
      <c r="H372" s="1">
        <v>10.46</v>
      </c>
    </row>
    <row r="373" spans="1:8">
      <c r="A373" s="1">
        <v>32</v>
      </c>
      <c r="B373" s="1" t="s">
        <v>1365</v>
      </c>
      <c r="C373" s="1">
        <v>60.37</v>
      </c>
      <c r="D373" s="1">
        <v>368.53</v>
      </c>
      <c r="E373" s="1">
        <v>0.28142600000000001</v>
      </c>
      <c r="F373" s="1">
        <v>0.04</v>
      </c>
      <c r="G373" s="1">
        <v>18</v>
      </c>
      <c r="H373" s="1">
        <v>11.51</v>
      </c>
    </row>
    <row r="374" spans="1:8">
      <c r="A374" s="1">
        <v>33</v>
      </c>
      <c r="B374" s="1" t="s">
        <v>1366</v>
      </c>
      <c r="C374" s="1">
        <v>59.24</v>
      </c>
      <c r="D374" s="1">
        <v>380.18</v>
      </c>
      <c r="E374" s="1">
        <v>0.31133499999999997</v>
      </c>
      <c r="F374" s="1">
        <v>2.0699999999999998</v>
      </c>
      <c r="G374" s="1">
        <v>72</v>
      </c>
      <c r="H374" s="1">
        <v>11.3</v>
      </c>
    </row>
    <row r="375" spans="1:8">
      <c r="A375" s="1">
        <v>34</v>
      </c>
      <c r="B375" s="1" t="s">
        <v>1367</v>
      </c>
      <c r="C375" s="1">
        <v>51.86</v>
      </c>
      <c r="D375" s="1">
        <v>374.96</v>
      </c>
      <c r="E375" s="1">
        <v>0.31512800000000002</v>
      </c>
      <c r="F375" s="1">
        <v>0.27</v>
      </c>
      <c r="G375" s="1">
        <v>54</v>
      </c>
      <c r="H375" s="1">
        <v>9.8800000000000008</v>
      </c>
    </row>
    <row r="376" spans="1:8">
      <c r="A376" s="1">
        <v>35</v>
      </c>
      <c r="B376" s="1" t="s">
        <v>1368</v>
      </c>
      <c r="C376" s="1">
        <v>54.31</v>
      </c>
      <c r="D376" s="1">
        <v>373.5</v>
      </c>
      <c r="E376" s="1">
        <v>0.27845300000000001</v>
      </c>
      <c r="F376" s="1">
        <v>0.46</v>
      </c>
      <c r="G376" s="1">
        <v>58</v>
      </c>
      <c r="H376" s="1">
        <v>10.35</v>
      </c>
    </row>
    <row r="377" spans="1:8">
      <c r="A377" s="1">
        <v>36</v>
      </c>
      <c r="B377" s="1" t="s">
        <v>1369</v>
      </c>
      <c r="C377" s="1">
        <v>51.7</v>
      </c>
      <c r="D377" s="1">
        <v>377</v>
      </c>
      <c r="E377" s="1">
        <v>0.32853500000000002</v>
      </c>
      <c r="F377" s="1">
        <v>0.12</v>
      </c>
      <c r="G377" s="1">
        <v>50</v>
      </c>
      <c r="H377" s="1">
        <v>9.86</v>
      </c>
    </row>
    <row r="378" spans="1:8">
      <c r="A378" s="1">
        <v>37</v>
      </c>
      <c r="B378" s="1" t="s">
        <v>1370</v>
      </c>
      <c r="C378" s="1">
        <v>56.31</v>
      </c>
      <c r="D378" s="1">
        <v>381.03</v>
      </c>
      <c r="E378" s="1">
        <v>0.32054300000000002</v>
      </c>
      <c r="F378" s="1">
        <v>0.57999999999999996</v>
      </c>
      <c r="G378" s="1">
        <v>68</v>
      </c>
      <c r="H378" s="1">
        <v>10.73</v>
      </c>
    </row>
    <row r="379" spans="1:8">
      <c r="A379" s="1">
        <v>38</v>
      </c>
      <c r="B379" s="1" t="s">
        <v>1371</v>
      </c>
      <c r="C379" s="1">
        <v>60.34</v>
      </c>
      <c r="D379" s="1">
        <v>377.99</v>
      </c>
      <c r="E379" s="1">
        <v>0.28806300000000001</v>
      </c>
      <c r="F379" s="1">
        <v>1.1499999999999999</v>
      </c>
      <c r="G379" s="1">
        <v>72</v>
      </c>
      <c r="H379" s="1">
        <v>11.53</v>
      </c>
    </row>
    <row r="380" spans="1:8">
      <c r="A380" s="1">
        <v>39</v>
      </c>
      <c r="B380" s="1" t="s">
        <v>1372</v>
      </c>
      <c r="C380" s="1">
        <v>51.02</v>
      </c>
      <c r="D380" s="1">
        <v>376.19</v>
      </c>
      <c r="E380" s="1">
        <v>0.30063000000000001</v>
      </c>
      <c r="F380" s="1">
        <v>0.46</v>
      </c>
      <c r="G380" s="1">
        <v>28</v>
      </c>
      <c r="H380" s="1">
        <v>9.7799999999999994</v>
      </c>
    </row>
    <row r="381" spans="1:8">
      <c r="A381" s="1">
        <v>40</v>
      </c>
      <c r="B381" s="1" t="s">
        <v>1373</v>
      </c>
      <c r="C381" s="1">
        <v>52.08</v>
      </c>
      <c r="D381" s="1">
        <v>376.16</v>
      </c>
      <c r="E381" s="1">
        <v>0.32844099999999998</v>
      </c>
      <c r="F381" s="1">
        <v>0.65</v>
      </c>
      <c r="G381" s="1">
        <v>12</v>
      </c>
      <c r="H381" s="1">
        <v>9.94</v>
      </c>
    </row>
    <row r="382" spans="1:8">
      <c r="A382" s="1">
        <v>41</v>
      </c>
      <c r="B382" s="1" t="s">
        <v>1374</v>
      </c>
      <c r="C382" s="1">
        <v>50.17</v>
      </c>
      <c r="D382" s="1">
        <v>374.97</v>
      </c>
      <c r="E382" s="1">
        <v>0.33010200000000001</v>
      </c>
      <c r="F382" s="1">
        <v>0.15</v>
      </c>
      <c r="G382" s="1">
        <v>62</v>
      </c>
      <c r="H382" s="1">
        <v>9.5399999999999991</v>
      </c>
    </row>
    <row r="383" spans="1:8">
      <c r="A383" s="1">
        <v>42</v>
      </c>
      <c r="B383" s="1" t="s">
        <v>1375</v>
      </c>
      <c r="C383" s="1">
        <v>56.58</v>
      </c>
      <c r="D383" s="1">
        <v>376.49</v>
      </c>
      <c r="E383" s="1">
        <v>0.26522400000000002</v>
      </c>
      <c r="F383" s="1">
        <v>0.54</v>
      </c>
      <c r="G383" s="1">
        <v>68</v>
      </c>
      <c r="H383" s="1">
        <v>10.8</v>
      </c>
    </row>
    <row r="384" spans="1:8">
      <c r="A384" s="1">
        <v>43</v>
      </c>
      <c r="B384" s="1" t="s">
        <v>1376</v>
      </c>
      <c r="C384" s="1">
        <v>54.84</v>
      </c>
      <c r="D384" s="1">
        <v>370.38</v>
      </c>
      <c r="E384" s="1">
        <v>0.33502599999999999</v>
      </c>
      <c r="F384" s="1">
        <v>0.04</v>
      </c>
      <c r="G384" s="1">
        <v>22</v>
      </c>
      <c r="H384" s="1">
        <v>10.43</v>
      </c>
    </row>
    <row r="385" spans="1:8">
      <c r="A385" s="1">
        <v>44</v>
      </c>
      <c r="B385" s="1" t="s">
        <v>1377</v>
      </c>
      <c r="C385" s="1">
        <v>56.79</v>
      </c>
      <c r="D385" s="1">
        <v>379.89</v>
      </c>
      <c r="E385" s="1">
        <v>0.344887</v>
      </c>
      <c r="F385" s="1">
        <v>3.38</v>
      </c>
      <c r="G385" s="1">
        <v>10</v>
      </c>
      <c r="H385" s="1">
        <v>10.88</v>
      </c>
    </row>
    <row r="386" spans="1:8">
      <c r="A386" s="1">
        <v>45</v>
      </c>
      <c r="B386" s="1" t="s">
        <v>1378</v>
      </c>
      <c r="C386" s="1">
        <v>53.24</v>
      </c>
      <c r="D386" s="1">
        <v>379.37</v>
      </c>
      <c r="E386" s="1">
        <v>0.35058699999999998</v>
      </c>
      <c r="F386" s="1">
        <v>1.92</v>
      </c>
      <c r="G386" s="1">
        <v>68</v>
      </c>
      <c r="H386" s="1">
        <v>10.11</v>
      </c>
    </row>
    <row r="387" spans="1:8">
      <c r="A387" s="1">
        <v>46</v>
      </c>
      <c r="B387" s="1" t="s">
        <v>1379</v>
      </c>
      <c r="C387" s="1">
        <v>58.68</v>
      </c>
      <c r="D387" s="1">
        <v>372.06</v>
      </c>
      <c r="E387" s="1">
        <v>0.26869399999999999</v>
      </c>
      <c r="F387" s="1">
        <v>0.19</v>
      </c>
      <c r="G387" s="1">
        <v>46</v>
      </c>
      <c r="H387" s="1">
        <v>11.19</v>
      </c>
    </row>
    <row r="388" spans="1:8">
      <c r="A388" s="1">
        <v>47</v>
      </c>
      <c r="B388" s="1" t="s">
        <v>1380</v>
      </c>
      <c r="C388" s="1">
        <v>57.81</v>
      </c>
      <c r="D388" s="1">
        <v>374.58</v>
      </c>
      <c r="E388" s="1">
        <v>0.295186</v>
      </c>
      <c r="F388" s="1">
        <v>0.12</v>
      </c>
      <c r="G388" s="1">
        <v>0</v>
      </c>
      <c r="H388" s="1">
        <v>11</v>
      </c>
    </row>
    <row r="389" spans="1:8">
      <c r="A389" s="1">
        <v>48</v>
      </c>
      <c r="B389" s="1" t="s">
        <v>1381</v>
      </c>
      <c r="C389" s="1">
        <v>61.43</v>
      </c>
      <c r="D389" s="1">
        <v>374.23</v>
      </c>
      <c r="E389" s="1">
        <v>0.26793699999999998</v>
      </c>
      <c r="F389" s="1">
        <v>0.31</v>
      </c>
      <c r="G389" s="1">
        <v>50</v>
      </c>
      <c r="H389" s="1">
        <v>11.69</v>
      </c>
    </row>
    <row r="390" spans="1:8">
      <c r="A390" s="1">
        <v>49</v>
      </c>
      <c r="B390" s="1" t="s">
        <v>1382</v>
      </c>
      <c r="C390" s="1">
        <v>52.76</v>
      </c>
      <c r="D390" s="1">
        <v>372.59</v>
      </c>
      <c r="E390" s="1">
        <v>0.32100899999999999</v>
      </c>
      <c r="F390" s="1">
        <v>0.19</v>
      </c>
      <c r="G390" s="1">
        <v>64</v>
      </c>
      <c r="H390" s="1">
        <v>10.050000000000001</v>
      </c>
    </row>
    <row r="391" spans="1:8">
      <c r="A391" s="1">
        <v>50</v>
      </c>
      <c r="B391" s="1" t="s">
        <v>1383</v>
      </c>
      <c r="C391" s="1">
        <v>53.63</v>
      </c>
      <c r="D391" s="1">
        <v>373.53</v>
      </c>
      <c r="E391" s="1">
        <v>0.28514</v>
      </c>
      <c r="F391" s="1">
        <v>0.77</v>
      </c>
      <c r="G391" s="1">
        <v>4</v>
      </c>
      <c r="H391" s="1">
        <v>10.27</v>
      </c>
    </row>
    <row r="392" spans="1:8">
      <c r="B392" s="1" t="s">
        <v>19</v>
      </c>
      <c r="C392" s="1">
        <f>AVERAGE(C342:C391)</f>
        <v>55.212999999999994</v>
      </c>
      <c r="D392" s="1" t="e">
        <f t="shared" ref="D392:F392" si="28">AVERAGE(D342:D391)</f>
        <v>#NAME?</v>
      </c>
      <c r="E392" s="1">
        <f t="shared" si="28"/>
        <v>0.30339229999999995</v>
      </c>
      <c r="F392" s="1">
        <f t="shared" si="28"/>
        <v>0.92039999999999988</v>
      </c>
      <c r="H392" s="1">
        <f t="shared" ref="H392" si="29">AVERAGE(H342:H391)</f>
        <v>10.536199999999999</v>
      </c>
    </row>
    <row r="393" spans="1:8">
      <c r="B393" s="1" t="s">
        <v>20</v>
      </c>
      <c r="C393" s="1">
        <f>MIN(C341:C391)</f>
        <v>48.79</v>
      </c>
      <c r="D393" s="1" t="e">
        <f t="shared" ref="D393:F393" si="30">MIN(D341:D391)</f>
        <v>#NAME?</v>
      </c>
      <c r="E393" s="1">
        <f t="shared" si="30"/>
        <v>0.24171100000000001</v>
      </c>
      <c r="F393" s="1">
        <f t="shared" si="30"/>
        <v>0</v>
      </c>
      <c r="H393" s="1">
        <f t="shared" ref="H393" si="31">MIN(H341:H391)</f>
        <v>9.3000000000000007</v>
      </c>
    </row>
    <row r="394" spans="1:8">
      <c r="B394" s="1" t="s">
        <v>3</v>
      </c>
      <c r="C394" s="1">
        <f>STDEV(C342:C391)</f>
        <v>3.7741149793763862</v>
      </c>
      <c r="D394" s="1" t="e">
        <f t="shared" ref="D394:E394" si="32">STDEV(D342:D391)</f>
        <v>#NAME?</v>
      </c>
      <c r="E394" s="1">
        <f t="shared" si="32"/>
        <v>2.7681954242865792E-2</v>
      </c>
      <c r="F394" s="1">
        <f>STDEV(F342:F391)</f>
        <v>1.0593759425978591</v>
      </c>
      <c r="H394" s="1">
        <f>STDEV(H342:H391)</f>
        <v>0.72513444214410872</v>
      </c>
    </row>
    <row r="397" spans="1:8" ht="18">
      <c r="A397" s="2"/>
      <c r="B397" s="3"/>
      <c r="C397" s="2"/>
      <c r="D397" s="2"/>
      <c r="E397" s="2"/>
      <c r="F397" s="2"/>
      <c r="G397" s="2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45"/>
  <sheetViews>
    <sheetView tabSelected="1" topLeftCell="A317" zoomScale="60" zoomScaleNormal="60" workbookViewId="0">
      <selection activeCell="J332" sqref="J332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2.6640625" style="1" customWidth="1"/>
    <col min="9" max="10" width="10.109375" style="1" bestFit="1" customWidth="1"/>
    <col min="11" max="11" width="8.88671875" style="1"/>
    <col min="12" max="12" width="19.33203125" style="1" customWidth="1"/>
    <col min="13" max="16384" width="8.88671875" style="1"/>
  </cols>
  <sheetData>
    <row r="1" spans="1:8" ht="14.4" customHeight="1">
      <c r="B1" s="18" t="s">
        <v>18</v>
      </c>
      <c r="C1" s="18"/>
      <c r="D1" s="18"/>
    </row>
    <row r="2" spans="1:8" ht="14.4" customHeight="1">
      <c r="B2" s="18"/>
      <c r="C2" s="18"/>
      <c r="D2" s="18"/>
    </row>
    <row r="4" spans="1:8">
      <c r="H4" s="2" t="s">
        <v>1435</v>
      </c>
    </row>
    <row r="5" spans="1:8" ht="18">
      <c r="A5" s="2" t="s">
        <v>7</v>
      </c>
      <c r="B5" s="3" t="s">
        <v>0</v>
      </c>
      <c r="C5" s="2" t="s">
        <v>4</v>
      </c>
      <c r="D5" s="2" t="s">
        <v>322</v>
      </c>
      <c r="E5" s="2" t="s">
        <v>321</v>
      </c>
      <c r="F5" s="2" t="s">
        <v>324</v>
      </c>
      <c r="G5" s="2" t="s">
        <v>323</v>
      </c>
      <c r="H5" s="2" t="s">
        <v>1436</v>
      </c>
    </row>
    <row r="6" spans="1:8">
      <c r="A6" s="1">
        <v>1</v>
      </c>
      <c r="B6" s="1" t="s">
        <v>1032</v>
      </c>
      <c r="C6" s="1">
        <v>102.28</v>
      </c>
      <c r="D6" s="1">
        <v>16.02</v>
      </c>
      <c r="E6" s="1">
        <v>0.49997599999999998</v>
      </c>
      <c r="F6" s="1">
        <f>101568000*(10^-6)</f>
        <v>101.568</v>
      </c>
      <c r="G6" s="1">
        <v>2</v>
      </c>
      <c r="H6" s="1">
        <v>19.309999999999999</v>
      </c>
    </row>
    <row r="7" spans="1:8">
      <c r="A7" s="1">
        <v>2</v>
      </c>
      <c r="B7" s="1" t="s">
        <v>1033</v>
      </c>
      <c r="C7" s="1">
        <v>134.97999999999999</v>
      </c>
      <c r="D7" s="1">
        <v>16.23</v>
      </c>
      <c r="E7" s="1">
        <v>0.47206900000000002</v>
      </c>
      <c r="F7" s="1">
        <f>102144000*(10^-6)</f>
        <v>102.14399999999999</v>
      </c>
      <c r="G7" s="1">
        <v>0</v>
      </c>
      <c r="H7" s="1">
        <v>25.65</v>
      </c>
    </row>
    <row r="8" spans="1:8">
      <c r="A8" s="1">
        <v>3</v>
      </c>
      <c r="B8" s="1" t="s">
        <v>1034</v>
      </c>
      <c r="C8" s="1">
        <v>152.16</v>
      </c>
      <c r="D8" s="1">
        <v>16.36</v>
      </c>
      <c r="E8" s="1">
        <v>0.49199300000000001</v>
      </c>
      <c r="F8" s="1">
        <f>132748800*(10^-6)</f>
        <v>132.74879999999999</v>
      </c>
      <c r="G8" s="1">
        <v>0</v>
      </c>
      <c r="H8" s="1">
        <v>29</v>
      </c>
    </row>
    <row r="9" spans="1:8">
      <c r="A9" s="1">
        <v>4</v>
      </c>
      <c r="B9" s="1" t="s">
        <v>1035</v>
      </c>
      <c r="C9" s="1">
        <v>168.19</v>
      </c>
      <c r="D9" s="1">
        <v>16.45</v>
      </c>
      <c r="E9" s="1">
        <v>0.5</v>
      </c>
      <c r="F9" s="1">
        <f>168038400*(10^-6)</f>
        <v>168.0384</v>
      </c>
      <c r="G9" s="1">
        <v>2</v>
      </c>
      <c r="H9" s="1">
        <v>32.200000000000003</v>
      </c>
    </row>
    <row r="10" spans="1:8">
      <c r="A10" s="1">
        <v>5</v>
      </c>
      <c r="B10" s="1" t="s">
        <v>1036</v>
      </c>
      <c r="C10" s="1">
        <v>101.57</v>
      </c>
      <c r="D10" s="1">
        <v>16.010000000000002</v>
      </c>
      <c r="E10" s="1">
        <v>0.5</v>
      </c>
      <c r="F10" s="1">
        <f>101491200*(10^-6)</f>
        <v>101.49119999999999</v>
      </c>
      <c r="G10" s="1">
        <v>2</v>
      </c>
      <c r="H10" s="1">
        <v>19.309999999999999</v>
      </c>
    </row>
    <row r="11" spans="1:8">
      <c r="A11" s="1">
        <v>6</v>
      </c>
      <c r="B11" s="1" t="s">
        <v>1037</v>
      </c>
      <c r="C11" s="1">
        <v>170.63</v>
      </c>
      <c r="D11" s="1">
        <v>16.440000000000001</v>
      </c>
      <c r="E11" s="1">
        <v>0.47807899999999998</v>
      </c>
      <c r="F11" s="1">
        <f>134092800*(10^-6)</f>
        <v>134.09279999999998</v>
      </c>
      <c r="G11" s="1">
        <v>2</v>
      </c>
      <c r="H11" s="1">
        <v>33.159999999999997</v>
      </c>
    </row>
    <row r="12" spans="1:8">
      <c r="A12" s="1">
        <v>7</v>
      </c>
      <c r="B12" s="1" t="s">
        <v>1038</v>
      </c>
      <c r="C12" s="1">
        <v>135.69</v>
      </c>
      <c r="D12" s="1">
        <v>16.239999999999998</v>
      </c>
      <c r="E12" s="1">
        <v>0.47070600000000001</v>
      </c>
      <c r="F12" s="1">
        <f>101836800*(10^-6)</f>
        <v>101.8368</v>
      </c>
      <c r="G12" s="1">
        <v>0</v>
      </c>
      <c r="H12" s="1">
        <v>25.82</v>
      </c>
    </row>
    <row r="13" spans="1:8">
      <c r="A13" s="1">
        <v>8</v>
      </c>
      <c r="B13" s="1" t="s">
        <v>1039</v>
      </c>
      <c r="C13" s="1">
        <v>102.22</v>
      </c>
      <c r="D13" s="1">
        <v>16.02</v>
      </c>
      <c r="E13" s="1">
        <v>0.49999900000000003</v>
      </c>
      <c r="F13" s="1">
        <f>102105600*(10^-6)</f>
        <v>102.1056</v>
      </c>
      <c r="G13" s="1">
        <v>0</v>
      </c>
      <c r="H13" s="1">
        <v>19.34</v>
      </c>
    </row>
    <row r="14" spans="1:8">
      <c r="A14" s="1">
        <v>9</v>
      </c>
      <c r="B14" s="1" t="s">
        <v>1040</v>
      </c>
      <c r="C14" s="1">
        <v>117.43</v>
      </c>
      <c r="D14" s="1">
        <v>16.13</v>
      </c>
      <c r="E14" s="1">
        <v>0.49121300000000001</v>
      </c>
      <c r="F14" s="1">
        <f>101721600*(10^-6)</f>
        <v>101.7216</v>
      </c>
      <c r="G14" s="1">
        <v>0</v>
      </c>
      <c r="H14" s="1">
        <v>22.37</v>
      </c>
    </row>
    <row r="15" spans="1:8">
      <c r="A15" s="1">
        <v>10</v>
      </c>
      <c r="B15" s="1" t="s">
        <v>1041</v>
      </c>
      <c r="C15" s="1">
        <v>102.16</v>
      </c>
      <c r="D15" s="1">
        <v>16.02</v>
      </c>
      <c r="E15" s="1">
        <v>0.49999399999999999</v>
      </c>
      <c r="F15" s="1">
        <f>101798400*(10^-6)</f>
        <v>101.7984</v>
      </c>
      <c r="G15" s="1">
        <v>0</v>
      </c>
      <c r="H15" s="1">
        <v>19.350000000000001</v>
      </c>
    </row>
    <row r="16" spans="1:8">
      <c r="A16" s="1">
        <v>11</v>
      </c>
      <c r="B16" s="1" t="s">
        <v>1042</v>
      </c>
      <c r="C16" s="1">
        <v>117.35</v>
      </c>
      <c r="D16" s="1">
        <v>16.13</v>
      </c>
      <c r="E16" s="1">
        <v>0.49136999999999997</v>
      </c>
      <c r="F16" s="1">
        <f>101798400*(10^-6)</f>
        <v>101.7984</v>
      </c>
      <c r="G16" s="1">
        <v>0</v>
      </c>
      <c r="H16" s="1">
        <v>22.34</v>
      </c>
    </row>
    <row r="17" spans="1:8">
      <c r="A17" s="1">
        <v>12</v>
      </c>
      <c r="B17" s="1" t="s">
        <v>1043</v>
      </c>
      <c r="C17" s="1">
        <v>117.35</v>
      </c>
      <c r="D17" s="1">
        <v>16.13</v>
      </c>
      <c r="E17" s="1">
        <v>0.49136999999999997</v>
      </c>
      <c r="F17" s="1">
        <f>101798400*(10^-6)</f>
        <v>101.7984</v>
      </c>
      <c r="G17" s="1">
        <v>0</v>
      </c>
      <c r="H17" s="1">
        <v>22.34</v>
      </c>
    </row>
    <row r="18" spans="1:8">
      <c r="A18" s="1">
        <v>13</v>
      </c>
      <c r="B18" s="1" t="s">
        <v>1044</v>
      </c>
      <c r="C18" s="1">
        <v>154.08000000000001</v>
      </c>
      <c r="D18" s="1">
        <v>16.32</v>
      </c>
      <c r="E18" s="1">
        <v>0.44912299999999999</v>
      </c>
      <c r="F18" s="1">
        <f>102220800*(10^-6)</f>
        <v>102.2208</v>
      </c>
      <c r="G18" s="1">
        <v>2</v>
      </c>
      <c r="H18" s="1">
        <v>29.65</v>
      </c>
    </row>
    <row r="19" spans="1:8">
      <c r="A19" s="1">
        <v>14</v>
      </c>
      <c r="B19" s="1" t="s">
        <v>1045</v>
      </c>
      <c r="C19" s="1">
        <v>183.9</v>
      </c>
      <c r="D19" s="1">
        <v>16.53</v>
      </c>
      <c r="E19" s="1">
        <v>0.49732799999999999</v>
      </c>
      <c r="F19" s="1">
        <f>170419200*(10^-6)</f>
        <v>170.41919999999999</v>
      </c>
      <c r="G19" s="1">
        <v>0</v>
      </c>
      <c r="H19" s="1">
        <v>36.93</v>
      </c>
    </row>
    <row r="20" spans="1:8">
      <c r="A20" s="1">
        <v>15</v>
      </c>
      <c r="B20" s="1" t="s">
        <v>1046</v>
      </c>
      <c r="C20" s="1">
        <v>151.13999999999999</v>
      </c>
      <c r="D20" s="1">
        <v>16.309999999999999</v>
      </c>
      <c r="E20" s="1">
        <v>0.45197599999999999</v>
      </c>
      <c r="F20" s="1">
        <f>101875200*(10^-6)</f>
        <v>101.87519999999999</v>
      </c>
      <c r="G20" s="1">
        <v>2</v>
      </c>
      <c r="H20" s="1">
        <v>30.71</v>
      </c>
    </row>
    <row r="21" spans="1:8">
      <c r="A21" s="1">
        <v>16</v>
      </c>
      <c r="B21" s="1" t="s">
        <v>1047</v>
      </c>
      <c r="C21" s="1">
        <v>151.35</v>
      </c>
      <c r="D21" s="1">
        <v>16.350000000000001</v>
      </c>
      <c r="E21" s="1">
        <v>0.49222100000000002</v>
      </c>
      <c r="F21" s="1">
        <f>132326400*(10^-6)</f>
        <v>132.32640000000001</v>
      </c>
      <c r="G21" s="1">
        <v>2</v>
      </c>
      <c r="H21" s="1">
        <v>29.52</v>
      </c>
    </row>
    <row r="22" spans="1:8">
      <c r="A22" s="1">
        <v>17</v>
      </c>
      <c r="B22" s="1" t="s">
        <v>1048</v>
      </c>
      <c r="C22" s="1">
        <v>117.56</v>
      </c>
      <c r="D22" s="1">
        <v>16.13</v>
      </c>
      <c r="E22" s="1">
        <v>0.49043700000000001</v>
      </c>
      <c r="F22" s="1">
        <f>101145600*(10^-6)</f>
        <v>101.1456</v>
      </c>
      <c r="G22" s="1">
        <v>2</v>
      </c>
      <c r="H22" s="1">
        <v>22.35</v>
      </c>
    </row>
    <row r="23" spans="1:8">
      <c r="A23" s="1">
        <v>18</v>
      </c>
      <c r="B23" s="1" t="s">
        <v>1049</v>
      </c>
      <c r="C23" s="1">
        <v>116.76</v>
      </c>
      <c r="D23" s="1">
        <v>16.13</v>
      </c>
      <c r="E23" s="1">
        <v>0.49083399999999999</v>
      </c>
      <c r="F23" s="1">
        <f>100800000*(10^-6)</f>
        <v>100.8</v>
      </c>
      <c r="G23" s="1">
        <v>2</v>
      </c>
      <c r="H23" s="1">
        <v>22.35</v>
      </c>
    </row>
    <row r="24" spans="1:8">
      <c r="A24" s="1">
        <v>19</v>
      </c>
      <c r="B24" s="1" t="s">
        <v>1050</v>
      </c>
      <c r="C24" s="1">
        <v>134.57</v>
      </c>
      <c r="D24" s="1">
        <v>16.23</v>
      </c>
      <c r="E24" s="1">
        <v>0.47012100000000001</v>
      </c>
      <c r="F24" s="1">
        <f>100646400*(10^-6)</f>
        <v>100.6464</v>
      </c>
      <c r="G24" s="1">
        <v>0</v>
      </c>
      <c r="H24" s="1">
        <v>26.19</v>
      </c>
    </row>
    <row r="25" spans="1:8">
      <c r="A25" s="1">
        <v>20</v>
      </c>
      <c r="B25" s="1" t="s">
        <v>1051</v>
      </c>
      <c r="C25" s="1">
        <v>135.09</v>
      </c>
      <c r="D25" s="1">
        <v>16.23</v>
      </c>
      <c r="E25" s="1">
        <v>0.47099600000000003</v>
      </c>
      <c r="F25" s="1">
        <f>101568000*(10^-6)</f>
        <v>101.568</v>
      </c>
      <c r="G25" s="1">
        <v>0</v>
      </c>
      <c r="H25" s="1">
        <v>25.83</v>
      </c>
    </row>
    <row r="26" spans="1:8">
      <c r="A26" s="1">
        <v>21</v>
      </c>
      <c r="B26" s="1" t="s">
        <v>1052</v>
      </c>
      <c r="C26" s="1">
        <v>169.94</v>
      </c>
      <c r="D26" s="1">
        <v>16.46</v>
      </c>
      <c r="E26" s="1">
        <v>0.49993700000000002</v>
      </c>
      <c r="F26" s="1">
        <f>168038400*(10^-6)</f>
        <v>168.0384</v>
      </c>
      <c r="G26" s="1">
        <v>0</v>
      </c>
      <c r="H26" s="1">
        <v>32.94</v>
      </c>
    </row>
    <row r="27" spans="1:8">
      <c r="A27" s="1">
        <v>22</v>
      </c>
      <c r="B27" s="1" t="s">
        <v>1053</v>
      </c>
      <c r="C27" s="1">
        <v>102.28</v>
      </c>
      <c r="D27" s="1">
        <v>16.02</v>
      </c>
      <c r="E27" s="1">
        <v>0.49997599999999998</v>
      </c>
      <c r="F27" s="1">
        <f>101568000*(10^-6)</f>
        <v>101.568</v>
      </c>
      <c r="G27" s="1">
        <v>2</v>
      </c>
      <c r="H27" s="1">
        <v>19.309999999999999</v>
      </c>
    </row>
    <row r="28" spans="1:8">
      <c r="A28" s="1">
        <v>23</v>
      </c>
      <c r="B28" s="1" t="s">
        <v>1054</v>
      </c>
      <c r="C28" s="1">
        <v>166.91</v>
      </c>
      <c r="D28" s="1">
        <v>16.43</v>
      </c>
      <c r="E28" s="1">
        <v>0.48147800000000002</v>
      </c>
      <c r="F28" s="1">
        <f>134169600*(10^-6)</f>
        <v>134.1696</v>
      </c>
      <c r="G28" s="1">
        <v>0</v>
      </c>
      <c r="H28" s="1">
        <v>33.72</v>
      </c>
    </row>
    <row r="29" spans="1:8">
      <c r="A29" s="1">
        <v>24</v>
      </c>
      <c r="B29" s="1" t="s">
        <v>1055</v>
      </c>
      <c r="C29" s="1">
        <v>135.69</v>
      </c>
      <c r="D29" s="1">
        <v>16.239999999999998</v>
      </c>
      <c r="E29" s="1">
        <v>0.47070600000000001</v>
      </c>
      <c r="F29" s="1">
        <f>101836800*(10^-6)</f>
        <v>101.8368</v>
      </c>
      <c r="G29" s="1">
        <v>0</v>
      </c>
      <c r="H29" s="1">
        <v>25.82</v>
      </c>
    </row>
    <row r="30" spans="1:8">
      <c r="A30" s="1">
        <v>25</v>
      </c>
      <c r="B30" s="1" t="s">
        <v>1056</v>
      </c>
      <c r="C30" s="1">
        <v>152.16</v>
      </c>
      <c r="D30" s="1">
        <v>16.36</v>
      </c>
      <c r="E30" s="1">
        <v>0.49199300000000001</v>
      </c>
      <c r="F30" s="1">
        <f>132748800*(10^-6)</f>
        <v>132.74879999999999</v>
      </c>
      <c r="G30" s="1">
        <v>0</v>
      </c>
      <c r="H30" s="1">
        <v>29</v>
      </c>
    </row>
    <row r="31" spans="1:8">
      <c r="A31" s="1">
        <v>26</v>
      </c>
      <c r="B31" s="1" t="s">
        <v>1057</v>
      </c>
      <c r="C31" s="1">
        <v>165.2</v>
      </c>
      <c r="D31" s="1">
        <v>16.420000000000002</v>
      </c>
      <c r="E31" s="1">
        <v>0.48112899999999997</v>
      </c>
      <c r="F31" s="1">
        <f>132480000*(10^-6)</f>
        <v>132.47999999999999</v>
      </c>
      <c r="G31" s="1">
        <v>2</v>
      </c>
      <c r="H31" s="1">
        <v>33.700000000000003</v>
      </c>
    </row>
    <row r="32" spans="1:8">
      <c r="A32" s="1">
        <v>27</v>
      </c>
      <c r="B32" s="1" t="s">
        <v>1058</v>
      </c>
      <c r="C32" s="1">
        <v>168.1</v>
      </c>
      <c r="D32" s="1">
        <v>16.45</v>
      </c>
      <c r="E32" s="1">
        <v>0.49999300000000002</v>
      </c>
      <c r="F32" s="1">
        <f>167462400*(10^-6)</f>
        <v>167.4624</v>
      </c>
      <c r="G32" s="1">
        <v>2</v>
      </c>
      <c r="H32" s="1">
        <v>32.68</v>
      </c>
    </row>
    <row r="33" spans="1:8">
      <c r="A33" s="1">
        <v>28</v>
      </c>
      <c r="B33" s="1" t="s">
        <v>1059</v>
      </c>
      <c r="C33" s="1">
        <v>136.93</v>
      </c>
      <c r="D33" s="1">
        <v>16.239999999999998</v>
      </c>
      <c r="E33" s="1">
        <v>0.46943000000000001</v>
      </c>
      <c r="F33" s="1">
        <f>101990400*(10^-6)</f>
        <v>101.99039999999999</v>
      </c>
      <c r="G33" s="1">
        <v>0</v>
      </c>
      <c r="H33" s="1">
        <v>26.09</v>
      </c>
    </row>
    <row r="34" spans="1:8">
      <c r="A34" s="1">
        <v>29</v>
      </c>
      <c r="B34" s="1" t="s">
        <v>1060</v>
      </c>
      <c r="C34" s="1">
        <v>167.04</v>
      </c>
      <c r="D34" s="1">
        <v>16.43</v>
      </c>
      <c r="E34" s="1">
        <v>0.481402</v>
      </c>
      <c r="F34" s="1">
        <f>134208000*(10^-6)</f>
        <v>134.208</v>
      </c>
      <c r="G34" s="1">
        <v>0</v>
      </c>
      <c r="H34" s="1">
        <v>33.69</v>
      </c>
    </row>
    <row r="35" spans="1:8">
      <c r="A35" s="1">
        <v>30</v>
      </c>
      <c r="B35" s="1" t="s">
        <v>1061</v>
      </c>
      <c r="C35" s="1">
        <v>150.99</v>
      </c>
      <c r="D35" s="1">
        <v>16.309999999999999</v>
      </c>
      <c r="E35" s="1">
        <v>0.45134400000000002</v>
      </c>
      <c r="F35" s="1">
        <f>101414400*(10^-6)</f>
        <v>101.4144</v>
      </c>
      <c r="G35" s="1">
        <v>2</v>
      </c>
      <c r="H35" s="1">
        <v>29.29</v>
      </c>
    </row>
    <row r="36" spans="1:8">
      <c r="A36" s="1">
        <v>31</v>
      </c>
      <c r="B36" s="1" t="s">
        <v>1062</v>
      </c>
      <c r="C36" s="1">
        <v>169.5</v>
      </c>
      <c r="D36" s="1">
        <v>16.46</v>
      </c>
      <c r="E36" s="1">
        <v>0.49991099999999999</v>
      </c>
      <c r="F36" s="1">
        <f>167232000*(10^-6)</f>
        <v>167.232</v>
      </c>
      <c r="G36" s="1">
        <v>0</v>
      </c>
      <c r="H36" s="1">
        <v>32.94</v>
      </c>
    </row>
    <row r="37" spans="1:8">
      <c r="A37" s="1">
        <v>32</v>
      </c>
      <c r="B37" s="1" t="s">
        <v>1063</v>
      </c>
      <c r="C37" s="1">
        <v>116.76</v>
      </c>
      <c r="D37" s="1">
        <v>16.13</v>
      </c>
      <c r="E37" s="1">
        <v>0.49083399999999999</v>
      </c>
      <c r="F37" s="1">
        <f>100800000*(10^-6)</f>
        <v>100.8</v>
      </c>
      <c r="G37" s="1">
        <v>2</v>
      </c>
      <c r="H37" s="1">
        <v>22.35</v>
      </c>
    </row>
    <row r="38" spans="1:8">
      <c r="A38" s="1">
        <v>33</v>
      </c>
      <c r="B38" s="1" t="s">
        <v>1064</v>
      </c>
      <c r="C38" s="1">
        <v>188.26</v>
      </c>
      <c r="D38" s="1">
        <v>16.55</v>
      </c>
      <c r="E38" s="1">
        <v>0.49564599999999998</v>
      </c>
      <c r="F38" s="1">
        <f>170611200*(10^-6)</f>
        <v>170.6112</v>
      </c>
      <c r="G38" s="1">
        <v>2</v>
      </c>
      <c r="H38" s="1">
        <v>36.6</v>
      </c>
    </row>
    <row r="39" spans="1:8">
      <c r="A39" s="1">
        <v>34</v>
      </c>
      <c r="B39" s="1" t="s">
        <v>1065</v>
      </c>
      <c r="C39" s="1">
        <v>102.28</v>
      </c>
      <c r="D39" s="1">
        <v>16.02</v>
      </c>
      <c r="E39" s="1">
        <v>0.49997599999999998</v>
      </c>
      <c r="F39" s="1">
        <f>101568000*(10^-6)</f>
        <v>101.568</v>
      </c>
      <c r="G39" s="1">
        <v>2</v>
      </c>
      <c r="H39" s="1">
        <v>19.309999999999999</v>
      </c>
    </row>
    <row r="40" spans="1:8">
      <c r="A40" s="1">
        <v>35</v>
      </c>
      <c r="B40" s="1" t="s">
        <v>1066</v>
      </c>
      <c r="C40" s="1">
        <v>152.16</v>
      </c>
      <c r="D40" s="1">
        <v>16.36</v>
      </c>
      <c r="E40" s="1">
        <v>0.49199300000000001</v>
      </c>
      <c r="F40" s="1">
        <f>132748800*(10^-6)</f>
        <v>132.74879999999999</v>
      </c>
      <c r="G40" s="1">
        <v>0</v>
      </c>
      <c r="H40" s="1">
        <v>29</v>
      </c>
    </row>
    <row r="41" spans="1:8">
      <c r="A41" s="1">
        <v>36</v>
      </c>
      <c r="B41" s="1" t="s">
        <v>1067</v>
      </c>
      <c r="C41" s="1">
        <v>201.89</v>
      </c>
      <c r="D41" s="1">
        <v>16.61</v>
      </c>
      <c r="E41" s="1">
        <v>0.5</v>
      </c>
      <c r="F41" s="1">
        <f>201868800*(10^-6)</f>
        <v>201.86879999999999</v>
      </c>
      <c r="G41" s="1">
        <v>2</v>
      </c>
      <c r="H41" s="1">
        <v>42.3</v>
      </c>
    </row>
    <row r="42" spans="1:8">
      <c r="A42" s="1">
        <v>37</v>
      </c>
      <c r="B42" s="1" t="s">
        <v>1068</v>
      </c>
      <c r="C42" s="1">
        <v>152.06</v>
      </c>
      <c r="D42" s="1">
        <v>16.36</v>
      </c>
      <c r="E42" s="1">
        <v>0.49284899999999998</v>
      </c>
      <c r="F42" s="1">
        <f>133747200*(10^-6)</f>
        <v>133.74719999999999</v>
      </c>
      <c r="G42" s="1">
        <v>0</v>
      </c>
      <c r="H42" s="1">
        <v>29.1</v>
      </c>
    </row>
    <row r="43" spans="1:8">
      <c r="A43" s="1">
        <v>38</v>
      </c>
      <c r="B43" s="1" t="s">
        <v>1069</v>
      </c>
      <c r="C43" s="1">
        <v>152.06</v>
      </c>
      <c r="D43" s="1">
        <v>16.36</v>
      </c>
      <c r="E43" s="1">
        <v>0.49342799999999998</v>
      </c>
      <c r="F43" s="1">
        <f>134515200*(10^-6)</f>
        <v>134.51519999999999</v>
      </c>
      <c r="G43" s="1">
        <v>0</v>
      </c>
      <c r="H43" s="1">
        <v>28.94</v>
      </c>
    </row>
    <row r="44" spans="1:8">
      <c r="A44" s="1">
        <v>39</v>
      </c>
      <c r="B44" s="1" t="s">
        <v>1070</v>
      </c>
      <c r="C44" s="1">
        <v>186.26</v>
      </c>
      <c r="D44" s="1">
        <v>16.54</v>
      </c>
      <c r="E44" s="1">
        <v>0.49637500000000001</v>
      </c>
      <c r="F44" s="1">
        <f>170342400*(10^-6)</f>
        <v>170.3424</v>
      </c>
      <c r="G44" s="1">
        <v>0</v>
      </c>
      <c r="H44" s="1">
        <v>36.94</v>
      </c>
    </row>
    <row r="45" spans="1:8">
      <c r="A45" s="1">
        <v>40</v>
      </c>
      <c r="B45" s="1" t="s">
        <v>1071</v>
      </c>
      <c r="C45" s="1">
        <v>187.07</v>
      </c>
      <c r="D45" s="1">
        <v>16.54</v>
      </c>
      <c r="E45" s="1">
        <v>0.49435600000000002</v>
      </c>
      <c r="F45" s="1">
        <f>167078400*(10^-6)</f>
        <v>167.07839999999999</v>
      </c>
      <c r="G45" s="1">
        <v>0</v>
      </c>
      <c r="H45" s="1">
        <v>36.68</v>
      </c>
    </row>
    <row r="46" spans="1:8">
      <c r="A46" s="1">
        <v>41</v>
      </c>
      <c r="B46" s="1" t="s">
        <v>1072</v>
      </c>
      <c r="C46" s="1">
        <v>153.6</v>
      </c>
      <c r="D46" s="1">
        <v>16.32</v>
      </c>
      <c r="E46" s="1">
        <v>0.45022499999999999</v>
      </c>
      <c r="F46" s="1">
        <f>102528000*(10^-6)</f>
        <v>102.52799999999999</v>
      </c>
      <c r="G46" s="1">
        <v>0</v>
      </c>
      <c r="H46" s="1">
        <v>30.66</v>
      </c>
    </row>
    <row r="47" spans="1:8">
      <c r="A47" s="1">
        <v>42</v>
      </c>
      <c r="B47" s="1" t="s">
        <v>1073</v>
      </c>
      <c r="C47" s="1">
        <v>135.69</v>
      </c>
      <c r="D47" s="1">
        <v>16.239999999999998</v>
      </c>
      <c r="E47" s="1">
        <v>0.47070600000000001</v>
      </c>
      <c r="F47" s="1">
        <f>101836800*(10^-6)</f>
        <v>101.8368</v>
      </c>
      <c r="G47" s="1">
        <v>0</v>
      </c>
      <c r="H47" s="1">
        <v>25.82</v>
      </c>
    </row>
    <row r="48" spans="1:8">
      <c r="A48" s="1">
        <v>43</v>
      </c>
      <c r="B48" s="1" t="s">
        <v>1074</v>
      </c>
      <c r="C48" s="1">
        <v>136.22</v>
      </c>
      <c r="D48" s="1">
        <v>16.239999999999998</v>
      </c>
      <c r="E48" s="1">
        <v>0.469416</v>
      </c>
      <c r="F48" s="1">
        <f>101452800*(10^-6)</f>
        <v>101.4528</v>
      </c>
      <c r="G48" s="1">
        <v>2</v>
      </c>
      <c r="H48" s="1">
        <v>25.91</v>
      </c>
    </row>
    <row r="49" spans="1:8">
      <c r="A49" s="1">
        <v>44</v>
      </c>
      <c r="B49" s="1" t="s">
        <v>1075</v>
      </c>
      <c r="C49" s="1">
        <v>153.1</v>
      </c>
      <c r="D49" s="1">
        <v>16.32</v>
      </c>
      <c r="E49" s="1">
        <v>0.45054100000000002</v>
      </c>
      <c r="F49" s="1">
        <f>102374400*(10^-6)</f>
        <v>102.37439999999999</v>
      </c>
      <c r="G49" s="1">
        <v>0</v>
      </c>
      <c r="H49" s="1">
        <v>30</v>
      </c>
    </row>
    <row r="50" spans="1:8">
      <c r="A50" s="1">
        <v>45</v>
      </c>
      <c r="B50" s="1" t="s">
        <v>1076</v>
      </c>
      <c r="C50" s="1">
        <v>186.49</v>
      </c>
      <c r="D50" s="1">
        <v>16.54</v>
      </c>
      <c r="E50" s="1">
        <v>0.49613800000000002</v>
      </c>
      <c r="F50" s="1">
        <f>170035200*(10^-6)</f>
        <v>170.0352</v>
      </c>
      <c r="G50" s="1">
        <v>2</v>
      </c>
      <c r="H50" s="1">
        <v>37.619999999999997</v>
      </c>
    </row>
    <row r="51" spans="1:8">
      <c r="A51" s="1">
        <v>46</v>
      </c>
      <c r="B51" s="1" t="s">
        <v>1077</v>
      </c>
      <c r="C51" s="1">
        <v>187.16</v>
      </c>
      <c r="D51" s="1">
        <v>16.54</v>
      </c>
      <c r="E51" s="1">
        <v>0.49424400000000002</v>
      </c>
      <c r="F51" s="1">
        <f>166963200*(10^-6)</f>
        <v>166.9632</v>
      </c>
      <c r="G51" s="1">
        <v>0</v>
      </c>
      <c r="H51" s="1">
        <v>36.54</v>
      </c>
    </row>
    <row r="52" spans="1:8">
      <c r="A52" s="1">
        <v>47</v>
      </c>
      <c r="B52" s="1" t="s">
        <v>1078</v>
      </c>
      <c r="C52" s="1">
        <v>134.09</v>
      </c>
      <c r="D52" s="1">
        <v>16.23</v>
      </c>
      <c r="E52" s="1">
        <v>0.47417100000000001</v>
      </c>
      <c r="F52" s="1">
        <f>102796800*(10^-6)</f>
        <v>102.79679999999999</v>
      </c>
      <c r="G52" s="1">
        <v>0</v>
      </c>
      <c r="H52" s="1">
        <v>26.02</v>
      </c>
    </row>
    <row r="53" spans="1:8">
      <c r="A53" s="1">
        <v>48</v>
      </c>
      <c r="B53" s="1" t="s">
        <v>1079</v>
      </c>
      <c r="C53" s="1">
        <v>133.09</v>
      </c>
      <c r="D53" s="1">
        <v>16.25</v>
      </c>
      <c r="E53" s="1">
        <v>0.499998</v>
      </c>
      <c r="F53" s="1">
        <f>132825600*(10^-6)</f>
        <v>132.82559999999998</v>
      </c>
      <c r="G53" s="1">
        <v>2</v>
      </c>
      <c r="H53" s="1">
        <v>25.52</v>
      </c>
    </row>
    <row r="54" spans="1:8">
      <c r="A54" s="1">
        <v>49</v>
      </c>
      <c r="B54" s="1" t="s">
        <v>1080</v>
      </c>
      <c r="C54" s="1">
        <v>169.17</v>
      </c>
      <c r="D54" s="1">
        <v>16.46</v>
      </c>
      <c r="E54" s="1">
        <v>0.49999700000000002</v>
      </c>
      <c r="F54" s="1">
        <f>168729600*(10^-6)</f>
        <v>168.7296</v>
      </c>
      <c r="G54" s="1">
        <v>0</v>
      </c>
      <c r="H54" s="1">
        <v>32.54</v>
      </c>
    </row>
    <row r="55" spans="1:8">
      <c r="A55" s="1">
        <v>50</v>
      </c>
      <c r="B55" s="1" t="s">
        <v>1081</v>
      </c>
      <c r="C55" s="1">
        <v>171.65</v>
      </c>
      <c r="D55" s="1">
        <v>16.47</v>
      </c>
      <c r="E55" s="1">
        <v>0.49999100000000002</v>
      </c>
      <c r="F55" s="1">
        <f>170918400*(10^-6)</f>
        <v>170.91839999999999</v>
      </c>
      <c r="G55" s="1">
        <v>0</v>
      </c>
      <c r="H55" s="1">
        <v>32.619999999999997</v>
      </c>
    </row>
    <row r="56" spans="1:8">
      <c r="B56" s="1" t="s">
        <v>19</v>
      </c>
      <c r="C56" s="1">
        <f>AVERAGE(C6:C55)</f>
        <v>147.00520000000003</v>
      </c>
      <c r="D56" s="1">
        <f t="shared" ref="D56:F56" si="0">AVERAGE(D6:D55)</f>
        <v>16.3062</v>
      </c>
      <c r="E56" s="1">
        <f t="shared" si="0"/>
        <v>0.48575975999999998</v>
      </c>
      <c r="F56" s="1">
        <f t="shared" si="0"/>
        <v>126.78067200000004</v>
      </c>
      <c r="H56" s="1">
        <f t="shared" ref="H56" si="1">AVERAGE(H6:H55)</f>
        <v>28.547399999999993</v>
      </c>
    </row>
    <row r="57" spans="1:8">
      <c r="B57" s="1" t="s">
        <v>20</v>
      </c>
      <c r="C57" s="1">
        <f>MIN(C5:C55)</f>
        <v>101.57</v>
      </c>
      <c r="D57" s="1">
        <f t="shared" ref="D57:F57" si="2">MIN(D5:D55)</f>
        <v>16.010000000000002</v>
      </c>
      <c r="E57" s="1">
        <f t="shared" si="2"/>
        <v>0.44912299999999999</v>
      </c>
      <c r="F57" s="1">
        <f t="shared" si="2"/>
        <v>100.6464</v>
      </c>
      <c r="H57" s="1">
        <f t="shared" ref="H57" si="3">MIN(H5:H55)</f>
        <v>19.309999999999999</v>
      </c>
    </row>
    <row r="58" spans="1:8">
      <c r="B58" s="1" t="s">
        <v>3</v>
      </c>
      <c r="C58" s="1">
        <f>STDEV(C6:C55)</f>
        <v>27.19303288922131</v>
      </c>
      <c r="D58" s="1">
        <f t="shared" ref="D58:E58" si="4">STDEV(D6:D55)</f>
        <v>0.16720865615695896</v>
      </c>
      <c r="E58" s="1">
        <f t="shared" si="4"/>
        <v>1.5746628624669641E-2</v>
      </c>
      <c r="F58" s="1">
        <f>STDEV(F6:F55)</f>
        <v>29.860137272392603</v>
      </c>
      <c r="H58" s="1">
        <f>STDEV(H6:H55)</f>
        <v>5.7816570642129861</v>
      </c>
    </row>
    <row r="60" spans="1:8">
      <c r="H60" s="2" t="s">
        <v>1435</v>
      </c>
    </row>
    <row r="61" spans="1:8" ht="18">
      <c r="A61" s="2" t="s">
        <v>7</v>
      </c>
      <c r="B61" s="3" t="s">
        <v>8</v>
      </c>
      <c r="C61" s="2" t="s">
        <v>4</v>
      </c>
      <c r="D61" s="2" t="s">
        <v>322</v>
      </c>
      <c r="E61" s="2" t="s">
        <v>321</v>
      </c>
      <c r="F61" s="2" t="s">
        <v>324</v>
      </c>
      <c r="G61" s="2" t="s">
        <v>323</v>
      </c>
      <c r="H61" s="2" t="s">
        <v>1436</v>
      </c>
    </row>
    <row r="62" spans="1:8">
      <c r="A62" s="1">
        <v>1</v>
      </c>
      <c r="B62" s="1" t="s">
        <v>1182</v>
      </c>
      <c r="C62" s="1">
        <v>105.27</v>
      </c>
      <c r="D62" s="1">
        <v>40.07</v>
      </c>
      <c r="E62" s="1">
        <v>0.483149</v>
      </c>
      <c r="F62" s="1">
        <f>73305600*(10^-6)</f>
        <v>73.305599999999998</v>
      </c>
      <c r="G62" s="1">
        <v>4</v>
      </c>
      <c r="H62" s="1">
        <v>20.38</v>
      </c>
    </row>
    <row r="63" spans="1:8">
      <c r="A63" s="1">
        <v>2</v>
      </c>
      <c r="B63" s="1" t="s">
        <v>1183</v>
      </c>
      <c r="C63" s="1">
        <v>115.22</v>
      </c>
      <c r="D63" s="1">
        <v>40.29</v>
      </c>
      <c r="E63" s="1">
        <v>0.49076599999999998</v>
      </c>
      <c r="F63" s="1">
        <f>101798400*(10^-6)</f>
        <v>101.7984</v>
      </c>
      <c r="G63" s="1">
        <v>2</v>
      </c>
      <c r="H63" s="1">
        <v>21.81</v>
      </c>
    </row>
    <row r="64" spans="1:8">
      <c r="A64" s="1">
        <v>3</v>
      </c>
      <c r="B64" s="1" t="s">
        <v>1184</v>
      </c>
      <c r="C64" s="1">
        <v>138.66</v>
      </c>
      <c r="D64" s="1">
        <v>40.65</v>
      </c>
      <c r="E64" s="1">
        <v>0.47600999999999999</v>
      </c>
      <c r="F64" s="1">
        <f>100147200*(10^-6)</f>
        <v>100.1472</v>
      </c>
      <c r="G64" s="1">
        <v>6</v>
      </c>
      <c r="H64" s="1">
        <v>26.59</v>
      </c>
    </row>
    <row r="65" spans="1:8">
      <c r="A65" s="1">
        <v>4</v>
      </c>
      <c r="B65" s="1" t="s">
        <v>1185</v>
      </c>
      <c r="C65" s="1">
        <v>101.51</v>
      </c>
      <c r="D65" s="1">
        <v>39.950000000000003</v>
      </c>
      <c r="E65" s="1">
        <v>0.46522599999999997</v>
      </c>
      <c r="F65" s="1">
        <f>69849600*(10^-6)</f>
        <v>69.849599999999995</v>
      </c>
      <c r="G65" s="1">
        <v>2</v>
      </c>
      <c r="H65" s="1">
        <v>19.420000000000002</v>
      </c>
    </row>
    <row r="66" spans="1:8">
      <c r="A66" s="1">
        <v>5</v>
      </c>
      <c r="B66" s="1" t="s">
        <v>1186</v>
      </c>
      <c r="C66" s="1">
        <v>113.96</v>
      </c>
      <c r="D66" s="1">
        <v>40.26</v>
      </c>
      <c r="E66" s="1">
        <v>0.49100899999999997</v>
      </c>
      <c r="F66" s="1">
        <f>100953600*(10^-6)</f>
        <v>100.95359999999999</v>
      </c>
      <c r="G66" s="1">
        <v>8</v>
      </c>
      <c r="H66" s="1">
        <v>21.78</v>
      </c>
    </row>
    <row r="67" spans="1:8">
      <c r="A67" s="1">
        <v>6</v>
      </c>
      <c r="B67" s="1" t="s">
        <v>1187</v>
      </c>
      <c r="C67" s="1">
        <v>155.93</v>
      </c>
      <c r="D67" s="1">
        <v>40.9</v>
      </c>
      <c r="E67" s="1">
        <v>0.47558400000000001</v>
      </c>
      <c r="F67" s="1">
        <f>100915200*(10^-6)</f>
        <v>100.9152</v>
      </c>
      <c r="G67" s="1">
        <v>8</v>
      </c>
      <c r="H67" s="1">
        <v>30.12</v>
      </c>
    </row>
    <row r="68" spans="1:8">
      <c r="A68" s="1">
        <v>7</v>
      </c>
      <c r="B68" s="1" t="s">
        <v>1188</v>
      </c>
      <c r="C68" s="1">
        <v>108.27</v>
      </c>
      <c r="D68" s="1">
        <v>40.159999999999997</v>
      </c>
      <c r="E68" s="1">
        <v>0.493085</v>
      </c>
      <c r="F68" s="1">
        <f>101068800*(10^-6)</f>
        <v>101.0688</v>
      </c>
      <c r="G68" s="1">
        <v>8</v>
      </c>
      <c r="H68" s="1">
        <v>20.56</v>
      </c>
    </row>
    <row r="69" spans="1:8">
      <c r="A69" s="1">
        <v>8</v>
      </c>
      <c r="B69" s="1" t="s">
        <v>1189</v>
      </c>
      <c r="C69" s="1">
        <v>135.36000000000001</v>
      </c>
      <c r="D69" s="1">
        <v>40.630000000000003</v>
      </c>
      <c r="E69" s="1">
        <v>0.48840899999999998</v>
      </c>
      <c r="F69" s="1">
        <f>102720000*(10^-6)</f>
        <v>102.72</v>
      </c>
      <c r="G69" s="1">
        <v>8</v>
      </c>
      <c r="H69" s="1">
        <v>25.71</v>
      </c>
    </row>
    <row r="70" spans="1:8">
      <c r="A70" s="1">
        <v>9</v>
      </c>
      <c r="B70" s="1" t="s">
        <v>1190</v>
      </c>
      <c r="C70" s="1">
        <v>115.32</v>
      </c>
      <c r="D70" s="1">
        <v>40.29</v>
      </c>
      <c r="E70" s="1">
        <v>0.49060300000000001</v>
      </c>
      <c r="F70" s="1">
        <f>102028800*(10^-6)</f>
        <v>102.02879999999999</v>
      </c>
      <c r="G70" s="1">
        <v>8</v>
      </c>
      <c r="H70" s="1">
        <v>21.85</v>
      </c>
    </row>
    <row r="71" spans="1:8">
      <c r="A71" s="1">
        <v>10</v>
      </c>
      <c r="B71" s="1" t="s">
        <v>1191</v>
      </c>
      <c r="C71" s="1">
        <v>103.38</v>
      </c>
      <c r="D71" s="1">
        <v>39.86</v>
      </c>
      <c r="E71" s="1">
        <v>0.42396800000000001</v>
      </c>
      <c r="F71" s="1">
        <f>48038400*(10^-6)</f>
        <v>48.038399999999996</v>
      </c>
      <c r="G71" s="1">
        <v>4</v>
      </c>
      <c r="H71" s="1">
        <v>19.670000000000002</v>
      </c>
    </row>
    <row r="72" spans="1:8">
      <c r="A72" s="1">
        <v>11</v>
      </c>
      <c r="B72" s="1" t="s">
        <v>1192</v>
      </c>
      <c r="C72" s="1">
        <v>134.36000000000001</v>
      </c>
      <c r="D72" s="1">
        <v>40.61</v>
      </c>
      <c r="E72" s="1">
        <v>0.48703099999999999</v>
      </c>
      <c r="F72" s="1">
        <f>101529600*(10^-6)</f>
        <v>101.5296</v>
      </c>
      <c r="G72" s="1">
        <v>6</v>
      </c>
      <c r="H72" s="1">
        <v>25.67</v>
      </c>
    </row>
    <row r="73" spans="1:8">
      <c r="A73" s="1">
        <v>12</v>
      </c>
      <c r="B73" s="1" t="s">
        <v>1193</v>
      </c>
      <c r="C73" s="1">
        <v>122.21</v>
      </c>
      <c r="D73" s="1">
        <v>40.340000000000003</v>
      </c>
      <c r="E73" s="1">
        <v>0.450046</v>
      </c>
      <c r="F73" s="1">
        <f>101222400*(10^-6)</f>
        <v>101.22239999999999</v>
      </c>
      <c r="G73" s="1">
        <v>4</v>
      </c>
      <c r="H73" s="1">
        <v>23.47</v>
      </c>
    </row>
    <row r="74" spans="1:8">
      <c r="A74" s="1">
        <v>13</v>
      </c>
      <c r="B74" s="1" t="s">
        <v>1194</v>
      </c>
      <c r="C74" s="1">
        <v>141.49</v>
      </c>
      <c r="D74" s="1">
        <v>40.72</v>
      </c>
      <c r="E74" s="1">
        <v>0.484373</v>
      </c>
      <c r="F74" s="1">
        <f>101452800*(10^-6)</f>
        <v>101.4528</v>
      </c>
      <c r="G74" s="1">
        <v>4</v>
      </c>
      <c r="H74" s="1">
        <v>27.06</v>
      </c>
    </row>
    <row r="75" spans="1:8">
      <c r="A75" s="1">
        <v>14</v>
      </c>
      <c r="B75" s="1" t="s">
        <v>1195</v>
      </c>
      <c r="C75" s="1">
        <v>109.07</v>
      </c>
      <c r="D75" s="1">
        <v>39.909999999999997</v>
      </c>
      <c r="E75" s="1">
        <v>0.399285</v>
      </c>
      <c r="F75" s="1">
        <f>52416000*(10^-6)</f>
        <v>52.415999999999997</v>
      </c>
      <c r="G75" s="1">
        <v>0</v>
      </c>
      <c r="H75" s="1">
        <v>21.58</v>
      </c>
    </row>
    <row r="76" spans="1:8">
      <c r="A76" s="1">
        <v>15</v>
      </c>
      <c r="B76" s="1" t="s">
        <v>1196</v>
      </c>
      <c r="C76" s="1">
        <v>89.42</v>
      </c>
      <c r="D76" s="1">
        <v>39.619999999999997</v>
      </c>
      <c r="E76" s="1">
        <v>0.44767200000000001</v>
      </c>
      <c r="F76" s="1">
        <f>54105600*(10^-6)</f>
        <v>54.105599999999995</v>
      </c>
      <c r="G76" s="1">
        <v>2</v>
      </c>
      <c r="H76" s="1">
        <v>16.989999999999998</v>
      </c>
    </row>
    <row r="77" spans="1:8">
      <c r="A77" s="1">
        <v>16</v>
      </c>
      <c r="B77" s="1" t="s">
        <v>1197</v>
      </c>
      <c r="C77" s="1">
        <v>124.52</v>
      </c>
      <c r="D77" s="1">
        <v>40.17</v>
      </c>
      <c r="E77" s="1">
        <v>0.40668799999999999</v>
      </c>
      <c r="F77" s="1">
        <f>47270400*(10^-6)</f>
        <v>47.270399999999995</v>
      </c>
      <c r="G77" s="1">
        <v>2</v>
      </c>
      <c r="H77" s="1">
        <v>23.93</v>
      </c>
    </row>
    <row r="78" spans="1:8">
      <c r="A78" s="1">
        <v>17</v>
      </c>
      <c r="B78" s="1" t="s">
        <v>1198</v>
      </c>
      <c r="C78" s="1">
        <v>127.24</v>
      </c>
      <c r="D78" s="1">
        <v>40.49</v>
      </c>
      <c r="E78" s="1">
        <v>0.48377799999999999</v>
      </c>
      <c r="F78" s="1">
        <f>101260800*(10^-6)</f>
        <v>101.26079999999999</v>
      </c>
      <c r="G78" s="1">
        <v>2</v>
      </c>
      <c r="H78" s="1">
        <v>24.48</v>
      </c>
    </row>
    <row r="79" spans="1:8">
      <c r="A79" s="1">
        <v>18</v>
      </c>
      <c r="B79" s="1" t="s">
        <v>1199</v>
      </c>
      <c r="C79" s="1">
        <v>113.08</v>
      </c>
      <c r="D79" s="1">
        <v>40.130000000000003</v>
      </c>
      <c r="E79" s="1">
        <v>0.43202200000000002</v>
      </c>
      <c r="F79" s="1">
        <f>79872000*(10^-6)</f>
        <v>79.872</v>
      </c>
      <c r="G79" s="1">
        <v>4</v>
      </c>
      <c r="H79" s="1">
        <v>21.83</v>
      </c>
    </row>
    <row r="80" spans="1:8">
      <c r="A80" s="1">
        <v>19</v>
      </c>
      <c r="B80" s="1" t="s">
        <v>1200</v>
      </c>
      <c r="C80" s="1">
        <v>147.68</v>
      </c>
      <c r="D80" s="1">
        <v>40.83</v>
      </c>
      <c r="E80" s="1">
        <v>0.49297099999999999</v>
      </c>
      <c r="F80" s="1">
        <f>131289600*(10^-6)</f>
        <v>131.28960000000001</v>
      </c>
      <c r="G80" s="1">
        <v>0</v>
      </c>
      <c r="H80" s="1">
        <v>28.21</v>
      </c>
    </row>
    <row r="81" spans="1:8">
      <c r="A81" s="1">
        <v>20</v>
      </c>
      <c r="B81" s="1" t="s">
        <v>1201</v>
      </c>
      <c r="C81" s="1">
        <v>152.79</v>
      </c>
      <c r="D81" s="1">
        <v>40.909999999999997</v>
      </c>
      <c r="E81" s="1">
        <v>0.49409199999999998</v>
      </c>
      <c r="F81" s="1">
        <f>132595200*(10^-6)</f>
        <v>132.59520000000001</v>
      </c>
      <c r="G81" s="1">
        <v>8</v>
      </c>
      <c r="H81" s="1">
        <v>29.32</v>
      </c>
    </row>
    <row r="82" spans="1:8">
      <c r="A82" s="1">
        <v>21</v>
      </c>
      <c r="B82" s="1" t="s">
        <v>1202</v>
      </c>
      <c r="C82" s="1">
        <v>109.94</v>
      </c>
      <c r="D82" s="1">
        <v>40.17</v>
      </c>
      <c r="E82" s="1">
        <v>0.48188300000000001</v>
      </c>
      <c r="F82" s="1">
        <f>87974400*(10^-6)</f>
        <v>87.974400000000003</v>
      </c>
      <c r="G82" s="1">
        <v>8</v>
      </c>
      <c r="H82" s="1">
        <v>20.89</v>
      </c>
    </row>
    <row r="83" spans="1:8">
      <c r="A83" s="1">
        <v>22</v>
      </c>
      <c r="B83" s="1" t="s">
        <v>1203</v>
      </c>
      <c r="C83" s="1">
        <v>169.21</v>
      </c>
      <c r="D83" s="1">
        <v>41.12</v>
      </c>
      <c r="E83" s="1">
        <v>0.49043199999999998</v>
      </c>
      <c r="F83" s="1">
        <f>132940800*(10^-6)</f>
        <v>132.9408</v>
      </c>
      <c r="G83" s="1">
        <v>6</v>
      </c>
      <c r="H83" s="1">
        <v>32.79</v>
      </c>
    </row>
    <row r="84" spans="1:8">
      <c r="A84" s="1">
        <v>23</v>
      </c>
      <c r="B84" s="1" t="s">
        <v>1204</v>
      </c>
      <c r="C84" s="1">
        <v>141.91999999999999</v>
      </c>
      <c r="D84" s="1">
        <v>40.67</v>
      </c>
      <c r="E84" s="1">
        <v>0.461698</v>
      </c>
      <c r="F84" s="1">
        <f>100646400*(10^-6)</f>
        <v>100.6464</v>
      </c>
      <c r="G84" s="1">
        <v>0</v>
      </c>
      <c r="H84" s="1">
        <v>27.64</v>
      </c>
    </row>
    <row r="85" spans="1:8">
      <c r="A85" s="1">
        <v>24</v>
      </c>
      <c r="B85" s="1" t="s">
        <v>1205</v>
      </c>
      <c r="C85" s="1">
        <v>101.93</v>
      </c>
      <c r="D85" s="1">
        <v>39.96</v>
      </c>
      <c r="E85" s="1">
        <v>0.46585700000000002</v>
      </c>
      <c r="F85" s="1">
        <f>69657600*(10^-6)</f>
        <v>69.657600000000002</v>
      </c>
      <c r="G85" s="1">
        <v>2</v>
      </c>
      <c r="H85" s="1">
        <v>19.47</v>
      </c>
    </row>
    <row r="86" spans="1:8">
      <c r="A86" s="1">
        <v>25</v>
      </c>
      <c r="B86" s="1" t="s">
        <v>1206</v>
      </c>
      <c r="C86" s="1">
        <v>125.23</v>
      </c>
      <c r="D86" s="1">
        <v>40.479999999999997</v>
      </c>
      <c r="E86" s="1">
        <v>0.49495499999999998</v>
      </c>
      <c r="F86" s="1">
        <f>101760000*(10^-6)</f>
        <v>101.75999999999999</v>
      </c>
      <c r="G86" s="1">
        <v>6</v>
      </c>
      <c r="H86" s="1">
        <v>23.84</v>
      </c>
    </row>
    <row r="87" spans="1:8">
      <c r="A87" s="1">
        <v>26</v>
      </c>
      <c r="B87" s="1" t="s">
        <v>1207</v>
      </c>
      <c r="C87" s="1">
        <v>112.31</v>
      </c>
      <c r="D87" s="1">
        <v>40.229999999999997</v>
      </c>
      <c r="E87" s="1">
        <v>0.48810599999999998</v>
      </c>
      <c r="F87" s="1">
        <f>92928000*(10^-6)</f>
        <v>92.927999999999997</v>
      </c>
      <c r="G87" s="1">
        <v>8</v>
      </c>
      <c r="H87" s="1">
        <v>21.84</v>
      </c>
    </row>
    <row r="88" spans="1:8">
      <c r="A88" s="1">
        <v>27</v>
      </c>
      <c r="B88" s="1" t="s">
        <v>1208</v>
      </c>
      <c r="C88" s="1">
        <v>88.95</v>
      </c>
      <c r="D88" s="1">
        <v>39.229999999999997</v>
      </c>
      <c r="E88" s="1">
        <v>0.338362</v>
      </c>
      <c r="F88" s="1">
        <f>36019200*(10^-6)</f>
        <v>36.019199999999998</v>
      </c>
      <c r="G88" s="1">
        <v>2</v>
      </c>
      <c r="H88" s="1">
        <v>17.38</v>
      </c>
    </row>
    <row r="89" spans="1:8">
      <c r="A89" s="1">
        <v>28</v>
      </c>
      <c r="B89" s="1" t="s">
        <v>1209</v>
      </c>
      <c r="C89" s="1">
        <v>141.94999999999999</v>
      </c>
      <c r="D89" s="1">
        <v>40.700000000000003</v>
      </c>
      <c r="E89" s="1">
        <v>0.47465000000000002</v>
      </c>
      <c r="F89" s="1">
        <f>101683200*(10^-6)</f>
        <v>101.6832</v>
      </c>
      <c r="G89" s="1">
        <v>6</v>
      </c>
      <c r="H89" s="1">
        <v>27.13</v>
      </c>
    </row>
    <row r="90" spans="1:8">
      <c r="A90" s="1">
        <v>29</v>
      </c>
      <c r="B90" s="1" t="s">
        <v>1210</v>
      </c>
      <c r="C90" s="1">
        <v>80.819999999999993</v>
      </c>
      <c r="D90" s="1">
        <v>39.49</v>
      </c>
      <c r="E90" s="1">
        <v>0.478798</v>
      </c>
      <c r="F90" s="1">
        <f>60518400*(10^-6)</f>
        <v>60.5184</v>
      </c>
      <c r="G90" s="1">
        <v>0</v>
      </c>
      <c r="H90" s="1">
        <v>15.32</v>
      </c>
    </row>
    <row r="91" spans="1:8">
      <c r="A91" s="1">
        <v>30</v>
      </c>
      <c r="B91" s="1" t="s">
        <v>1211</v>
      </c>
      <c r="C91" s="1">
        <v>122.88</v>
      </c>
      <c r="D91" s="1">
        <v>40.44</v>
      </c>
      <c r="E91" s="1">
        <v>0.49479299999999998</v>
      </c>
      <c r="F91" s="1">
        <f>103180800*(10^-6)</f>
        <v>103.18079999999999</v>
      </c>
      <c r="G91" s="1">
        <v>8</v>
      </c>
      <c r="H91" s="1">
        <v>23.81</v>
      </c>
    </row>
    <row r="92" spans="1:8">
      <c r="A92" s="1">
        <v>31</v>
      </c>
      <c r="B92" s="1" t="s">
        <v>1212</v>
      </c>
      <c r="C92" s="1">
        <v>121.66</v>
      </c>
      <c r="D92" s="1">
        <v>40.26</v>
      </c>
      <c r="E92" s="1">
        <v>0.44210899999999997</v>
      </c>
      <c r="F92" s="1">
        <f>68236800*(10^-6)</f>
        <v>68.236800000000002</v>
      </c>
      <c r="G92" s="1">
        <v>2</v>
      </c>
      <c r="H92" s="1">
        <v>23.55</v>
      </c>
    </row>
    <row r="93" spans="1:8">
      <c r="A93" s="1">
        <v>32</v>
      </c>
      <c r="B93" s="1" t="s">
        <v>1213</v>
      </c>
      <c r="C93" s="1">
        <v>109.84</v>
      </c>
      <c r="D93" s="1">
        <v>40.01</v>
      </c>
      <c r="E93" s="1">
        <v>0.43584899999999999</v>
      </c>
      <c r="F93" s="1">
        <f>44928000*(10^-6)</f>
        <v>44.927999999999997</v>
      </c>
      <c r="G93" s="1">
        <v>2</v>
      </c>
      <c r="H93" s="1">
        <v>21.13</v>
      </c>
    </row>
    <row r="94" spans="1:8">
      <c r="A94" s="1">
        <v>33</v>
      </c>
      <c r="B94" s="1" t="s">
        <v>1214</v>
      </c>
      <c r="C94" s="1">
        <v>120.74</v>
      </c>
      <c r="D94" s="1">
        <v>40.39</v>
      </c>
      <c r="E94" s="1">
        <v>0.49194199999999999</v>
      </c>
      <c r="F94" s="1">
        <f>101222400*(10^-6)</f>
        <v>101.22239999999999</v>
      </c>
      <c r="G94" s="1">
        <v>6</v>
      </c>
      <c r="H94" s="1">
        <v>22.99</v>
      </c>
    </row>
    <row r="95" spans="1:8">
      <c r="A95" s="1">
        <v>34</v>
      </c>
      <c r="B95" s="1" t="s">
        <v>1215</v>
      </c>
      <c r="C95" s="1">
        <v>114.79</v>
      </c>
      <c r="D95" s="1">
        <v>40.28</v>
      </c>
      <c r="E95" s="1">
        <v>0.49058000000000002</v>
      </c>
      <c r="F95" s="1">
        <f>101683200*(10^-6)</f>
        <v>101.6832</v>
      </c>
      <c r="G95" s="1">
        <v>6</v>
      </c>
      <c r="H95" s="1">
        <v>21.85</v>
      </c>
    </row>
    <row r="96" spans="1:8">
      <c r="A96" s="1">
        <v>35</v>
      </c>
      <c r="B96" s="1" t="s">
        <v>1216</v>
      </c>
      <c r="C96" s="1">
        <v>126.22</v>
      </c>
      <c r="D96" s="1">
        <v>40.46</v>
      </c>
      <c r="E96" s="1">
        <v>0.48147299999999998</v>
      </c>
      <c r="F96" s="1">
        <f>99187200*(10^-6)</f>
        <v>99.18719999999999</v>
      </c>
      <c r="G96" s="1">
        <v>4</v>
      </c>
      <c r="H96" s="1">
        <v>24.22</v>
      </c>
    </row>
    <row r="97" spans="1:8">
      <c r="A97" s="1">
        <v>36</v>
      </c>
      <c r="B97" s="1" t="s">
        <v>1217</v>
      </c>
      <c r="C97" s="1">
        <v>128.44</v>
      </c>
      <c r="D97" s="1">
        <v>40.5</v>
      </c>
      <c r="E97" s="1">
        <v>0.48074899999999998</v>
      </c>
      <c r="F97" s="1">
        <f>101529600*(10^-6)</f>
        <v>101.5296</v>
      </c>
      <c r="G97" s="1">
        <v>0</v>
      </c>
      <c r="H97" s="1">
        <v>24.45</v>
      </c>
    </row>
    <row r="98" spans="1:8">
      <c r="A98" s="1">
        <v>37</v>
      </c>
      <c r="B98" s="1" t="s">
        <v>1218</v>
      </c>
      <c r="C98" s="1">
        <v>104.85</v>
      </c>
      <c r="D98" s="1">
        <v>39.92</v>
      </c>
      <c r="E98" s="1">
        <v>0.430508</v>
      </c>
      <c r="F98" s="1">
        <f>58867200*(10^-6)</f>
        <v>58.867199999999997</v>
      </c>
      <c r="G98" s="1">
        <v>0</v>
      </c>
      <c r="H98" s="1">
        <v>20.010000000000002</v>
      </c>
    </row>
    <row r="99" spans="1:8">
      <c r="A99" s="1">
        <v>38</v>
      </c>
      <c r="B99" s="1" t="s">
        <v>1219</v>
      </c>
      <c r="C99" s="1">
        <v>89.59</v>
      </c>
      <c r="D99" s="1">
        <v>39.619999999999997</v>
      </c>
      <c r="E99" s="1">
        <v>0.44513000000000003</v>
      </c>
      <c r="F99" s="1">
        <f>53376000*(10^-6)</f>
        <v>53.375999999999998</v>
      </c>
      <c r="G99" s="1">
        <v>0</v>
      </c>
      <c r="H99" s="1">
        <v>16.940000000000001</v>
      </c>
    </row>
    <row r="100" spans="1:8">
      <c r="A100" s="1">
        <v>39</v>
      </c>
      <c r="B100" s="1" t="s">
        <v>1220</v>
      </c>
      <c r="C100" s="1">
        <v>115.58</v>
      </c>
      <c r="D100" s="1">
        <v>40.229999999999997</v>
      </c>
      <c r="E100" s="1">
        <v>0.466667</v>
      </c>
      <c r="F100" s="1">
        <f>74227200*(10^-6)</f>
        <v>74.227199999999996</v>
      </c>
      <c r="G100" s="1">
        <v>2</v>
      </c>
      <c r="H100" s="1">
        <v>21.99</v>
      </c>
    </row>
    <row r="101" spans="1:8">
      <c r="A101" s="1">
        <v>40</v>
      </c>
      <c r="B101" s="1" t="s">
        <v>1221</v>
      </c>
      <c r="C101" s="1">
        <v>88.63</v>
      </c>
      <c r="D101" s="1">
        <v>39.6</v>
      </c>
      <c r="E101" s="1">
        <v>0.44876100000000002</v>
      </c>
      <c r="F101" s="1">
        <f>52684800*(10^-6)</f>
        <v>52.684799999999996</v>
      </c>
      <c r="G101" s="1">
        <v>6</v>
      </c>
      <c r="H101" s="1">
        <v>16.899999999999999</v>
      </c>
    </row>
    <row r="102" spans="1:8">
      <c r="A102" s="1">
        <v>41</v>
      </c>
      <c r="B102" s="1" t="s">
        <v>1222</v>
      </c>
      <c r="C102" s="1">
        <v>120.37</v>
      </c>
      <c r="D102" s="1">
        <v>40.380000000000003</v>
      </c>
      <c r="E102" s="1">
        <v>0.49174099999999998</v>
      </c>
      <c r="F102" s="1">
        <f>100761600*(10^-6)</f>
        <v>100.7616</v>
      </c>
      <c r="G102" s="1">
        <v>2</v>
      </c>
      <c r="H102" s="1">
        <v>23.05</v>
      </c>
    </row>
    <row r="103" spans="1:8">
      <c r="A103" s="1">
        <v>42</v>
      </c>
      <c r="B103" s="1" t="s">
        <v>1223</v>
      </c>
      <c r="C103" s="1">
        <v>98.64</v>
      </c>
      <c r="D103" s="1">
        <v>39.92</v>
      </c>
      <c r="E103" s="1">
        <v>0.47753000000000001</v>
      </c>
      <c r="F103" s="1">
        <f>75840000*(10^-6)</f>
        <v>75.84</v>
      </c>
      <c r="G103" s="1">
        <v>6</v>
      </c>
      <c r="H103" s="1">
        <v>18.89</v>
      </c>
    </row>
    <row r="104" spans="1:8">
      <c r="A104" s="1">
        <v>43</v>
      </c>
      <c r="B104" s="1" t="s">
        <v>1224</v>
      </c>
      <c r="C104" s="1">
        <v>132.69999999999999</v>
      </c>
      <c r="D104" s="1">
        <v>40.56</v>
      </c>
      <c r="E104" s="1">
        <v>0.477937</v>
      </c>
      <c r="F104" s="1">
        <f>100953600*(10^-6)</f>
        <v>100.95359999999999</v>
      </c>
      <c r="G104" s="1">
        <v>2</v>
      </c>
      <c r="H104" s="1">
        <v>25.24</v>
      </c>
    </row>
    <row r="105" spans="1:8">
      <c r="A105" s="1">
        <v>44</v>
      </c>
      <c r="B105" s="1" t="s">
        <v>1225</v>
      </c>
      <c r="C105" s="1">
        <v>120.55</v>
      </c>
      <c r="D105" s="1">
        <v>40.39</v>
      </c>
      <c r="E105" s="1">
        <v>0.49180699999999999</v>
      </c>
      <c r="F105" s="1">
        <f>101299200*(10^-6)</f>
        <v>101.2992</v>
      </c>
      <c r="G105" s="1">
        <v>2</v>
      </c>
      <c r="H105" s="1">
        <v>23.02</v>
      </c>
    </row>
    <row r="106" spans="1:8">
      <c r="A106" s="1">
        <v>45</v>
      </c>
      <c r="B106" s="1" t="s">
        <v>1226</v>
      </c>
      <c r="C106" s="1">
        <v>134.69</v>
      </c>
      <c r="D106" s="1">
        <v>40.619999999999997</v>
      </c>
      <c r="E106" s="1">
        <v>0.488043</v>
      </c>
      <c r="F106" s="1">
        <f>102566400*(10^-6)</f>
        <v>102.5664</v>
      </c>
      <c r="G106" s="1">
        <v>8</v>
      </c>
      <c r="H106" s="1">
        <v>25.58</v>
      </c>
    </row>
    <row r="107" spans="1:8">
      <c r="A107" s="1">
        <v>46</v>
      </c>
      <c r="B107" s="1" t="s">
        <v>1227</v>
      </c>
      <c r="C107" s="1">
        <v>105.51</v>
      </c>
      <c r="D107" s="1">
        <v>39.869999999999997</v>
      </c>
      <c r="E107" s="1">
        <v>0.42102499999999998</v>
      </c>
      <c r="F107" s="1">
        <f>44313600*(10^-6)</f>
        <v>44.313600000000001</v>
      </c>
      <c r="G107" s="1">
        <v>0</v>
      </c>
      <c r="H107" s="1">
        <v>20.170000000000002</v>
      </c>
    </row>
    <row r="108" spans="1:8">
      <c r="A108" s="1">
        <v>47</v>
      </c>
      <c r="B108" s="1" t="s">
        <v>1228</v>
      </c>
      <c r="C108" s="1">
        <v>129.68</v>
      </c>
      <c r="D108" s="1">
        <v>40.47</v>
      </c>
      <c r="E108" s="1">
        <v>0.454486</v>
      </c>
      <c r="F108" s="1">
        <f>101491200*(10^-6)</f>
        <v>101.49119999999999</v>
      </c>
      <c r="G108" s="1">
        <v>4</v>
      </c>
      <c r="H108" s="1">
        <v>24.79</v>
      </c>
    </row>
    <row r="109" spans="1:8">
      <c r="A109" s="1">
        <v>48</v>
      </c>
      <c r="B109" s="1" t="s">
        <v>1229</v>
      </c>
      <c r="C109" s="1">
        <v>127.01</v>
      </c>
      <c r="D109" s="1">
        <v>39.44</v>
      </c>
      <c r="E109" s="1">
        <v>0.40229799999999999</v>
      </c>
      <c r="F109" s="1">
        <f>4531200*(10^-6)</f>
        <v>4.5312000000000001</v>
      </c>
      <c r="G109" s="1">
        <v>0</v>
      </c>
      <c r="H109" s="1">
        <v>24.23</v>
      </c>
    </row>
    <row r="110" spans="1:8">
      <c r="A110" s="1">
        <v>49</v>
      </c>
      <c r="B110" s="1" t="s">
        <v>1230</v>
      </c>
      <c r="C110" s="1">
        <v>98.14</v>
      </c>
      <c r="D110" s="1">
        <v>39.78</v>
      </c>
      <c r="E110" s="1">
        <v>0.42711199999999999</v>
      </c>
      <c r="F110" s="1">
        <f>55641600*(10^-6)</f>
        <v>55.641599999999997</v>
      </c>
      <c r="G110" s="1">
        <v>8</v>
      </c>
      <c r="H110" s="1">
        <v>18.63</v>
      </c>
    </row>
    <row r="111" spans="1:8">
      <c r="A111" s="1">
        <v>50</v>
      </c>
      <c r="B111" s="1" t="s">
        <v>1231</v>
      </c>
      <c r="C111" s="1">
        <v>135.88999999999999</v>
      </c>
      <c r="D111" s="1">
        <v>40.590000000000003</v>
      </c>
      <c r="E111" s="1">
        <v>0.46212799999999998</v>
      </c>
      <c r="F111" s="1">
        <f>100761600*(10^-6)</f>
        <v>100.7616</v>
      </c>
      <c r="G111" s="1">
        <v>2</v>
      </c>
      <c r="H111" s="1">
        <v>25.99</v>
      </c>
    </row>
    <row r="112" spans="1:8">
      <c r="B112" s="1" t="s">
        <v>19</v>
      </c>
      <c r="C112" s="1">
        <f>AVERAGE(C62:C111)</f>
        <v>119.46800000000003</v>
      </c>
      <c r="D112" s="1">
        <f t="shared" ref="D112:F112" si="5">AVERAGE(D62:D111)</f>
        <v>40.251399999999997</v>
      </c>
      <c r="E112" s="1">
        <f t="shared" si="5"/>
        <v>0.46466352000000005</v>
      </c>
      <c r="F112" s="1">
        <f t="shared" si="5"/>
        <v>84.705023999999995</v>
      </c>
      <c r="H112" s="1">
        <f t="shared" ref="H112" si="6">AVERAGE(H62:H111)</f>
        <v>22.883200000000002</v>
      </c>
    </row>
    <row r="113" spans="1:8">
      <c r="B113" s="1" t="s">
        <v>20</v>
      </c>
      <c r="C113" s="1">
        <f>MIN(C61:C111)</f>
        <v>80.819999999999993</v>
      </c>
      <c r="D113" s="1">
        <f t="shared" ref="D113:F113" si="7">MIN(D61:D111)</f>
        <v>39.229999999999997</v>
      </c>
      <c r="E113" s="1">
        <f t="shared" si="7"/>
        <v>0.338362</v>
      </c>
      <c r="F113" s="1">
        <f t="shared" si="7"/>
        <v>4.5312000000000001</v>
      </c>
      <c r="H113" s="1">
        <f t="shared" ref="H113" si="8">MIN(H61:H111)</f>
        <v>15.32</v>
      </c>
    </row>
    <row r="114" spans="1:8">
      <c r="B114" s="1" t="s">
        <v>3</v>
      </c>
      <c r="C114" s="1">
        <f>STDEV(C62:C111)</f>
        <v>18.805386549212418</v>
      </c>
      <c r="D114" s="1">
        <f t="shared" ref="D114:E114" si="9">STDEV(D62:D111)</f>
        <v>0.41268661826850367</v>
      </c>
      <c r="E114" s="1">
        <f t="shared" si="9"/>
        <v>3.2626979282044506E-2</v>
      </c>
      <c r="F114" s="1">
        <f>STDEV(F62:F111)</f>
        <v>26.997283967054557</v>
      </c>
      <c r="H114" s="1">
        <f>STDEV(H62:H111)</f>
        <v>3.6456059321112617</v>
      </c>
    </row>
    <row r="116" spans="1:8">
      <c r="H116" s="2" t="s">
        <v>1435</v>
      </c>
    </row>
    <row r="117" spans="1:8" ht="18">
      <c r="A117" s="2" t="s">
        <v>7</v>
      </c>
      <c r="B117" s="3" t="s">
        <v>1</v>
      </c>
      <c r="C117" s="2" t="s">
        <v>4</v>
      </c>
      <c r="D117" s="2" t="s">
        <v>322</v>
      </c>
      <c r="E117" s="2" t="s">
        <v>321</v>
      </c>
      <c r="F117" s="2" t="s">
        <v>324</v>
      </c>
      <c r="G117" s="2" t="s">
        <v>323</v>
      </c>
      <c r="H117" s="2" t="s">
        <v>1436</v>
      </c>
    </row>
    <row r="118" spans="1:8">
      <c r="A118" s="1">
        <v>1</v>
      </c>
      <c r="B118" s="1" t="s">
        <v>932</v>
      </c>
      <c r="C118" s="1">
        <v>92.03</v>
      </c>
      <c r="D118" s="1">
        <v>79.400000000000006</v>
      </c>
      <c r="E118" s="1">
        <v>0.45541300000000001</v>
      </c>
      <c r="F118" s="1">
        <f>43814400*(10^-6)</f>
        <v>43.814399999999999</v>
      </c>
      <c r="G118" s="1">
        <v>6</v>
      </c>
      <c r="H118" s="1">
        <v>17.48</v>
      </c>
    </row>
    <row r="119" spans="1:8">
      <c r="A119" s="1">
        <v>2</v>
      </c>
      <c r="B119" s="1" t="s">
        <v>933</v>
      </c>
      <c r="C119" s="1">
        <v>99.56</v>
      </c>
      <c r="D119" s="1">
        <v>79.62</v>
      </c>
      <c r="E119" s="1">
        <v>0.435587</v>
      </c>
      <c r="F119" s="1">
        <f>48729600*(10^-6)</f>
        <v>48.729599999999998</v>
      </c>
      <c r="G119" s="1">
        <v>0</v>
      </c>
      <c r="H119" s="1">
        <v>19.12</v>
      </c>
    </row>
    <row r="120" spans="1:8">
      <c r="A120" s="1">
        <v>3</v>
      </c>
      <c r="B120" s="1" t="s">
        <v>934</v>
      </c>
      <c r="C120" s="1">
        <v>120.84</v>
      </c>
      <c r="D120" s="1">
        <v>80.78</v>
      </c>
      <c r="E120" s="1">
        <v>0.49172700000000003</v>
      </c>
      <c r="F120" s="1">
        <f>100953600*(10^-6)</f>
        <v>100.95359999999999</v>
      </c>
      <c r="G120" s="1">
        <v>4</v>
      </c>
      <c r="H120" s="1">
        <v>23.04</v>
      </c>
    </row>
    <row r="121" spans="1:8">
      <c r="A121" s="1">
        <v>4</v>
      </c>
      <c r="B121" s="1" t="s">
        <v>935</v>
      </c>
      <c r="C121" s="1">
        <v>103.05</v>
      </c>
      <c r="D121" s="1">
        <v>78.37</v>
      </c>
      <c r="E121" s="1">
        <v>0.39555299999999999</v>
      </c>
      <c r="F121" s="1">
        <f>1267200*(10^-6)</f>
        <v>1.2671999999999999</v>
      </c>
      <c r="G121" s="1">
        <v>6</v>
      </c>
      <c r="H121" s="1">
        <v>20.02</v>
      </c>
    </row>
    <row r="122" spans="1:8">
      <c r="A122" s="1">
        <v>5</v>
      </c>
      <c r="B122" s="1" t="s">
        <v>936</v>
      </c>
      <c r="C122" s="1">
        <v>111.93</v>
      </c>
      <c r="D122" s="1">
        <v>80.069999999999993</v>
      </c>
      <c r="E122" s="1">
        <v>0.43001400000000001</v>
      </c>
      <c r="F122" s="1">
        <f>43238400*(10^-6)</f>
        <v>43.238399999999999</v>
      </c>
      <c r="G122" s="1">
        <v>14</v>
      </c>
      <c r="H122" s="1">
        <v>21.42</v>
      </c>
    </row>
    <row r="123" spans="1:8">
      <c r="A123" s="1">
        <v>6</v>
      </c>
      <c r="B123" s="1" t="s">
        <v>937</v>
      </c>
      <c r="C123" s="1">
        <v>100.92</v>
      </c>
      <c r="D123" s="1">
        <v>79.87</v>
      </c>
      <c r="E123" s="1">
        <v>0.45934799999999998</v>
      </c>
      <c r="F123" s="1">
        <f>62361600*(10^-6)</f>
        <v>62.361599999999996</v>
      </c>
      <c r="G123" s="1">
        <v>8</v>
      </c>
      <c r="H123" s="1">
        <v>19.21</v>
      </c>
    </row>
    <row r="124" spans="1:8">
      <c r="A124" s="1">
        <v>7</v>
      </c>
      <c r="B124" s="1" t="s">
        <v>938</v>
      </c>
      <c r="C124" s="1">
        <v>98.28</v>
      </c>
      <c r="D124" s="1">
        <v>79.5</v>
      </c>
      <c r="E124" s="1">
        <v>0.41176299999999999</v>
      </c>
      <c r="F124" s="1">
        <f>51878400*(10^-6)</f>
        <v>51.878399999999999</v>
      </c>
      <c r="G124" s="1">
        <v>14</v>
      </c>
      <c r="H124" s="1">
        <v>19.010000000000002</v>
      </c>
    </row>
    <row r="125" spans="1:8">
      <c r="A125" s="1">
        <v>8</v>
      </c>
      <c r="B125" s="1" t="s">
        <v>939</v>
      </c>
      <c r="C125" s="1">
        <v>95.78</v>
      </c>
      <c r="D125" s="1">
        <v>79.45</v>
      </c>
      <c r="E125" s="1">
        <v>0.430919</v>
      </c>
      <c r="F125" s="1">
        <f>52761600*(10^-6)</f>
        <v>52.761599999999994</v>
      </c>
      <c r="G125" s="1">
        <v>8</v>
      </c>
      <c r="H125" s="1">
        <v>18.309999999999999</v>
      </c>
    </row>
    <row r="126" spans="1:8">
      <c r="A126" s="1">
        <v>9</v>
      </c>
      <c r="B126" s="1" t="s">
        <v>940</v>
      </c>
      <c r="C126" s="1">
        <v>100.63</v>
      </c>
      <c r="D126" s="1">
        <v>79.8</v>
      </c>
      <c r="E126" s="1">
        <v>0.45789600000000003</v>
      </c>
      <c r="F126" s="1">
        <f>59366400*(10^-6)</f>
        <v>59.366399999999999</v>
      </c>
      <c r="G126" s="1">
        <v>2</v>
      </c>
      <c r="H126" s="1">
        <v>19.2</v>
      </c>
    </row>
    <row r="127" spans="1:8">
      <c r="A127" s="1">
        <v>10</v>
      </c>
      <c r="B127" s="1" t="s">
        <v>941</v>
      </c>
      <c r="C127" s="1">
        <v>90.57</v>
      </c>
      <c r="D127" s="1">
        <v>79.38</v>
      </c>
      <c r="E127" s="1">
        <v>0.462308</v>
      </c>
      <c r="F127" s="1">
        <f>52761600*(10^-6)</f>
        <v>52.761599999999994</v>
      </c>
      <c r="G127" s="1">
        <v>16</v>
      </c>
      <c r="H127" s="1">
        <v>17.190000000000001</v>
      </c>
    </row>
    <row r="128" spans="1:8">
      <c r="A128" s="1">
        <v>11</v>
      </c>
      <c r="B128" s="1" t="s">
        <v>942</v>
      </c>
      <c r="C128" s="1">
        <v>111.08</v>
      </c>
      <c r="D128" s="1">
        <v>80.239999999999995</v>
      </c>
      <c r="E128" s="1">
        <v>0.45962500000000001</v>
      </c>
      <c r="F128" s="1">
        <f>55680000*(10^-6)</f>
        <v>55.68</v>
      </c>
      <c r="G128" s="1">
        <v>6</v>
      </c>
      <c r="H128" s="1">
        <v>21.29</v>
      </c>
    </row>
    <row r="129" spans="1:8">
      <c r="A129" s="1">
        <v>12</v>
      </c>
      <c r="B129" s="1" t="s">
        <v>943</v>
      </c>
      <c r="C129" s="1">
        <v>117.6</v>
      </c>
      <c r="D129" s="1">
        <v>80.64</v>
      </c>
      <c r="E129" s="1">
        <v>0.48343700000000001</v>
      </c>
      <c r="F129" s="1">
        <f>100531200*(10^-6)</f>
        <v>100.5312</v>
      </c>
      <c r="G129" s="1">
        <v>4</v>
      </c>
      <c r="H129" s="1">
        <v>22.4</v>
      </c>
    </row>
    <row r="130" spans="1:8">
      <c r="A130" s="1">
        <v>13</v>
      </c>
      <c r="B130" s="1" t="s">
        <v>944</v>
      </c>
      <c r="C130" s="1">
        <v>96.98</v>
      </c>
      <c r="D130" s="1">
        <v>79.709999999999994</v>
      </c>
      <c r="E130" s="1">
        <v>0.469532</v>
      </c>
      <c r="F130" s="1">
        <f>55334400*(10^-6)</f>
        <v>55.334399999999995</v>
      </c>
      <c r="G130" s="1">
        <v>2</v>
      </c>
      <c r="H130" s="1">
        <v>18.43</v>
      </c>
    </row>
    <row r="131" spans="1:8">
      <c r="A131" s="1">
        <v>14</v>
      </c>
      <c r="B131" s="1" t="s">
        <v>945</v>
      </c>
      <c r="C131" s="1">
        <v>111.33</v>
      </c>
      <c r="D131" s="1">
        <v>78.61</v>
      </c>
      <c r="E131" s="1">
        <v>0.43653900000000001</v>
      </c>
      <c r="F131" s="1">
        <f>691200*(10^-6)</f>
        <v>0.69119999999999993</v>
      </c>
      <c r="G131" s="1">
        <v>4</v>
      </c>
      <c r="H131" s="1">
        <v>21.18</v>
      </c>
    </row>
    <row r="132" spans="1:8">
      <c r="A132" s="1">
        <v>15</v>
      </c>
      <c r="B132" s="1" t="s">
        <v>946</v>
      </c>
      <c r="C132" s="1">
        <v>91.29</v>
      </c>
      <c r="D132" s="1">
        <v>79.38</v>
      </c>
      <c r="E132" s="1">
        <v>0.45534200000000002</v>
      </c>
      <c r="F132" s="1">
        <f>53184000*(10^-6)</f>
        <v>53.183999999999997</v>
      </c>
      <c r="G132" s="1">
        <v>10</v>
      </c>
      <c r="H132" s="1">
        <v>17.45</v>
      </c>
    </row>
    <row r="133" spans="1:8">
      <c r="A133" s="1">
        <v>16</v>
      </c>
      <c r="B133" s="1" t="s">
        <v>947</v>
      </c>
      <c r="C133" s="1">
        <v>93.07</v>
      </c>
      <c r="D133" s="1">
        <v>79.39</v>
      </c>
      <c r="E133" s="1">
        <v>0.44517800000000002</v>
      </c>
      <c r="F133" s="1">
        <f>51916800*(10^-6)</f>
        <v>51.916799999999995</v>
      </c>
      <c r="G133" s="1">
        <v>16</v>
      </c>
      <c r="H133" s="1">
        <v>17.72</v>
      </c>
    </row>
    <row r="134" spans="1:8">
      <c r="A134" s="1">
        <v>17</v>
      </c>
      <c r="B134" s="1" t="s">
        <v>948</v>
      </c>
      <c r="C134" s="1">
        <v>89.88</v>
      </c>
      <c r="D134" s="1">
        <v>79.290000000000006</v>
      </c>
      <c r="E134" s="1">
        <v>0.448212</v>
      </c>
      <c r="F134" s="1">
        <f>56563200*(10^-6)</f>
        <v>56.563199999999995</v>
      </c>
      <c r="G134" s="1">
        <v>14</v>
      </c>
      <c r="H134" s="1">
        <v>17.11</v>
      </c>
    </row>
    <row r="135" spans="1:8">
      <c r="A135" s="1">
        <v>18</v>
      </c>
      <c r="B135" s="1" t="s">
        <v>949</v>
      </c>
      <c r="C135" s="1">
        <v>116.24</v>
      </c>
      <c r="D135" s="1">
        <v>78.290000000000006</v>
      </c>
      <c r="E135" s="1">
        <v>0.43607000000000001</v>
      </c>
      <c r="F135" s="1">
        <f>230400*(10^-6)</f>
        <v>0.23039999999999999</v>
      </c>
      <c r="G135" s="1">
        <v>8</v>
      </c>
      <c r="H135" s="1">
        <v>22.17</v>
      </c>
    </row>
    <row r="136" spans="1:8">
      <c r="A136" s="1">
        <v>19</v>
      </c>
      <c r="B136" s="1" t="s">
        <v>950</v>
      </c>
      <c r="C136" s="1">
        <v>101.21</v>
      </c>
      <c r="D136" s="1">
        <v>79.739999999999995</v>
      </c>
      <c r="E136" s="1">
        <v>0.44325999999999999</v>
      </c>
      <c r="F136" s="1">
        <f>40320000*(10^-6)</f>
        <v>40.32</v>
      </c>
      <c r="G136" s="1">
        <v>4</v>
      </c>
      <c r="H136" s="1">
        <v>19.48</v>
      </c>
    </row>
    <row r="137" spans="1:8">
      <c r="A137" s="1">
        <v>20</v>
      </c>
      <c r="B137" s="1" t="s">
        <v>951</v>
      </c>
      <c r="C137" s="1">
        <v>86.4</v>
      </c>
      <c r="D137" s="1">
        <v>78.97</v>
      </c>
      <c r="E137" s="1">
        <v>0.42403299999999999</v>
      </c>
      <c r="F137" s="1">
        <f>41894400*(10^-6)</f>
        <v>41.894399999999997</v>
      </c>
      <c r="G137" s="1">
        <v>14</v>
      </c>
      <c r="H137" s="1">
        <v>16.510000000000002</v>
      </c>
    </row>
    <row r="138" spans="1:8">
      <c r="A138" s="1">
        <v>21</v>
      </c>
      <c r="B138" s="1" t="s">
        <v>952</v>
      </c>
      <c r="C138" s="1">
        <v>83.06</v>
      </c>
      <c r="D138" s="1">
        <v>78.98</v>
      </c>
      <c r="E138" s="1">
        <v>0.45082699999999998</v>
      </c>
      <c r="F138" s="1">
        <f>45312000*(10^-6)</f>
        <v>45.311999999999998</v>
      </c>
      <c r="G138" s="1">
        <v>6</v>
      </c>
      <c r="H138" s="1">
        <v>15.77</v>
      </c>
    </row>
    <row r="139" spans="1:8">
      <c r="A139" s="1">
        <v>22</v>
      </c>
      <c r="B139" s="1" t="s">
        <v>953</v>
      </c>
      <c r="C139" s="1">
        <v>85.94</v>
      </c>
      <c r="D139" s="1">
        <v>79.209999999999994</v>
      </c>
      <c r="E139" s="1">
        <v>0.47428999999999999</v>
      </c>
      <c r="F139" s="1">
        <f>52723200*(10^-6)</f>
        <v>52.723199999999999</v>
      </c>
      <c r="G139" s="1">
        <v>12</v>
      </c>
      <c r="H139" s="1">
        <v>16.309999999999999</v>
      </c>
    </row>
    <row r="140" spans="1:8">
      <c r="A140" s="1">
        <v>23</v>
      </c>
      <c r="B140" s="1" t="s">
        <v>954</v>
      </c>
      <c r="C140" s="1">
        <v>89.16</v>
      </c>
      <c r="D140" s="1">
        <v>78.430000000000007</v>
      </c>
      <c r="E140" s="1">
        <v>0.35670800000000003</v>
      </c>
      <c r="F140" s="1">
        <f>21657600*(10^-6)</f>
        <v>21.657599999999999</v>
      </c>
      <c r="G140" s="1">
        <v>8</v>
      </c>
      <c r="H140" s="1">
        <v>17.13</v>
      </c>
    </row>
    <row r="141" spans="1:8">
      <c r="A141" s="1">
        <v>24</v>
      </c>
      <c r="B141" s="1" t="s">
        <v>955</v>
      </c>
      <c r="C141" s="1">
        <v>101.59</v>
      </c>
      <c r="D141" s="1">
        <v>79.88</v>
      </c>
      <c r="E141" s="1">
        <v>0.466499</v>
      </c>
      <c r="F141" s="1">
        <f>53875200*(10^-6)</f>
        <v>53.8752</v>
      </c>
      <c r="G141" s="1">
        <v>0</v>
      </c>
      <c r="H141" s="1">
        <v>19.399999999999999</v>
      </c>
    </row>
    <row r="142" spans="1:8">
      <c r="A142" s="1">
        <v>25</v>
      </c>
      <c r="B142" s="1" t="s">
        <v>956</v>
      </c>
      <c r="C142" s="1">
        <v>111.18</v>
      </c>
      <c r="D142" s="1">
        <v>80.260000000000005</v>
      </c>
      <c r="E142" s="1">
        <v>0.46188299999999999</v>
      </c>
      <c r="F142" s="1">
        <f>58982400*(10^-6)</f>
        <v>58.982399999999998</v>
      </c>
      <c r="G142" s="1">
        <v>14</v>
      </c>
      <c r="H142" s="1">
        <v>21.17</v>
      </c>
    </row>
    <row r="143" spans="1:8">
      <c r="A143" s="1">
        <v>26</v>
      </c>
      <c r="B143" s="1" t="s">
        <v>957</v>
      </c>
      <c r="C143" s="1">
        <v>110.44</v>
      </c>
      <c r="D143" s="1">
        <v>80.3</v>
      </c>
      <c r="E143" s="1">
        <v>0.47090900000000002</v>
      </c>
      <c r="F143" s="1">
        <f>71424000*(10^-6)</f>
        <v>71.423999999999992</v>
      </c>
      <c r="G143" s="1">
        <v>16</v>
      </c>
      <c r="H143" s="1">
        <v>21.01</v>
      </c>
    </row>
    <row r="144" spans="1:8">
      <c r="A144" s="1">
        <v>27</v>
      </c>
      <c r="B144" s="1" t="s">
        <v>958</v>
      </c>
      <c r="C144" s="1">
        <v>79.680000000000007</v>
      </c>
      <c r="D144" s="1">
        <v>78.56</v>
      </c>
      <c r="E144" s="1">
        <v>0.41058</v>
      </c>
      <c r="F144" s="1">
        <f>33984000*(10^-6)</f>
        <v>33.984000000000002</v>
      </c>
      <c r="G144" s="1">
        <v>0</v>
      </c>
      <c r="H144" s="1">
        <v>15.16</v>
      </c>
    </row>
    <row r="145" spans="1:8">
      <c r="A145" s="1">
        <v>28</v>
      </c>
      <c r="B145" s="1" t="s">
        <v>959</v>
      </c>
      <c r="C145" s="1">
        <v>93.94</v>
      </c>
      <c r="D145" s="1">
        <v>79.48</v>
      </c>
      <c r="E145" s="1">
        <v>0.45134600000000002</v>
      </c>
      <c r="F145" s="1">
        <f>56256000*(10^-6)</f>
        <v>56.256</v>
      </c>
      <c r="G145" s="1">
        <v>16</v>
      </c>
      <c r="H145" s="1">
        <v>17.91</v>
      </c>
    </row>
    <row r="146" spans="1:8">
      <c r="A146" s="1">
        <v>29</v>
      </c>
      <c r="B146" s="1" t="s">
        <v>960</v>
      </c>
      <c r="C146" s="1">
        <v>101.15</v>
      </c>
      <c r="D146" s="1">
        <v>78.760000000000005</v>
      </c>
      <c r="E146" s="1">
        <v>0.44420799999999999</v>
      </c>
      <c r="F146" s="1">
        <f>2188800*(10^-6)</f>
        <v>2.1888000000000001</v>
      </c>
      <c r="G146" s="1">
        <v>4</v>
      </c>
      <c r="H146" s="1">
        <v>19.27</v>
      </c>
    </row>
    <row r="147" spans="1:8">
      <c r="A147" s="1">
        <v>30</v>
      </c>
      <c r="B147" s="1" t="s">
        <v>961</v>
      </c>
      <c r="C147" s="1">
        <v>97.56</v>
      </c>
      <c r="D147" s="1">
        <v>78.38</v>
      </c>
      <c r="E147" s="1">
        <v>0.42973299999999998</v>
      </c>
      <c r="F147" s="1">
        <f>1497600*(10^-6)</f>
        <v>1.4976</v>
      </c>
      <c r="G147" s="1">
        <v>4</v>
      </c>
      <c r="H147" s="1">
        <v>18.559999999999999</v>
      </c>
    </row>
    <row r="148" spans="1:8">
      <c r="A148" s="1">
        <v>31</v>
      </c>
      <c r="B148" s="1" t="s">
        <v>962</v>
      </c>
      <c r="C148" s="1">
        <v>114.22</v>
      </c>
      <c r="D148" s="1">
        <v>80.41</v>
      </c>
      <c r="E148" s="1">
        <v>0.46793800000000002</v>
      </c>
      <c r="F148" s="1">
        <f>67468800*(10^-6)</f>
        <v>67.468800000000002</v>
      </c>
      <c r="G148" s="1">
        <v>0</v>
      </c>
      <c r="H148" s="1">
        <v>21.88</v>
      </c>
    </row>
    <row r="149" spans="1:8">
      <c r="A149" s="1">
        <v>32</v>
      </c>
      <c r="B149" s="1" t="s">
        <v>963</v>
      </c>
      <c r="C149" s="1">
        <v>121.54</v>
      </c>
      <c r="D149" s="1">
        <v>80.78</v>
      </c>
      <c r="E149" s="1">
        <v>0.48465999999999998</v>
      </c>
      <c r="F149" s="1">
        <f>101721600*(10^-6)</f>
        <v>101.7216</v>
      </c>
      <c r="G149" s="1">
        <v>4</v>
      </c>
      <c r="H149" s="1">
        <v>23.12</v>
      </c>
    </row>
    <row r="150" spans="1:8">
      <c r="A150" s="1">
        <v>33</v>
      </c>
      <c r="B150" s="1" t="s">
        <v>964</v>
      </c>
      <c r="C150" s="1">
        <v>88.23</v>
      </c>
      <c r="D150" s="1">
        <v>79.08</v>
      </c>
      <c r="E150" s="1">
        <v>0.420964</v>
      </c>
      <c r="F150" s="1">
        <f>54566400*(10^-6)</f>
        <v>54.566399999999994</v>
      </c>
      <c r="G150" s="1">
        <v>18</v>
      </c>
      <c r="H150" s="1">
        <v>17.010000000000002</v>
      </c>
    </row>
    <row r="151" spans="1:8">
      <c r="A151" s="1">
        <v>34</v>
      </c>
      <c r="B151" s="1" t="s">
        <v>965</v>
      </c>
      <c r="C151" s="1">
        <v>87.74</v>
      </c>
      <c r="D151" s="1">
        <v>78.489999999999995</v>
      </c>
      <c r="E151" s="1">
        <v>0.35622300000000001</v>
      </c>
      <c r="F151" s="1">
        <f>27379200*(10^-6)</f>
        <v>27.379199999999997</v>
      </c>
      <c r="G151" s="1">
        <v>16</v>
      </c>
      <c r="H151" s="1">
        <v>16.82</v>
      </c>
    </row>
    <row r="152" spans="1:8">
      <c r="A152" s="1">
        <v>35</v>
      </c>
      <c r="B152" s="1" t="s">
        <v>966</v>
      </c>
      <c r="C152" s="1">
        <v>110.28</v>
      </c>
      <c r="D152" s="1">
        <v>80.19</v>
      </c>
      <c r="E152" s="1">
        <v>0.45189099999999999</v>
      </c>
      <c r="F152" s="1">
        <f>59212800*(10^-6)</f>
        <v>59.212799999999994</v>
      </c>
      <c r="G152" s="1">
        <v>0</v>
      </c>
      <c r="H152" s="1">
        <v>20.97</v>
      </c>
    </row>
    <row r="153" spans="1:8">
      <c r="A153" s="1">
        <v>36</v>
      </c>
      <c r="B153" s="1" t="s">
        <v>967</v>
      </c>
      <c r="C153" s="1">
        <v>99.07</v>
      </c>
      <c r="D153" s="1">
        <v>79.75</v>
      </c>
      <c r="E153" s="1">
        <v>0.45706000000000002</v>
      </c>
      <c r="F153" s="1">
        <f>52608000*(10^-6)</f>
        <v>52.607999999999997</v>
      </c>
      <c r="G153" s="1">
        <v>4</v>
      </c>
      <c r="H153" s="1">
        <v>18.84</v>
      </c>
    </row>
    <row r="154" spans="1:8">
      <c r="A154" s="1">
        <v>37</v>
      </c>
      <c r="B154" s="1" t="s">
        <v>968</v>
      </c>
      <c r="C154" s="1">
        <v>99.19</v>
      </c>
      <c r="D154" s="1">
        <v>78.42</v>
      </c>
      <c r="E154" s="1">
        <v>0.39757700000000001</v>
      </c>
      <c r="F154" s="1">
        <f>2342400*(10^-6)</f>
        <v>2.3424</v>
      </c>
      <c r="G154" s="1">
        <v>4</v>
      </c>
      <c r="H154" s="1">
        <v>18.86</v>
      </c>
    </row>
    <row r="155" spans="1:8">
      <c r="A155" s="1">
        <v>38</v>
      </c>
      <c r="B155" s="1" t="s">
        <v>969</v>
      </c>
      <c r="C155" s="1">
        <v>124.39</v>
      </c>
      <c r="D155" s="1">
        <v>80.86</v>
      </c>
      <c r="E155" s="1">
        <v>0.48004400000000003</v>
      </c>
      <c r="F155" s="1">
        <f>100646400*(10^-6)</f>
        <v>100.6464</v>
      </c>
      <c r="G155" s="1">
        <v>0</v>
      </c>
      <c r="H155" s="1">
        <v>23.79</v>
      </c>
    </row>
    <row r="156" spans="1:8">
      <c r="A156" s="1">
        <v>39</v>
      </c>
      <c r="B156" s="1" t="s">
        <v>970</v>
      </c>
      <c r="C156" s="1">
        <v>101.6</v>
      </c>
      <c r="D156" s="1">
        <v>79.84</v>
      </c>
      <c r="E156" s="1">
        <v>0.45642199999999999</v>
      </c>
      <c r="F156" s="1">
        <f>53606400*(10^-6)</f>
        <v>53.606400000000001</v>
      </c>
      <c r="G156" s="1">
        <v>4</v>
      </c>
      <c r="H156" s="1">
        <v>19.48</v>
      </c>
    </row>
    <row r="157" spans="1:8">
      <c r="A157" s="1">
        <v>40</v>
      </c>
      <c r="B157" s="1" t="s">
        <v>971</v>
      </c>
      <c r="C157" s="1">
        <v>106.31</v>
      </c>
      <c r="D157" s="1">
        <v>80.03</v>
      </c>
      <c r="E157" s="1">
        <v>0.46072200000000002</v>
      </c>
      <c r="F157" s="1">
        <f>52646400*(10^-6)</f>
        <v>52.6464</v>
      </c>
      <c r="G157" s="1">
        <v>0</v>
      </c>
      <c r="H157" s="1">
        <v>20.329999999999998</v>
      </c>
    </row>
    <row r="158" spans="1:8">
      <c r="A158" s="1">
        <v>41</v>
      </c>
      <c r="B158" s="1" t="s">
        <v>972</v>
      </c>
      <c r="C158" s="1">
        <v>103.49</v>
      </c>
      <c r="D158" s="1">
        <v>80</v>
      </c>
      <c r="E158" s="1">
        <v>0.47142800000000001</v>
      </c>
      <c r="F158" s="1">
        <f>58483200*(10^-6)</f>
        <v>58.483199999999997</v>
      </c>
      <c r="G158" s="1">
        <v>16</v>
      </c>
      <c r="H158" s="1">
        <v>19.66</v>
      </c>
    </row>
    <row r="159" spans="1:8">
      <c r="A159" s="1">
        <v>42</v>
      </c>
      <c r="B159" s="1" t="s">
        <v>973</v>
      </c>
      <c r="C159" s="1">
        <v>122.71</v>
      </c>
      <c r="D159" s="1">
        <v>80.17</v>
      </c>
      <c r="E159" s="1">
        <v>0.40228999999999998</v>
      </c>
      <c r="F159" s="1">
        <f>39782400*(10^-6)</f>
        <v>39.782399999999996</v>
      </c>
      <c r="G159" s="1">
        <v>2</v>
      </c>
      <c r="H159" s="1">
        <v>24.11</v>
      </c>
    </row>
    <row r="160" spans="1:8">
      <c r="A160" s="1">
        <v>43</v>
      </c>
      <c r="B160" s="1" t="s">
        <v>974</v>
      </c>
      <c r="C160" s="1">
        <v>94.89</v>
      </c>
      <c r="D160" s="1">
        <v>78.31</v>
      </c>
      <c r="E160" s="1">
        <v>0.428647</v>
      </c>
      <c r="F160" s="1">
        <f>1728000*(10^-6)</f>
        <v>1.728</v>
      </c>
      <c r="G160" s="1">
        <v>10</v>
      </c>
      <c r="H160" s="1">
        <v>18.02</v>
      </c>
    </row>
    <row r="161" spans="1:8">
      <c r="A161" s="1">
        <v>44</v>
      </c>
      <c r="B161" s="1" t="s">
        <v>975</v>
      </c>
      <c r="C161" s="1">
        <v>81.87</v>
      </c>
      <c r="D161" s="1">
        <v>77.78</v>
      </c>
      <c r="E161" s="1">
        <v>0.36968200000000001</v>
      </c>
      <c r="F161" s="1">
        <f>3532800*(10^-6)</f>
        <v>3.5327999999999999</v>
      </c>
      <c r="G161" s="1">
        <v>16</v>
      </c>
      <c r="H161" s="1">
        <v>15.9</v>
      </c>
    </row>
    <row r="162" spans="1:8">
      <c r="A162" s="1">
        <v>45</v>
      </c>
      <c r="B162" s="1" t="s">
        <v>976</v>
      </c>
      <c r="C162" s="1">
        <v>103.03</v>
      </c>
      <c r="D162" s="1">
        <v>79.790000000000006</v>
      </c>
      <c r="E162" s="1">
        <v>0.44651200000000002</v>
      </c>
      <c r="F162" s="1">
        <f>43737600*(10^-6)</f>
        <v>43.7376</v>
      </c>
      <c r="G162" s="1">
        <v>0</v>
      </c>
      <c r="H162" s="1">
        <v>19.73</v>
      </c>
    </row>
    <row r="163" spans="1:8">
      <c r="A163" s="1">
        <v>46</v>
      </c>
      <c r="B163" s="1" t="s">
        <v>977</v>
      </c>
      <c r="C163" s="1">
        <v>111.89</v>
      </c>
      <c r="D163" s="1">
        <v>80.430000000000007</v>
      </c>
      <c r="E163" s="1">
        <v>0.486792</v>
      </c>
      <c r="F163" s="1">
        <f>87321600*(10^-6)</f>
        <v>87.321599999999989</v>
      </c>
      <c r="G163" s="1">
        <v>10</v>
      </c>
      <c r="H163" s="1">
        <v>21.32</v>
      </c>
    </row>
    <row r="164" spans="1:8">
      <c r="A164" s="1">
        <v>47</v>
      </c>
      <c r="B164" s="1" t="s">
        <v>978</v>
      </c>
      <c r="C164" s="1">
        <v>102.95</v>
      </c>
      <c r="D164" s="1">
        <v>79.959999999999994</v>
      </c>
      <c r="E164" s="1">
        <v>0.46972199999999997</v>
      </c>
      <c r="F164" s="1">
        <f>55680000*(10^-6)</f>
        <v>55.68</v>
      </c>
      <c r="G164" s="1">
        <v>4</v>
      </c>
      <c r="H164" s="1">
        <v>19.54</v>
      </c>
    </row>
    <row r="165" spans="1:8">
      <c r="A165" s="1">
        <v>48</v>
      </c>
      <c r="B165" s="1" t="s">
        <v>979</v>
      </c>
      <c r="C165" s="1">
        <v>104.6</v>
      </c>
      <c r="D165" s="1">
        <v>79.94</v>
      </c>
      <c r="E165" s="1">
        <v>0.450013</v>
      </c>
      <c r="F165" s="1">
        <f>55065600*(10^-6)</f>
        <v>55.065599999999996</v>
      </c>
      <c r="G165" s="1">
        <v>0</v>
      </c>
      <c r="H165" s="1">
        <v>19.98</v>
      </c>
    </row>
    <row r="166" spans="1:8">
      <c r="A166" s="1">
        <v>49</v>
      </c>
      <c r="B166" s="1" t="s">
        <v>980</v>
      </c>
      <c r="C166" s="1">
        <v>93.2</v>
      </c>
      <c r="D166" s="1">
        <v>79.27</v>
      </c>
      <c r="E166" s="1">
        <v>0.43556800000000001</v>
      </c>
      <c r="F166" s="1">
        <f>36364800*(10^-6)</f>
        <v>36.364799999999995</v>
      </c>
      <c r="G166" s="1">
        <v>16</v>
      </c>
      <c r="H166" s="1">
        <v>17.7</v>
      </c>
    </row>
    <row r="167" spans="1:8">
      <c r="A167" s="1">
        <v>50</v>
      </c>
      <c r="B167" s="1" t="s">
        <v>981</v>
      </c>
      <c r="C167" s="1">
        <v>113.27</v>
      </c>
      <c r="D167" s="1">
        <v>80.319999999999993</v>
      </c>
      <c r="E167" s="1">
        <v>0.45507799999999998</v>
      </c>
      <c r="F167" s="1">
        <f>67584000*(10^-6)</f>
        <v>67.584000000000003</v>
      </c>
      <c r="G167" s="1">
        <v>2</v>
      </c>
      <c r="H167" s="1">
        <v>21.67</v>
      </c>
    </row>
    <row r="168" spans="1:8">
      <c r="B168" s="1" t="s">
        <v>19</v>
      </c>
      <c r="C168" s="1">
        <f>AVERAGE(C118:C167)</f>
        <v>101.3368</v>
      </c>
      <c r="D168" s="1">
        <f t="shared" ref="D168:F168" si="10">AVERAGE(D118:D167)</f>
        <v>79.531200000000013</v>
      </c>
      <c r="E168" s="1">
        <f t="shared" si="10"/>
        <v>0.44395943999999998</v>
      </c>
      <c r="F168" s="1">
        <f t="shared" si="10"/>
        <v>47.857151999999985</v>
      </c>
      <c r="H168" s="1">
        <f>AVERAGE(H118:H167)</f>
        <v>19.363199999999999</v>
      </c>
    </row>
    <row r="169" spans="1:8">
      <c r="B169" s="1" t="s">
        <v>20</v>
      </c>
      <c r="C169" s="1">
        <f>MIN(C117:C167)</f>
        <v>79.680000000000007</v>
      </c>
      <c r="D169" s="1">
        <f t="shared" ref="D169:F169" si="11">MIN(D117:D167)</f>
        <v>77.78</v>
      </c>
      <c r="E169" s="1">
        <f t="shared" si="11"/>
        <v>0.35622300000000001</v>
      </c>
      <c r="F169" s="1">
        <f t="shared" si="11"/>
        <v>0.23039999999999999</v>
      </c>
      <c r="H169" s="1">
        <f>MIN(H117:H167)</f>
        <v>15.16</v>
      </c>
    </row>
    <row r="170" spans="1:8">
      <c r="B170" s="1" t="s">
        <v>3</v>
      </c>
      <c r="C170" s="1">
        <f>STDEV(C118:C167)</f>
        <v>11.246977179378849</v>
      </c>
      <c r="D170" s="1">
        <f t="shared" ref="D170:E170" si="12">STDEV(D118:D167)</f>
        <v>0.76038024858937425</v>
      </c>
      <c r="E170" s="1">
        <f t="shared" si="12"/>
        <v>3.1031195282482268E-2</v>
      </c>
      <c r="F170" s="1">
        <f>STDEV(F118:F167)</f>
        <v>26.441469539653525</v>
      </c>
      <c r="H170" s="1">
        <f>STDEV(H118:H167)</f>
        <v>2.1711836704001262</v>
      </c>
    </row>
    <row r="172" spans="1:8">
      <c r="H172" s="2" t="s">
        <v>1435</v>
      </c>
    </row>
    <row r="173" spans="1:8" ht="18">
      <c r="A173" s="2" t="s">
        <v>7</v>
      </c>
      <c r="B173" s="3" t="s">
        <v>9</v>
      </c>
      <c r="C173" s="2" t="s">
        <v>4</v>
      </c>
      <c r="D173" s="2" t="s">
        <v>322</v>
      </c>
      <c r="E173" s="2" t="s">
        <v>321</v>
      </c>
      <c r="F173" s="2" t="s">
        <v>324</v>
      </c>
      <c r="G173" s="2" t="s">
        <v>323</v>
      </c>
      <c r="H173" s="2" t="s">
        <v>1436</v>
      </c>
    </row>
    <row r="174" spans="1:8">
      <c r="A174" s="1">
        <v>1</v>
      </c>
      <c r="B174" s="1" t="s">
        <v>982</v>
      </c>
      <c r="C174" s="1">
        <v>82.97</v>
      </c>
      <c r="D174" s="1">
        <v>156.41</v>
      </c>
      <c r="E174" s="1">
        <v>0.40200599999999997</v>
      </c>
      <c r="F174" s="1">
        <f>2304000*(10^-6)</f>
        <v>2.3039999999999998</v>
      </c>
      <c r="G174" s="1">
        <v>16</v>
      </c>
      <c r="H174" s="1">
        <v>15.8</v>
      </c>
    </row>
    <row r="175" spans="1:8">
      <c r="A175" s="1">
        <v>2</v>
      </c>
      <c r="B175" s="1" t="s">
        <v>983</v>
      </c>
      <c r="C175" s="1">
        <v>68.349999999999994</v>
      </c>
      <c r="D175" s="1">
        <v>154.47</v>
      </c>
      <c r="E175" s="1">
        <v>0.35305500000000001</v>
      </c>
      <c r="F175" s="1">
        <f>8524800*(10^-6)</f>
        <v>8.524799999999999</v>
      </c>
      <c r="G175" s="1">
        <v>10</v>
      </c>
      <c r="H175" s="1">
        <v>13</v>
      </c>
    </row>
    <row r="176" spans="1:8">
      <c r="A176" s="1">
        <v>3</v>
      </c>
      <c r="B176" s="1" t="s">
        <v>984</v>
      </c>
      <c r="C176" s="1">
        <v>85.6</v>
      </c>
      <c r="D176" s="1">
        <v>154.44</v>
      </c>
      <c r="E176" s="1">
        <v>0.37467800000000001</v>
      </c>
      <c r="F176" s="1">
        <f>1344000*(10^-6)</f>
        <v>1.3439999999999999</v>
      </c>
      <c r="G176" s="1">
        <v>20</v>
      </c>
      <c r="H176" s="1">
        <v>16.37</v>
      </c>
    </row>
    <row r="177" spans="1:8">
      <c r="A177" s="1">
        <v>4</v>
      </c>
      <c r="B177" s="1" t="s">
        <v>985</v>
      </c>
      <c r="C177" s="1">
        <v>80.53</v>
      </c>
      <c r="D177" s="1">
        <v>157.19</v>
      </c>
      <c r="E177" s="1">
        <v>0.42689899999999997</v>
      </c>
      <c r="F177" s="1">
        <f>26073600*(10^-6)</f>
        <v>26.073599999999999</v>
      </c>
      <c r="G177" s="1">
        <v>20</v>
      </c>
      <c r="H177" s="1">
        <v>15.37</v>
      </c>
    </row>
    <row r="178" spans="1:8">
      <c r="A178" s="1">
        <v>5</v>
      </c>
      <c r="B178" s="1" t="s">
        <v>986</v>
      </c>
      <c r="C178" s="1">
        <v>69.349999999999994</v>
      </c>
      <c r="D178" s="1">
        <v>155.41</v>
      </c>
      <c r="E178" s="1">
        <v>0.40906399999999998</v>
      </c>
      <c r="F178" s="1">
        <f>10483200*(10^-6)</f>
        <v>10.4832</v>
      </c>
      <c r="G178" s="1">
        <v>4</v>
      </c>
      <c r="H178" s="1">
        <v>13.21</v>
      </c>
    </row>
    <row r="179" spans="1:8">
      <c r="A179" s="1">
        <v>6</v>
      </c>
      <c r="B179" s="1" t="s">
        <v>987</v>
      </c>
      <c r="C179" s="1">
        <v>91.42</v>
      </c>
      <c r="D179" s="1">
        <v>158.68</v>
      </c>
      <c r="E179" s="1">
        <v>0.44933400000000001</v>
      </c>
      <c r="F179" s="1">
        <f>37401600*(10^-6)</f>
        <v>37.401599999999995</v>
      </c>
      <c r="G179" s="1">
        <v>8</v>
      </c>
      <c r="H179" s="1">
        <v>17.37</v>
      </c>
    </row>
    <row r="180" spans="1:8">
      <c r="A180" s="1">
        <v>7</v>
      </c>
      <c r="B180" s="1" t="s">
        <v>988</v>
      </c>
      <c r="C180" s="1">
        <v>82.26</v>
      </c>
      <c r="D180" s="1">
        <v>156.12</v>
      </c>
      <c r="E180" s="1">
        <v>0.42315799999999998</v>
      </c>
      <c r="F180" s="1">
        <f>960000*(10^-6)</f>
        <v>0.96</v>
      </c>
      <c r="G180" s="1">
        <v>26</v>
      </c>
      <c r="H180" s="1">
        <v>15.67</v>
      </c>
    </row>
    <row r="181" spans="1:8">
      <c r="A181" s="1">
        <v>8</v>
      </c>
      <c r="B181" s="1" t="s">
        <v>989</v>
      </c>
      <c r="C181" s="1">
        <v>67.94</v>
      </c>
      <c r="D181" s="1">
        <v>154.25</v>
      </c>
      <c r="E181" s="1">
        <v>0.39086700000000002</v>
      </c>
      <c r="F181" s="1">
        <f>3763200*(10^-6)</f>
        <v>3.7631999999999999</v>
      </c>
      <c r="G181" s="1">
        <v>26</v>
      </c>
      <c r="H181" s="1">
        <v>12.96</v>
      </c>
    </row>
    <row r="182" spans="1:8">
      <c r="A182" s="1">
        <v>9</v>
      </c>
      <c r="B182" s="1" t="s">
        <v>990</v>
      </c>
      <c r="C182" s="1">
        <v>72.900000000000006</v>
      </c>
      <c r="D182" s="1" t="e">
        <f>-inf</f>
        <v>#NAME?</v>
      </c>
      <c r="E182" s="1">
        <v>0.35711900000000002</v>
      </c>
      <c r="F182" s="1">
        <f>0*(10^-6)</f>
        <v>0</v>
      </c>
      <c r="G182" s="1">
        <v>2</v>
      </c>
      <c r="H182" s="1">
        <v>13.8</v>
      </c>
    </row>
    <row r="183" spans="1:8">
      <c r="A183" s="1">
        <v>10</v>
      </c>
      <c r="B183" s="1" t="s">
        <v>991</v>
      </c>
      <c r="C183" s="1">
        <v>87.07</v>
      </c>
      <c r="D183" s="1">
        <v>158.16</v>
      </c>
      <c r="E183" s="1">
        <v>0.444492</v>
      </c>
      <c r="F183" s="1">
        <f>32448000*(10^-6)</f>
        <v>32.448</v>
      </c>
      <c r="G183" s="1">
        <v>36</v>
      </c>
      <c r="H183" s="1">
        <v>16.53</v>
      </c>
    </row>
    <row r="184" spans="1:8">
      <c r="A184" s="1">
        <v>11</v>
      </c>
      <c r="B184" s="1" t="s">
        <v>992</v>
      </c>
      <c r="C184" s="1">
        <v>78.22</v>
      </c>
      <c r="D184" s="1">
        <v>156.69999999999999</v>
      </c>
      <c r="E184" s="1">
        <v>0.396957</v>
      </c>
      <c r="F184" s="1">
        <f>30297600*(10^-6)</f>
        <v>30.297599999999999</v>
      </c>
      <c r="G184" s="1">
        <v>8</v>
      </c>
      <c r="H184" s="1">
        <v>14.84</v>
      </c>
    </row>
    <row r="185" spans="1:8">
      <c r="A185" s="1">
        <v>12</v>
      </c>
      <c r="B185" s="1" t="s">
        <v>993</v>
      </c>
      <c r="C185" s="1">
        <v>89.86</v>
      </c>
      <c r="D185" s="1">
        <v>155.97999999999999</v>
      </c>
      <c r="E185" s="1">
        <v>0.407661</v>
      </c>
      <c r="F185" s="1">
        <f>1459200*(10^-6)</f>
        <v>1.4591999999999998</v>
      </c>
      <c r="G185" s="1">
        <v>30</v>
      </c>
      <c r="H185" s="1">
        <v>17.13</v>
      </c>
    </row>
    <row r="186" spans="1:8">
      <c r="A186" s="1">
        <v>13</v>
      </c>
      <c r="B186" s="1" t="s">
        <v>994</v>
      </c>
      <c r="C186" s="1">
        <v>79.27</v>
      </c>
      <c r="D186" s="1">
        <v>153.51</v>
      </c>
      <c r="E186" s="1">
        <v>0.39466099999999998</v>
      </c>
      <c r="F186" s="1">
        <f>537600*(10^-6)</f>
        <v>0.53759999999999997</v>
      </c>
      <c r="G186" s="1">
        <v>0</v>
      </c>
      <c r="H186" s="1">
        <v>15.04</v>
      </c>
    </row>
    <row r="187" spans="1:8">
      <c r="A187" s="1">
        <v>14</v>
      </c>
      <c r="B187" s="1" t="s">
        <v>995</v>
      </c>
      <c r="C187" s="1">
        <v>72.56</v>
      </c>
      <c r="D187" s="1">
        <v>153.94</v>
      </c>
      <c r="E187" s="1">
        <v>0.35630600000000001</v>
      </c>
      <c r="F187" s="1">
        <f>4262400*(10^-6)</f>
        <v>4.2623999999999995</v>
      </c>
      <c r="G187" s="1">
        <v>22</v>
      </c>
      <c r="H187" s="1">
        <v>13.84</v>
      </c>
    </row>
    <row r="188" spans="1:8">
      <c r="A188" s="1">
        <v>15</v>
      </c>
      <c r="B188" s="1" t="s">
        <v>996</v>
      </c>
      <c r="C188" s="1">
        <v>65.239999999999995</v>
      </c>
      <c r="D188" s="1">
        <v>153.07</v>
      </c>
      <c r="E188" s="1">
        <v>0.37290800000000002</v>
      </c>
      <c r="F188" s="1">
        <f>806400*(10^-6)</f>
        <v>0.80640000000000001</v>
      </c>
      <c r="G188" s="1">
        <v>26</v>
      </c>
      <c r="H188" s="1">
        <v>12.44</v>
      </c>
    </row>
    <row r="189" spans="1:8">
      <c r="A189" s="1">
        <v>16</v>
      </c>
      <c r="B189" s="1" t="s">
        <v>997</v>
      </c>
      <c r="C189" s="1">
        <v>70.739999999999995</v>
      </c>
      <c r="D189" s="1">
        <v>155.41999999999999</v>
      </c>
      <c r="E189" s="1">
        <v>0.40482800000000002</v>
      </c>
      <c r="F189" s="1">
        <f>14630400*(10^-6)</f>
        <v>14.6304</v>
      </c>
      <c r="G189" s="1">
        <v>36</v>
      </c>
      <c r="H189" s="1">
        <v>13.41</v>
      </c>
    </row>
    <row r="190" spans="1:8">
      <c r="A190" s="1">
        <v>17</v>
      </c>
      <c r="B190" s="1" t="s">
        <v>998</v>
      </c>
      <c r="C190" s="1">
        <v>71.64</v>
      </c>
      <c r="D190" s="1">
        <v>151.69</v>
      </c>
      <c r="E190" s="1">
        <v>0.34898200000000001</v>
      </c>
      <c r="F190" s="1">
        <f>2496000*(10^-6)</f>
        <v>2.496</v>
      </c>
      <c r="G190" s="1">
        <v>4</v>
      </c>
      <c r="H190" s="1">
        <v>13.67</v>
      </c>
    </row>
    <row r="191" spans="1:8">
      <c r="A191" s="1">
        <v>18</v>
      </c>
      <c r="B191" s="1" t="s">
        <v>999</v>
      </c>
      <c r="C191" s="1">
        <v>76.89</v>
      </c>
      <c r="D191" s="1">
        <v>154.88</v>
      </c>
      <c r="E191" s="1">
        <v>0.41478500000000001</v>
      </c>
      <c r="F191" s="1">
        <f>806400*(10^-6)</f>
        <v>0.80640000000000001</v>
      </c>
      <c r="G191" s="1">
        <v>10</v>
      </c>
      <c r="H191" s="1">
        <v>14.62</v>
      </c>
    </row>
    <row r="192" spans="1:8">
      <c r="A192" s="1">
        <v>19</v>
      </c>
      <c r="B192" s="1" t="s">
        <v>1000</v>
      </c>
      <c r="C192" s="1">
        <v>62.46</v>
      </c>
      <c r="D192" s="1">
        <v>148.66999999999999</v>
      </c>
      <c r="E192" s="1">
        <v>0.326347</v>
      </c>
      <c r="F192" s="1">
        <f>691200*(10^-6)</f>
        <v>0.69119999999999993</v>
      </c>
      <c r="G192" s="1">
        <v>14</v>
      </c>
      <c r="H192" s="1">
        <v>11.84</v>
      </c>
    </row>
    <row r="193" spans="1:8">
      <c r="A193" s="1">
        <v>20</v>
      </c>
      <c r="B193" s="1" t="s">
        <v>1001</v>
      </c>
      <c r="C193" s="1">
        <v>86.44</v>
      </c>
      <c r="D193" s="1">
        <v>156.91</v>
      </c>
      <c r="E193" s="1">
        <v>0.42073199999999999</v>
      </c>
      <c r="F193" s="1">
        <f>5913600*(10^-6)</f>
        <v>5.9135999999999997</v>
      </c>
      <c r="G193" s="1">
        <v>24</v>
      </c>
      <c r="H193" s="1">
        <v>16.41</v>
      </c>
    </row>
    <row r="194" spans="1:8">
      <c r="A194" s="1">
        <v>21</v>
      </c>
      <c r="B194" s="1" t="s">
        <v>1002</v>
      </c>
      <c r="C194" s="1">
        <v>83.23</v>
      </c>
      <c r="D194" s="1">
        <v>156.27000000000001</v>
      </c>
      <c r="E194" s="1">
        <v>0.41428399999999999</v>
      </c>
      <c r="F194" s="1">
        <f>1996800*(10^-6)</f>
        <v>1.9967999999999999</v>
      </c>
      <c r="G194" s="1">
        <v>34</v>
      </c>
      <c r="H194" s="1">
        <v>15.82</v>
      </c>
    </row>
    <row r="195" spans="1:8">
      <c r="A195" s="1">
        <v>22</v>
      </c>
      <c r="B195" s="1" t="s">
        <v>1003</v>
      </c>
      <c r="C195" s="1">
        <v>78.42</v>
      </c>
      <c r="D195" s="1">
        <v>155.31</v>
      </c>
      <c r="E195" s="1">
        <v>0.41939399999999999</v>
      </c>
      <c r="F195" s="1">
        <f>307200*(10^-6)</f>
        <v>0.30719999999999997</v>
      </c>
      <c r="G195" s="1">
        <v>4</v>
      </c>
      <c r="H195" s="1">
        <v>14.92</v>
      </c>
    </row>
    <row r="196" spans="1:8">
      <c r="A196" s="1">
        <v>23</v>
      </c>
      <c r="B196" s="1" t="s">
        <v>1004</v>
      </c>
      <c r="C196" s="1">
        <v>81.63</v>
      </c>
      <c r="D196" s="1">
        <v>155.02000000000001</v>
      </c>
      <c r="E196" s="1">
        <v>0.39011200000000001</v>
      </c>
      <c r="F196" s="1">
        <f>3456000*(10^-6)</f>
        <v>3.456</v>
      </c>
      <c r="G196" s="1">
        <v>0</v>
      </c>
      <c r="H196" s="1">
        <v>15.53</v>
      </c>
    </row>
    <row r="197" spans="1:8">
      <c r="A197" s="1">
        <v>24</v>
      </c>
      <c r="B197" s="1" t="s">
        <v>1005</v>
      </c>
      <c r="C197" s="1">
        <v>80.58</v>
      </c>
      <c r="D197" s="1">
        <v>157.41</v>
      </c>
      <c r="E197" s="1">
        <v>0.43483699999999997</v>
      </c>
      <c r="F197" s="1">
        <f>35289600*(10^-6)</f>
        <v>35.2896</v>
      </c>
      <c r="G197" s="1">
        <v>2</v>
      </c>
      <c r="H197" s="1">
        <v>15.37</v>
      </c>
    </row>
    <row r="198" spans="1:8">
      <c r="A198" s="1">
        <v>25</v>
      </c>
      <c r="B198" s="1" t="s">
        <v>1006</v>
      </c>
      <c r="C198" s="1">
        <v>85.69</v>
      </c>
      <c r="D198" s="1">
        <v>151.94</v>
      </c>
      <c r="E198" s="1">
        <v>0.37264900000000001</v>
      </c>
      <c r="F198" s="1">
        <f>460800*(10^-6)</f>
        <v>0.46079999999999999</v>
      </c>
      <c r="G198" s="1">
        <v>6</v>
      </c>
      <c r="H198" s="1">
        <v>16.34</v>
      </c>
    </row>
    <row r="199" spans="1:8">
      <c r="A199" s="1">
        <v>26</v>
      </c>
      <c r="B199" s="1" t="s">
        <v>1007</v>
      </c>
      <c r="C199" s="1">
        <v>84.62</v>
      </c>
      <c r="D199" s="1">
        <v>157.31</v>
      </c>
      <c r="E199" s="1">
        <v>0.41064499999999998</v>
      </c>
      <c r="F199" s="1">
        <f>22848000*(10^-6)</f>
        <v>22.847999999999999</v>
      </c>
      <c r="G199" s="1">
        <v>30</v>
      </c>
      <c r="H199" s="1">
        <v>16.100000000000001</v>
      </c>
    </row>
    <row r="200" spans="1:8">
      <c r="A200" s="1">
        <v>27</v>
      </c>
      <c r="B200" s="1" t="s">
        <v>1008</v>
      </c>
      <c r="C200" s="1">
        <v>64.28</v>
      </c>
      <c r="D200" s="1" t="e">
        <f>-inf</f>
        <v>#NAME?</v>
      </c>
      <c r="E200" s="1">
        <v>0.38384400000000002</v>
      </c>
      <c r="F200" s="1">
        <f>0*(10^-6)</f>
        <v>0</v>
      </c>
      <c r="G200" s="1">
        <v>38</v>
      </c>
      <c r="H200" s="1">
        <v>12.29</v>
      </c>
    </row>
    <row r="201" spans="1:8">
      <c r="A201" s="1">
        <v>28</v>
      </c>
      <c r="B201" s="1" t="s">
        <v>1009</v>
      </c>
      <c r="C201" s="1">
        <v>80.3</v>
      </c>
      <c r="D201" s="1">
        <v>154.06</v>
      </c>
      <c r="E201" s="1">
        <v>0.38102999999999998</v>
      </c>
      <c r="F201" s="1">
        <f>422400*(10^-6)</f>
        <v>0.4224</v>
      </c>
      <c r="G201" s="1">
        <v>22</v>
      </c>
      <c r="H201" s="1">
        <v>15.29</v>
      </c>
    </row>
    <row r="202" spans="1:8">
      <c r="A202" s="1">
        <v>29</v>
      </c>
      <c r="B202" s="1" t="s">
        <v>1010</v>
      </c>
      <c r="C202" s="1">
        <v>68.98</v>
      </c>
      <c r="D202" s="1">
        <v>154.75</v>
      </c>
      <c r="E202" s="1">
        <v>0.417904</v>
      </c>
      <c r="F202" s="1">
        <f>1075200*(10^-6)</f>
        <v>1.0751999999999999</v>
      </c>
      <c r="G202" s="1">
        <v>30</v>
      </c>
      <c r="H202" s="1">
        <v>13.14</v>
      </c>
    </row>
    <row r="203" spans="1:8">
      <c r="A203" s="1">
        <v>30</v>
      </c>
      <c r="B203" s="1" t="s">
        <v>1011</v>
      </c>
      <c r="C203" s="1">
        <v>74.44</v>
      </c>
      <c r="D203" s="1">
        <v>155.35</v>
      </c>
      <c r="E203" s="1">
        <v>0.354599</v>
      </c>
      <c r="F203" s="1">
        <f>14592000*(10^-6)</f>
        <v>14.591999999999999</v>
      </c>
      <c r="G203" s="1">
        <v>16</v>
      </c>
      <c r="H203" s="1">
        <v>14.27</v>
      </c>
    </row>
    <row r="204" spans="1:8">
      <c r="A204" s="1">
        <v>31</v>
      </c>
      <c r="B204" s="1" t="s">
        <v>1012</v>
      </c>
      <c r="C204" s="1">
        <v>78.64</v>
      </c>
      <c r="D204" s="1">
        <v>155.79</v>
      </c>
      <c r="E204" s="1">
        <v>0.38777600000000001</v>
      </c>
      <c r="F204" s="1">
        <f>2457600*(10^-6)</f>
        <v>2.4575999999999998</v>
      </c>
      <c r="G204" s="1">
        <v>32</v>
      </c>
      <c r="H204" s="1">
        <v>15.01</v>
      </c>
    </row>
    <row r="205" spans="1:8">
      <c r="A205" s="1">
        <v>32</v>
      </c>
      <c r="B205" s="1" t="s">
        <v>1013</v>
      </c>
      <c r="C205" s="1">
        <v>82.48</v>
      </c>
      <c r="D205" s="1">
        <v>155.75</v>
      </c>
      <c r="E205" s="1">
        <v>0.42382700000000001</v>
      </c>
      <c r="F205" s="1">
        <f>2419200*(10^-6)</f>
        <v>2.4192</v>
      </c>
      <c r="G205" s="1">
        <v>36</v>
      </c>
      <c r="H205" s="1">
        <v>15.69</v>
      </c>
    </row>
    <row r="206" spans="1:8">
      <c r="A206" s="1">
        <v>33</v>
      </c>
      <c r="B206" s="1" t="s">
        <v>1014</v>
      </c>
      <c r="C206" s="1">
        <v>78.14</v>
      </c>
      <c r="D206" s="1">
        <v>156.91</v>
      </c>
      <c r="E206" s="1">
        <v>0.41967900000000002</v>
      </c>
      <c r="F206" s="1">
        <f>25267200*(10^-6)</f>
        <v>25.267199999999999</v>
      </c>
      <c r="G206" s="1">
        <v>34</v>
      </c>
      <c r="H206" s="1">
        <v>14.88</v>
      </c>
    </row>
    <row r="207" spans="1:8">
      <c r="A207" s="1">
        <v>34</v>
      </c>
      <c r="B207" s="1" t="s">
        <v>1015</v>
      </c>
      <c r="C207" s="1">
        <v>76.86</v>
      </c>
      <c r="D207" s="1">
        <v>156.74</v>
      </c>
      <c r="E207" s="1">
        <v>0.41607899999999998</v>
      </c>
      <c r="F207" s="1">
        <f>24614400*(10^-6)</f>
        <v>24.6144</v>
      </c>
      <c r="G207" s="1">
        <v>6</v>
      </c>
      <c r="H207" s="1">
        <v>14.68</v>
      </c>
    </row>
    <row r="208" spans="1:8">
      <c r="A208" s="1">
        <v>35</v>
      </c>
      <c r="B208" s="1" t="s">
        <v>1016</v>
      </c>
      <c r="C208" s="1">
        <v>65.11</v>
      </c>
      <c r="D208" s="1">
        <v>154.88</v>
      </c>
      <c r="E208" s="1">
        <v>0.38760299999999998</v>
      </c>
      <c r="F208" s="1">
        <f>11443200*(10^-6)</f>
        <v>11.443199999999999</v>
      </c>
      <c r="G208" s="1">
        <v>10</v>
      </c>
      <c r="H208" s="1">
        <v>12.42</v>
      </c>
    </row>
    <row r="209" spans="1:8">
      <c r="A209" s="1">
        <v>36</v>
      </c>
      <c r="B209" s="1" t="s">
        <v>1017</v>
      </c>
      <c r="C209" s="1">
        <v>84.59</v>
      </c>
      <c r="D209" s="1" t="e">
        <f>-inf</f>
        <v>#NAME?</v>
      </c>
      <c r="E209" s="1">
        <v>0.37718699999999999</v>
      </c>
      <c r="F209" s="1">
        <f>0*(10^-6)</f>
        <v>0</v>
      </c>
      <c r="G209" s="1">
        <v>28</v>
      </c>
      <c r="H209" s="1">
        <v>16.13</v>
      </c>
    </row>
    <row r="210" spans="1:8">
      <c r="A210" s="1">
        <v>37</v>
      </c>
      <c r="B210" s="1" t="s">
        <v>1018</v>
      </c>
      <c r="C210" s="1">
        <v>84.27</v>
      </c>
      <c r="D210" s="1">
        <v>157.6</v>
      </c>
      <c r="E210" s="1">
        <v>0.42318800000000001</v>
      </c>
      <c r="F210" s="1">
        <f>27801600*(10^-6)</f>
        <v>27.801599999999997</v>
      </c>
      <c r="G210" s="1">
        <v>20</v>
      </c>
      <c r="H210" s="1">
        <v>16.07</v>
      </c>
    </row>
    <row r="211" spans="1:8">
      <c r="A211" s="1">
        <v>38</v>
      </c>
      <c r="B211" s="1" t="s">
        <v>1019</v>
      </c>
      <c r="C211" s="1">
        <v>72.09</v>
      </c>
      <c r="D211" s="1">
        <v>155.22999999999999</v>
      </c>
      <c r="E211" s="1">
        <v>0.38479099999999999</v>
      </c>
      <c r="F211" s="1">
        <f>6374400*(10^-6)</f>
        <v>6.3743999999999996</v>
      </c>
      <c r="G211" s="1">
        <v>32</v>
      </c>
      <c r="H211" s="1">
        <v>13.73</v>
      </c>
    </row>
    <row r="212" spans="1:8">
      <c r="A212" s="1">
        <v>39</v>
      </c>
      <c r="B212" s="1" t="s">
        <v>1020</v>
      </c>
      <c r="C212" s="1">
        <v>87.99</v>
      </c>
      <c r="D212" s="1">
        <v>158.19</v>
      </c>
      <c r="E212" s="1">
        <v>0.44425500000000001</v>
      </c>
      <c r="F212" s="1">
        <f>29875200*(10^-6)</f>
        <v>29.8752</v>
      </c>
      <c r="G212" s="1">
        <v>12</v>
      </c>
      <c r="H212" s="1">
        <v>16.72</v>
      </c>
    </row>
    <row r="213" spans="1:8">
      <c r="A213" s="1">
        <v>40</v>
      </c>
      <c r="B213" s="1" t="s">
        <v>1021</v>
      </c>
      <c r="C213" s="1">
        <v>82.22</v>
      </c>
      <c r="D213" s="1">
        <v>154.79</v>
      </c>
      <c r="E213" s="1">
        <v>0.39044299999999998</v>
      </c>
      <c r="F213" s="1">
        <f>1228800*(10^-6)</f>
        <v>1.2287999999999999</v>
      </c>
      <c r="G213" s="1">
        <v>34</v>
      </c>
      <c r="H213" s="1">
        <v>15.65</v>
      </c>
    </row>
    <row r="214" spans="1:8">
      <c r="A214" s="1">
        <v>41</v>
      </c>
      <c r="B214" s="1" t="s">
        <v>1022</v>
      </c>
      <c r="C214" s="1">
        <v>76.84</v>
      </c>
      <c r="D214" s="1">
        <v>155.44999999999999</v>
      </c>
      <c r="E214" s="1">
        <v>0.414107</v>
      </c>
      <c r="F214" s="1">
        <f>998400*(10^-6)</f>
        <v>0.99839999999999995</v>
      </c>
      <c r="G214" s="1">
        <v>14</v>
      </c>
      <c r="H214" s="1">
        <v>14.61</v>
      </c>
    </row>
    <row r="215" spans="1:8">
      <c r="A215" s="1">
        <v>42</v>
      </c>
      <c r="B215" s="1" t="s">
        <v>1023</v>
      </c>
      <c r="C215" s="1">
        <v>76.87</v>
      </c>
      <c r="D215" s="1">
        <v>155.77000000000001</v>
      </c>
      <c r="E215" s="1">
        <v>0.409889</v>
      </c>
      <c r="F215" s="1">
        <f>1804800*(10^-6)</f>
        <v>1.8048</v>
      </c>
      <c r="G215" s="1">
        <v>4</v>
      </c>
      <c r="H215" s="1">
        <v>14.6</v>
      </c>
    </row>
    <row r="216" spans="1:8">
      <c r="A216" s="1">
        <v>43</v>
      </c>
      <c r="B216" s="1" t="s">
        <v>1024</v>
      </c>
      <c r="C216" s="1">
        <v>61.51</v>
      </c>
      <c r="D216" s="1">
        <v>153.9</v>
      </c>
      <c r="E216" s="1">
        <v>0.39795999999999998</v>
      </c>
      <c r="F216" s="1">
        <f>2342400*(10^-6)</f>
        <v>2.3424</v>
      </c>
      <c r="G216" s="1">
        <v>16</v>
      </c>
      <c r="H216" s="1">
        <v>11.68</v>
      </c>
    </row>
    <row r="217" spans="1:8">
      <c r="A217" s="1">
        <v>44</v>
      </c>
      <c r="B217" s="1" t="s">
        <v>1025</v>
      </c>
      <c r="C217" s="1">
        <v>83.64</v>
      </c>
      <c r="D217" s="1">
        <v>155.93</v>
      </c>
      <c r="E217" s="1">
        <v>0.391183</v>
      </c>
      <c r="F217" s="1">
        <f>1766400*(10^-6)</f>
        <v>1.7664</v>
      </c>
      <c r="G217" s="1">
        <v>28</v>
      </c>
      <c r="H217" s="1">
        <v>15.92</v>
      </c>
    </row>
    <row r="218" spans="1:8">
      <c r="A218" s="1">
        <v>45</v>
      </c>
      <c r="B218" s="1" t="s">
        <v>1026</v>
      </c>
      <c r="C218" s="1">
        <v>78.180000000000007</v>
      </c>
      <c r="D218" s="1">
        <v>155.18</v>
      </c>
      <c r="E218" s="1">
        <v>0.38047999999999998</v>
      </c>
      <c r="F218" s="1">
        <f>2227200*(10^-6)</f>
        <v>2.2271999999999998</v>
      </c>
      <c r="G218" s="1">
        <v>2</v>
      </c>
      <c r="H218" s="1">
        <v>14.87</v>
      </c>
    </row>
    <row r="219" spans="1:8">
      <c r="A219" s="1">
        <v>46</v>
      </c>
      <c r="B219" s="1" t="s">
        <v>1027</v>
      </c>
      <c r="C219" s="1">
        <v>73.5</v>
      </c>
      <c r="D219" s="1">
        <v>155.72999999999999</v>
      </c>
      <c r="E219" s="1">
        <v>0.39355000000000001</v>
      </c>
      <c r="F219" s="1">
        <f>7680000*(10^-6)</f>
        <v>7.68</v>
      </c>
      <c r="G219" s="1">
        <v>26</v>
      </c>
      <c r="H219" s="1">
        <v>14.04</v>
      </c>
    </row>
    <row r="220" spans="1:8">
      <c r="A220" s="1">
        <v>47</v>
      </c>
      <c r="B220" s="1" t="s">
        <v>1028</v>
      </c>
      <c r="C220" s="1">
        <v>80.52</v>
      </c>
      <c r="D220" s="1">
        <v>154.4</v>
      </c>
      <c r="E220" s="1">
        <v>0.403312</v>
      </c>
      <c r="F220" s="1">
        <f>1344000*(10^-6)</f>
        <v>1.3439999999999999</v>
      </c>
      <c r="G220" s="1">
        <v>22</v>
      </c>
      <c r="H220" s="1">
        <v>15.3</v>
      </c>
    </row>
    <row r="221" spans="1:8">
      <c r="A221" s="1">
        <v>48</v>
      </c>
      <c r="B221" s="1" t="s">
        <v>1029</v>
      </c>
      <c r="C221" s="1">
        <v>60.13</v>
      </c>
      <c r="D221" s="1">
        <v>151.86000000000001</v>
      </c>
      <c r="E221" s="1">
        <v>0.37859999999999999</v>
      </c>
      <c r="F221" s="1">
        <f>691200*(10^-6)</f>
        <v>0.69119999999999993</v>
      </c>
      <c r="G221" s="1">
        <v>36</v>
      </c>
      <c r="H221" s="1">
        <v>11.44</v>
      </c>
    </row>
    <row r="222" spans="1:8">
      <c r="A222" s="1">
        <v>49</v>
      </c>
      <c r="B222" s="1" t="s">
        <v>1030</v>
      </c>
      <c r="C222" s="1">
        <v>79.47</v>
      </c>
      <c r="D222" s="1">
        <v>154.96</v>
      </c>
      <c r="E222" s="1">
        <v>0.38748300000000002</v>
      </c>
      <c r="F222" s="1">
        <f>2572800*(10^-6)</f>
        <v>2.5728</v>
      </c>
      <c r="G222" s="1">
        <v>22</v>
      </c>
      <c r="H222" s="1">
        <v>15.14</v>
      </c>
    </row>
    <row r="223" spans="1:8">
      <c r="A223" s="1">
        <v>50</v>
      </c>
      <c r="B223" s="1" t="s">
        <v>1031</v>
      </c>
      <c r="C223" s="1">
        <v>68.83</v>
      </c>
      <c r="D223" s="1">
        <v>153.76</v>
      </c>
      <c r="E223" s="1">
        <v>0.39200000000000002</v>
      </c>
      <c r="F223" s="1">
        <f>422400*(10^-6)</f>
        <v>0.4224</v>
      </c>
      <c r="G223" s="1">
        <v>2</v>
      </c>
      <c r="H223" s="1">
        <v>13.09</v>
      </c>
    </row>
    <row r="224" spans="1:8">
      <c r="B224" s="1" t="s">
        <v>19</v>
      </c>
      <c r="C224" s="1">
        <f>AVERAGE(C174:C223)</f>
        <v>77.115200000000016</v>
      </c>
      <c r="D224" s="1" t="e">
        <f t="shared" ref="D224:F224" si="13">AVERAGE(D174:D223)</f>
        <v>#NAME?</v>
      </c>
      <c r="E224" s="1">
        <f t="shared" si="13"/>
        <v>0.39715057999999998</v>
      </c>
      <c r="F224" s="1">
        <f t="shared" si="13"/>
        <v>8.3796479999999978</v>
      </c>
      <c r="H224" s="1">
        <f t="shared" ref="H224" si="14">AVERAGE(H174:H223)</f>
        <v>14.681199999999999</v>
      </c>
    </row>
    <row r="225" spans="1:8">
      <c r="B225" s="1" t="s">
        <v>20</v>
      </c>
      <c r="C225" s="1">
        <f>MIN(C173:C223)</f>
        <v>60.13</v>
      </c>
      <c r="D225" s="1" t="e">
        <f t="shared" ref="D225:F225" si="15">MIN(D173:D223)</f>
        <v>#NAME?</v>
      </c>
      <c r="E225" s="1">
        <f t="shared" si="15"/>
        <v>0.326347</v>
      </c>
      <c r="F225" s="1">
        <f t="shared" si="15"/>
        <v>0</v>
      </c>
      <c r="H225" s="1">
        <f t="shared" ref="H225" si="16">MIN(H173:H223)</f>
        <v>11.44</v>
      </c>
    </row>
    <row r="226" spans="1:8">
      <c r="B226" s="1" t="s">
        <v>3</v>
      </c>
      <c r="C226" s="1">
        <f>STDEV(C174:C223)</f>
        <v>7.7813466753274732</v>
      </c>
      <c r="D226" s="1" t="e">
        <f t="shared" ref="D226:E226" si="17">STDEV(D174:D223)</f>
        <v>#NAME?</v>
      </c>
      <c r="E226" s="1">
        <f t="shared" si="17"/>
        <v>2.6210322026605913E-2</v>
      </c>
      <c r="F226" s="1">
        <f>STDEV(F174:F223)</f>
        <v>11.248125841500011</v>
      </c>
      <c r="H226" s="1">
        <f>STDEV(H174:H223)</f>
        <v>1.4804958353090452</v>
      </c>
    </row>
    <row r="228" spans="1:8">
      <c r="H228" s="2" t="s">
        <v>1435</v>
      </c>
    </row>
    <row r="229" spans="1:8" ht="18">
      <c r="A229" s="2" t="s">
        <v>7</v>
      </c>
      <c r="B229" s="3" t="s">
        <v>2</v>
      </c>
      <c r="C229" s="2" t="s">
        <v>4</v>
      </c>
      <c r="D229" s="2" t="s">
        <v>322</v>
      </c>
      <c r="E229" s="2" t="s">
        <v>321</v>
      </c>
      <c r="F229" s="2" t="s">
        <v>324</v>
      </c>
      <c r="G229" s="2" t="s">
        <v>323</v>
      </c>
      <c r="H229" s="2" t="s">
        <v>1436</v>
      </c>
    </row>
    <row r="230" spans="1:8">
      <c r="A230" s="1">
        <v>1</v>
      </c>
      <c r="B230" s="1" t="s">
        <v>1082</v>
      </c>
      <c r="C230" s="1">
        <v>68.400000000000006</v>
      </c>
      <c r="D230" s="1">
        <v>232.5</v>
      </c>
      <c r="E230" s="1">
        <v>0.408995</v>
      </c>
      <c r="F230" s="1">
        <f>3417600*(10^-6)</f>
        <v>3.4175999999999997</v>
      </c>
      <c r="G230" s="1">
        <v>50</v>
      </c>
      <c r="H230" s="1">
        <v>12.99</v>
      </c>
    </row>
    <row r="231" spans="1:8">
      <c r="A231" s="1">
        <v>2</v>
      </c>
      <c r="B231" s="1" t="s">
        <v>1083</v>
      </c>
      <c r="C231" s="1">
        <v>71.89</v>
      </c>
      <c r="D231" s="1" t="e">
        <f>-inf</f>
        <v>#NAME?</v>
      </c>
      <c r="E231" s="1">
        <v>0.35859999999999997</v>
      </c>
      <c r="F231" s="1">
        <f>0*(10^-6)</f>
        <v>0</v>
      </c>
      <c r="G231" s="1">
        <v>18</v>
      </c>
      <c r="H231" s="1">
        <v>13.68</v>
      </c>
    </row>
    <row r="232" spans="1:8">
      <c r="A232" s="1">
        <v>3</v>
      </c>
      <c r="B232" s="1" t="s">
        <v>1084</v>
      </c>
      <c r="C232" s="1">
        <v>64.88</v>
      </c>
      <c r="D232" s="1">
        <v>230.07</v>
      </c>
      <c r="E232" s="1">
        <v>0.372477</v>
      </c>
      <c r="F232" s="1">
        <f>2150400*(10^-6)</f>
        <v>2.1503999999999999</v>
      </c>
      <c r="G232" s="1">
        <v>32</v>
      </c>
      <c r="H232" s="1">
        <v>12.33</v>
      </c>
    </row>
    <row r="233" spans="1:8">
      <c r="A233" s="1">
        <v>4</v>
      </c>
      <c r="B233" s="1" t="s">
        <v>1085</v>
      </c>
      <c r="C233" s="1">
        <v>66.849999999999994</v>
      </c>
      <c r="D233" s="1">
        <v>229.57</v>
      </c>
      <c r="E233" s="1">
        <v>0.38363700000000001</v>
      </c>
      <c r="F233" s="1">
        <f>268800*(10^-6)</f>
        <v>0.26879999999999998</v>
      </c>
      <c r="G233" s="1">
        <v>54</v>
      </c>
      <c r="H233" s="1">
        <v>12.69</v>
      </c>
    </row>
    <row r="234" spans="1:8">
      <c r="A234" s="1">
        <v>5</v>
      </c>
      <c r="B234" s="1" t="s">
        <v>1086</v>
      </c>
      <c r="C234" s="1">
        <v>62.34</v>
      </c>
      <c r="D234" s="1">
        <v>227.08</v>
      </c>
      <c r="E234" s="1">
        <v>0.37171199999999999</v>
      </c>
      <c r="F234" s="1">
        <f>422400*(10^-6)</f>
        <v>0.4224</v>
      </c>
      <c r="G234" s="1">
        <v>12</v>
      </c>
      <c r="H234" s="1">
        <v>11.86</v>
      </c>
    </row>
    <row r="235" spans="1:8">
      <c r="A235" s="1">
        <v>6</v>
      </c>
      <c r="B235" s="1" t="s">
        <v>1087</v>
      </c>
      <c r="C235" s="1">
        <v>56.57</v>
      </c>
      <c r="D235" s="1">
        <v>229.05</v>
      </c>
      <c r="E235" s="1">
        <v>0.36829099999999998</v>
      </c>
      <c r="F235" s="1">
        <f>1996800*(10^-6)</f>
        <v>1.9967999999999999</v>
      </c>
      <c r="G235" s="1">
        <v>28</v>
      </c>
      <c r="H235" s="1">
        <v>10.77</v>
      </c>
    </row>
    <row r="236" spans="1:8">
      <c r="A236" s="1">
        <v>7</v>
      </c>
      <c r="B236" s="1" t="s">
        <v>1088</v>
      </c>
      <c r="C236" s="1">
        <v>67</v>
      </c>
      <c r="D236" s="1">
        <v>228.36</v>
      </c>
      <c r="E236" s="1">
        <v>0.35146100000000002</v>
      </c>
      <c r="F236" s="1">
        <f>844800*(10^-6)</f>
        <v>0.8448</v>
      </c>
      <c r="G236" s="1">
        <v>0</v>
      </c>
      <c r="H236" s="1">
        <v>12.77</v>
      </c>
    </row>
    <row r="237" spans="1:8">
      <c r="A237" s="1">
        <v>8</v>
      </c>
      <c r="B237" s="1" t="s">
        <v>1089</v>
      </c>
      <c r="C237" s="1">
        <v>59.49</v>
      </c>
      <c r="D237" s="1">
        <v>231.87</v>
      </c>
      <c r="E237" s="1">
        <v>0.409244</v>
      </c>
      <c r="F237" s="1">
        <f>19161600*(10^-6)</f>
        <v>19.1616</v>
      </c>
      <c r="G237" s="1">
        <v>36</v>
      </c>
      <c r="H237" s="1">
        <v>11.33</v>
      </c>
    </row>
    <row r="238" spans="1:8">
      <c r="A238" s="1">
        <v>9</v>
      </c>
      <c r="B238" s="1" t="s">
        <v>1090</v>
      </c>
      <c r="C238" s="1">
        <v>65.27</v>
      </c>
      <c r="D238" s="1">
        <v>232.22</v>
      </c>
      <c r="E238" s="1">
        <v>0.40057900000000002</v>
      </c>
      <c r="F238" s="1">
        <f>9561600*(10^-6)</f>
        <v>9.5616000000000003</v>
      </c>
      <c r="G238" s="1">
        <v>4</v>
      </c>
      <c r="H238" s="1">
        <v>12.37</v>
      </c>
    </row>
    <row r="239" spans="1:8">
      <c r="A239" s="1">
        <v>10</v>
      </c>
      <c r="B239" s="1" t="s">
        <v>1091</v>
      </c>
      <c r="C239" s="1">
        <v>61.75</v>
      </c>
      <c r="D239" s="1">
        <v>227.8</v>
      </c>
      <c r="E239" s="1">
        <v>0.36869499999999999</v>
      </c>
      <c r="F239" s="1">
        <f>153600*(10^-6)</f>
        <v>0.15359999999999999</v>
      </c>
      <c r="G239" s="1">
        <v>2</v>
      </c>
      <c r="H239" s="1">
        <v>11.73</v>
      </c>
    </row>
    <row r="240" spans="1:8">
      <c r="A240" s="1">
        <v>11</v>
      </c>
      <c r="B240" s="1" t="s">
        <v>1092</v>
      </c>
      <c r="C240" s="1">
        <v>69.650000000000006</v>
      </c>
      <c r="D240" s="1">
        <v>229.48</v>
      </c>
      <c r="E240" s="1">
        <v>0.38758100000000001</v>
      </c>
      <c r="F240" s="1">
        <f>499200*(10^-6)</f>
        <v>0.49919999999999998</v>
      </c>
      <c r="G240" s="1">
        <v>48</v>
      </c>
      <c r="H240" s="1">
        <v>13.23</v>
      </c>
    </row>
    <row r="241" spans="1:8">
      <c r="A241" s="1">
        <v>12</v>
      </c>
      <c r="B241" s="1" t="s">
        <v>1093</v>
      </c>
      <c r="C241" s="1">
        <v>72.95</v>
      </c>
      <c r="D241" s="1">
        <v>229.24</v>
      </c>
      <c r="E241" s="1">
        <v>0.39015300000000003</v>
      </c>
      <c r="F241" s="1">
        <f>537600*(10^-6)</f>
        <v>0.53759999999999997</v>
      </c>
      <c r="G241" s="1">
        <v>24</v>
      </c>
      <c r="H241" s="1">
        <v>13.88</v>
      </c>
    </row>
    <row r="242" spans="1:8">
      <c r="A242" s="1">
        <v>13</v>
      </c>
      <c r="B242" s="1" t="s">
        <v>1094</v>
      </c>
      <c r="C242" s="1">
        <v>64.11</v>
      </c>
      <c r="D242" s="1">
        <v>227.55</v>
      </c>
      <c r="E242" s="1">
        <v>0.37912800000000002</v>
      </c>
      <c r="F242" s="1">
        <f>115200*(10^-6)</f>
        <v>0.1152</v>
      </c>
      <c r="G242" s="1">
        <v>42</v>
      </c>
      <c r="H242" s="1">
        <v>12.16</v>
      </c>
    </row>
    <row r="243" spans="1:8">
      <c r="A243" s="1">
        <v>14</v>
      </c>
      <c r="B243" s="1" t="s">
        <v>1095</v>
      </c>
      <c r="C243" s="1">
        <v>63.86</v>
      </c>
      <c r="D243" s="1">
        <v>230.68</v>
      </c>
      <c r="E243" s="1">
        <v>0.38175399999999998</v>
      </c>
      <c r="F243" s="1">
        <f>2035200*(10^-6)</f>
        <v>2.0352000000000001</v>
      </c>
      <c r="G243" s="1">
        <v>14</v>
      </c>
      <c r="H243" s="1">
        <v>12.17</v>
      </c>
    </row>
    <row r="244" spans="1:8">
      <c r="A244" s="1">
        <v>15</v>
      </c>
      <c r="B244" s="1" t="s">
        <v>1096</v>
      </c>
      <c r="C244" s="1">
        <v>64.38</v>
      </c>
      <c r="D244" s="1">
        <v>229.61</v>
      </c>
      <c r="E244" s="1">
        <v>0.38016899999999998</v>
      </c>
      <c r="F244" s="1">
        <f>230400*(10^-6)</f>
        <v>0.23039999999999999</v>
      </c>
      <c r="G244" s="1">
        <v>34</v>
      </c>
      <c r="H244" s="1">
        <v>12.2</v>
      </c>
    </row>
    <row r="245" spans="1:8">
      <c r="A245" s="1">
        <v>16</v>
      </c>
      <c r="B245" s="1" t="s">
        <v>1097</v>
      </c>
      <c r="C245" s="1">
        <v>63.61</v>
      </c>
      <c r="D245" s="1">
        <v>230.07</v>
      </c>
      <c r="E245" s="1">
        <v>0.36260100000000001</v>
      </c>
      <c r="F245" s="1">
        <f>3456000*(10^-6)</f>
        <v>3.456</v>
      </c>
      <c r="G245" s="1">
        <v>12</v>
      </c>
      <c r="H245" s="1">
        <v>12.12</v>
      </c>
    </row>
    <row r="246" spans="1:8">
      <c r="A246" s="1">
        <v>17</v>
      </c>
      <c r="B246" s="1" t="s">
        <v>1098</v>
      </c>
      <c r="C246" s="1">
        <v>67.7</v>
      </c>
      <c r="D246" s="1">
        <v>223.52</v>
      </c>
      <c r="E246" s="1">
        <v>0.35539199999999999</v>
      </c>
      <c r="F246" s="1">
        <f>115200*(10^-6)</f>
        <v>0.1152</v>
      </c>
      <c r="G246" s="1">
        <v>16</v>
      </c>
      <c r="H246" s="1">
        <v>12.86</v>
      </c>
    </row>
    <row r="247" spans="1:8">
      <c r="A247" s="1">
        <v>18</v>
      </c>
      <c r="B247" s="1" t="s">
        <v>1099</v>
      </c>
      <c r="C247" s="1">
        <v>71.17</v>
      </c>
      <c r="D247" s="1">
        <v>229.75</v>
      </c>
      <c r="E247" s="1">
        <v>0.39167099999999999</v>
      </c>
      <c r="F247" s="1">
        <f>115200*(10^-6)</f>
        <v>0.1152</v>
      </c>
      <c r="G247" s="1">
        <v>56</v>
      </c>
      <c r="H247" s="1">
        <v>13.5</v>
      </c>
    </row>
    <row r="248" spans="1:8">
      <c r="A248" s="1">
        <v>19</v>
      </c>
      <c r="B248" s="1" t="s">
        <v>1100</v>
      </c>
      <c r="C248" s="1">
        <v>69.73</v>
      </c>
      <c r="D248" s="1">
        <v>229.29</v>
      </c>
      <c r="E248" s="1">
        <v>0.37479099999999999</v>
      </c>
      <c r="F248" s="1">
        <f>806400*(10^-6)</f>
        <v>0.80640000000000001</v>
      </c>
      <c r="G248" s="1">
        <v>10</v>
      </c>
      <c r="H248" s="1">
        <v>13.26</v>
      </c>
    </row>
    <row r="249" spans="1:8">
      <c r="A249" s="1">
        <v>20</v>
      </c>
      <c r="B249" s="1" t="s">
        <v>1101</v>
      </c>
      <c r="C249" s="1">
        <v>63.23</v>
      </c>
      <c r="D249" s="1" t="e">
        <f>-inf</f>
        <v>#NAME?</v>
      </c>
      <c r="E249" s="1">
        <v>0.37524800000000003</v>
      </c>
      <c r="F249" s="1">
        <f>0*(10^-6)</f>
        <v>0</v>
      </c>
      <c r="G249" s="1">
        <v>30</v>
      </c>
      <c r="H249" s="1">
        <v>11.99</v>
      </c>
    </row>
    <row r="250" spans="1:8">
      <c r="A250" s="1">
        <v>21</v>
      </c>
      <c r="B250" s="1" t="s">
        <v>1102</v>
      </c>
      <c r="C250" s="1">
        <v>59.19</v>
      </c>
      <c r="D250" s="1">
        <v>227.96</v>
      </c>
      <c r="E250" s="1">
        <v>0.36530699999999999</v>
      </c>
      <c r="F250" s="1">
        <f>192000*(10^-6)</f>
        <v>0.192</v>
      </c>
      <c r="G250" s="1">
        <v>20</v>
      </c>
      <c r="H250" s="1">
        <v>11.22</v>
      </c>
    </row>
    <row r="251" spans="1:8">
      <c r="A251" s="1">
        <v>22</v>
      </c>
      <c r="B251" s="1" t="s">
        <v>1103</v>
      </c>
      <c r="C251" s="1">
        <v>59.86</v>
      </c>
      <c r="D251" s="1">
        <v>230.46</v>
      </c>
      <c r="E251" s="1">
        <v>0.38474900000000001</v>
      </c>
      <c r="F251" s="1">
        <f>3532800*(10^-6)</f>
        <v>3.5327999999999999</v>
      </c>
      <c r="G251" s="1">
        <v>10</v>
      </c>
      <c r="H251" s="1">
        <v>11.39</v>
      </c>
    </row>
    <row r="252" spans="1:8">
      <c r="A252" s="1">
        <v>23</v>
      </c>
      <c r="B252" s="1" t="s">
        <v>1104</v>
      </c>
      <c r="C252" s="1">
        <v>70.34</v>
      </c>
      <c r="D252" s="1">
        <v>229.32</v>
      </c>
      <c r="E252" s="1">
        <v>0.37031500000000001</v>
      </c>
      <c r="F252" s="1">
        <f>1075200*(10^-6)</f>
        <v>1.0751999999999999</v>
      </c>
      <c r="G252" s="1">
        <v>44</v>
      </c>
      <c r="H252" s="1">
        <v>13.38</v>
      </c>
    </row>
    <row r="253" spans="1:8">
      <c r="A253" s="1">
        <v>24</v>
      </c>
      <c r="B253" s="1" t="s">
        <v>1105</v>
      </c>
      <c r="C253" s="1">
        <v>62.58</v>
      </c>
      <c r="D253" s="1">
        <v>223.68</v>
      </c>
      <c r="E253" s="1">
        <v>0.34034799999999998</v>
      </c>
      <c r="F253" s="1">
        <f>307200*(10^-6)</f>
        <v>0.30719999999999997</v>
      </c>
      <c r="G253" s="1">
        <v>58</v>
      </c>
      <c r="H253" s="1">
        <v>11.89</v>
      </c>
    </row>
    <row r="254" spans="1:8">
      <c r="A254" s="1">
        <v>25</v>
      </c>
      <c r="B254" s="1" t="s">
        <v>1106</v>
      </c>
      <c r="C254" s="1">
        <v>63.06</v>
      </c>
      <c r="D254" s="1">
        <v>229.52</v>
      </c>
      <c r="E254" s="1">
        <v>0.37417899999999998</v>
      </c>
      <c r="F254" s="1">
        <f>1152000*(10^-6)</f>
        <v>1.1519999999999999</v>
      </c>
      <c r="G254" s="1">
        <v>28</v>
      </c>
      <c r="H254" s="1">
        <v>12.01</v>
      </c>
    </row>
    <row r="255" spans="1:8">
      <c r="A255" s="1">
        <v>26</v>
      </c>
      <c r="B255" s="1" t="s">
        <v>1107</v>
      </c>
      <c r="C255" s="1">
        <v>68.84</v>
      </c>
      <c r="D255" s="1">
        <v>229.7</v>
      </c>
      <c r="E255" s="1">
        <v>0.378751</v>
      </c>
      <c r="F255" s="1">
        <f>652800*(10^-6)</f>
        <v>0.65279999999999994</v>
      </c>
      <c r="G255" s="1">
        <v>52</v>
      </c>
      <c r="H255" s="1">
        <v>13.1</v>
      </c>
    </row>
    <row r="256" spans="1:8">
      <c r="A256" s="1">
        <v>27</v>
      </c>
      <c r="B256" s="1" t="s">
        <v>1108</v>
      </c>
      <c r="C256" s="1">
        <v>67.38</v>
      </c>
      <c r="D256" s="1">
        <v>228.21</v>
      </c>
      <c r="E256" s="1">
        <v>0.381465</v>
      </c>
      <c r="F256" s="1">
        <f>384000*(10^-6)</f>
        <v>0.38400000000000001</v>
      </c>
      <c r="G256" s="1">
        <v>0</v>
      </c>
      <c r="H256" s="1">
        <v>12.78</v>
      </c>
    </row>
    <row r="257" spans="1:8">
      <c r="A257" s="1">
        <v>28</v>
      </c>
      <c r="B257" s="1" t="s">
        <v>1109</v>
      </c>
      <c r="C257" s="1">
        <v>64.400000000000006</v>
      </c>
      <c r="D257" s="1" t="e">
        <f>-inf</f>
        <v>#NAME?</v>
      </c>
      <c r="E257" s="1">
        <v>0.33708700000000003</v>
      </c>
      <c r="F257" s="1">
        <f>0*(10^-6)</f>
        <v>0</v>
      </c>
      <c r="G257" s="1">
        <v>6</v>
      </c>
      <c r="H257" s="1">
        <v>12.22</v>
      </c>
    </row>
    <row r="258" spans="1:8">
      <c r="A258" s="1">
        <v>29</v>
      </c>
      <c r="B258" s="1" t="s">
        <v>1110</v>
      </c>
      <c r="C258" s="1">
        <v>67.45</v>
      </c>
      <c r="D258" s="1">
        <v>231.18</v>
      </c>
      <c r="E258" s="1">
        <v>0.38124200000000003</v>
      </c>
      <c r="F258" s="1">
        <f>1612800*(10^-6)</f>
        <v>1.6128</v>
      </c>
      <c r="G258" s="1">
        <v>34</v>
      </c>
      <c r="H258" s="1">
        <v>12.81</v>
      </c>
    </row>
    <row r="259" spans="1:8">
      <c r="A259" s="1">
        <v>30</v>
      </c>
      <c r="B259" s="1" t="s">
        <v>1111</v>
      </c>
      <c r="C259" s="1">
        <v>65.790000000000006</v>
      </c>
      <c r="D259" s="1">
        <v>228.48</v>
      </c>
      <c r="E259" s="1">
        <v>0.36725099999999999</v>
      </c>
      <c r="F259" s="1">
        <f>307200*(10^-6)</f>
        <v>0.30719999999999997</v>
      </c>
      <c r="G259" s="1">
        <v>2</v>
      </c>
      <c r="H259" s="1">
        <v>12.48</v>
      </c>
    </row>
    <row r="260" spans="1:8">
      <c r="A260" s="1">
        <v>31</v>
      </c>
      <c r="B260" s="1" t="s">
        <v>1112</v>
      </c>
      <c r="C260" s="1">
        <v>69.19</v>
      </c>
      <c r="D260" s="1">
        <v>229.4</v>
      </c>
      <c r="E260" s="1">
        <v>0.383521</v>
      </c>
      <c r="F260" s="1">
        <f>576000*(10^-6)</f>
        <v>0.57599999999999996</v>
      </c>
      <c r="G260" s="1">
        <v>8</v>
      </c>
      <c r="H260" s="1">
        <v>13.16</v>
      </c>
    </row>
    <row r="261" spans="1:8">
      <c r="A261" s="1">
        <v>32</v>
      </c>
      <c r="B261" s="1" t="s">
        <v>1113</v>
      </c>
      <c r="C261" s="1">
        <v>66.91</v>
      </c>
      <c r="D261" s="1">
        <v>228.49</v>
      </c>
      <c r="E261" s="1">
        <v>0.348219</v>
      </c>
      <c r="F261" s="1">
        <f>1574400*(10^-6)</f>
        <v>1.5744</v>
      </c>
      <c r="G261" s="1">
        <v>40</v>
      </c>
      <c r="H261" s="1">
        <v>12.75</v>
      </c>
    </row>
    <row r="262" spans="1:8">
      <c r="A262" s="1">
        <v>33</v>
      </c>
      <c r="B262" s="1" t="s">
        <v>1114</v>
      </c>
      <c r="C262" s="1">
        <v>64.88</v>
      </c>
      <c r="D262" s="1">
        <v>229.57</v>
      </c>
      <c r="E262" s="1">
        <v>0.353852</v>
      </c>
      <c r="F262" s="1">
        <f>2265600*(10^-6)</f>
        <v>2.2656000000000001</v>
      </c>
      <c r="G262" s="1">
        <v>44</v>
      </c>
      <c r="H262" s="1">
        <v>12.38</v>
      </c>
    </row>
    <row r="263" spans="1:8">
      <c r="A263" s="1">
        <v>34</v>
      </c>
      <c r="B263" s="1" t="s">
        <v>1115</v>
      </c>
      <c r="C263" s="1">
        <v>64.319999999999993</v>
      </c>
      <c r="D263" s="1">
        <v>229.2</v>
      </c>
      <c r="E263" s="1">
        <v>0.37096899999999999</v>
      </c>
      <c r="F263" s="1">
        <f>1075200*(10^-6)</f>
        <v>1.0751999999999999</v>
      </c>
      <c r="G263" s="1">
        <v>36</v>
      </c>
      <c r="H263" s="1">
        <v>12.23</v>
      </c>
    </row>
    <row r="264" spans="1:8">
      <c r="A264" s="1">
        <v>35</v>
      </c>
      <c r="B264" s="1" t="s">
        <v>1116</v>
      </c>
      <c r="C264" s="1">
        <v>70.12</v>
      </c>
      <c r="D264" s="1">
        <v>230.26</v>
      </c>
      <c r="E264" s="1">
        <v>0.37603500000000001</v>
      </c>
      <c r="F264" s="1">
        <f>844800*(10^-6)</f>
        <v>0.8448</v>
      </c>
      <c r="G264" s="1">
        <v>40</v>
      </c>
      <c r="H264" s="1">
        <v>13.37</v>
      </c>
    </row>
    <row r="265" spans="1:8">
      <c r="A265" s="1">
        <v>36</v>
      </c>
      <c r="B265" s="1" t="s">
        <v>1117</v>
      </c>
      <c r="C265" s="1">
        <v>63.71</v>
      </c>
      <c r="D265" s="1">
        <v>228.51</v>
      </c>
      <c r="E265" s="1">
        <v>0.37559700000000001</v>
      </c>
      <c r="F265" s="1">
        <f>729600*(10^-6)</f>
        <v>0.72959999999999992</v>
      </c>
      <c r="G265" s="1">
        <v>42</v>
      </c>
      <c r="H265" s="1">
        <v>12.1</v>
      </c>
    </row>
    <row r="266" spans="1:8">
      <c r="A266" s="1">
        <v>37</v>
      </c>
      <c r="B266" s="1" t="s">
        <v>1118</v>
      </c>
      <c r="C266" s="1">
        <v>62.17</v>
      </c>
      <c r="D266" s="1">
        <v>232.56</v>
      </c>
      <c r="E266" s="1">
        <v>0.43287399999999998</v>
      </c>
      <c r="F266" s="1">
        <f>10176000*(10^-6)</f>
        <v>10.176</v>
      </c>
      <c r="G266" s="1">
        <v>56</v>
      </c>
      <c r="H266" s="1">
        <v>11.81</v>
      </c>
    </row>
    <row r="267" spans="1:8">
      <c r="A267" s="1">
        <v>38</v>
      </c>
      <c r="B267" s="1" t="s">
        <v>1119</v>
      </c>
      <c r="C267" s="1">
        <v>68.959999999999994</v>
      </c>
      <c r="D267" s="1" t="e">
        <f>-inf</f>
        <v>#NAME?</v>
      </c>
      <c r="E267" s="1">
        <v>0.38030999999999998</v>
      </c>
      <c r="F267" s="1">
        <f>0*(10^-6)</f>
        <v>0</v>
      </c>
      <c r="G267" s="1">
        <v>28</v>
      </c>
      <c r="H267" s="1">
        <v>13.1</v>
      </c>
    </row>
    <row r="268" spans="1:8">
      <c r="A268" s="1">
        <v>39</v>
      </c>
      <c r="B268" s="1" t="s">
        <v>1120</v>
      </c>
      <c r="C268" s="1">
        <v>67.94</v>
      </c>
      <c r="D268" s="1">
        <v>230.08</v>
      </c>
      <c r="E268" s="1">
        <v>0.36236699999999999</v>
      </c>
      <c r="F268" s="1">
        <f>1228800*(10^-6)</f>
        <v>1.2287999999999999</v>
      </c>
      <c r="G268" s="1">
        <v>10</v>
      </c>
      <c r="H268" s="1">
        <v>12.92</v>
      </c>
    </row>
    <row r="269" spans="1:8">
      <c r="A269" s="1">
        <v>40</v>
      </c>
      <c r="B269" s="1" t="s">
        <v>1121</v>
      </c>
      <c r="C269" s="1">
        <v>62.99</v>
      </c>
      <c r="D269" s="1">
        <v>228.71</v>
      </c>
      <c r="E269" s="1">
        <v>0.37531900000000001</v>
      </c>
      <c r="F269" s="1">
        <f>576000*(10^-6)</f>
        <v>0.57599999999999996</v>
      </c>
      <c r="G269" s="1">
        <v>12</v>
      </c>
      <c r="H269" s="1">
        <v>11.97</v>
      </c>
    </row>
    <row r="270" spans="1:8">
      <c r="A270" s="1">
        <v>41</v>
      </c>
      <c r="B270" s="1" t="s">
        <v>1122</v>
      </c>
      <c r="C270" s="1">
        <v>65.16</v>
      </c>
      <c r="D270" s="1">
        <v>227.74</v>
      </c>
      <c r="E270" s="1">
        <v>0.38064900000000002</v>
      </c>
      <c r="F270" s="1">
        <f>460800*(10^-6)</f>
        <v>0.46079999999999999</v>
      </c>
      <c r="G270" s="1">
        <v>26</v>
      </c>
      <c r="H270" s="1">
        <v>12.4</v>
      </c>
    </row>
    <row r="271" spans="1:8">
      <c r="A271" s="1">
        <v>42</v>
      </c>
      <c r="B271" s="1" t="s">
        <v>1123</v>
      </c>
      <c r="C271" s="1">
        <v>60.58</v>
      </c>
      <c r="D271" s="1">
        <v>229.22</v>
      </c>
      <c r="E271" s="1">
        <v>0.36354999999999998</v>
      </c>
      <c r="F271" s="1">
        <f>729600*(10^-6)</f>
        <v>0.72959999999999992</v>
      </c>
      <c r="G271" s="1">
        <v>36</v>
      </c>
      <c r="H271" s="1">
        <v>11.53</v>
      </c>
    </row>
    <row r="272" spans="1:8">
      <c r="A272" s="1">
        <v>43</v>
      </c>
      <c r="B272" s="1" t="s">
        <v>1124</v>
      </c>
      <c r="C272" s="1">
        <v>63.66</v>
      </c>
      <c r="D272" s="1">
        <v>225.6</v>
      </c>
      <c r="E272" s="1">
        <v>0.34588099999999999</v>
      </c>
      <c r="F272" s="1">
        <f>38400*(10^-6)</f>
        <v>3.8399999999999997E-2</v>
      </c>
      <c r="G272" s="1">
        <v>20</v>
      </c>
      <c r="H272" s="1">
        <v>12.11</v>
      </c>
    </row>
    <row r="273" spans="1:8">
      <c r="A273" s="1">
        <v>44</v>
      </c>
      <c r="B273" s="1" t="s">
        <v>1125</v>
      </c>
      <c r="C273" s="1">
        <v>61.91</v>
      </c>
      <c r="D273" s="1">
        <v>228.3</v>
      </c>
      <c r="E273" s="1">
        <v>0.39432800000000001</v>
      </c>
      <c r="F273" s="1">
        <f>537600*(10^-6)</f>
        <v>0.53759999999999997</v>
      </c>
      <c r="G273" s="1">
        <v>26</v>
      </c>
      <c r="H273" s="1">
        <v>11.76</v>
      </c>
    </row>
    <row r="274" spans="1:8">
      <c r="A274" s="1">
        <v>45</v>
      </c>
      <c r="B274" s="1" t="s">
        <v>1126</v>
      </c>
      <c r="C274" s="1">
        <v>62.86</v>
      </c>
      <c r="D274" s="1">
        <v>232.4</v>
      </c>
      <c r="E274" s="1">
        <v>0.39689400000000002</v>
      </c>
      <c r="F274" s="1">
        <f>24230400*(10^-6)</f>
        <v>24.230399999999999</v>
      </c>
      <c r="G274" s="1">
        <v>18</v>
      </c>
      <c r="H274" s="1">
        <v>11.96</v>
      </c>
    </row>
    <row r="275" spans="1:8">
      <c r="A275" s="1">
        <v>46</v>
      </c>
      <c r="B275" s="1" t="s">
        <v>1127</v>
      </c>
      <c r="C275" s="1">
        <v>70.28</v>
      </c>
      <c r="D275" s="1">
        <v>232.66</v>
      </c>
      <c r="E275" s="1">
        <v>0.41174500000000003</v>
      </c>
      <c r="F275" s="1">
        <f>3225600*(10^-6)</f>
        <v>3.2256</v>
      </c>
      <c r="G275" s="1">
        <v>2</v>
      </c>
      <c r="H275" s="1">
        <v>13.35</v>
      </c>
    </row>
    <row r="276" spans="1:8">
      <c r="A276" s="1">
        <v>47</v>
      </c>
      <c r="B276" s="1" t="s">
        <v>1128</v>
      </c>
      <c r="C276" s="1">
        <v>72.44</v>
      </c>
      <c r="D276" s="1">
        <v>234.47</v>
      </c>
      <c r="E276" s="1">
        <v>0.42744100000000002</v>
      </c>
      <c r="F276" s="1">
        <f>15552000*(10^-6)</f>
        <v>15.552</v>
      </c>
      <c r="G276" s="1">
        <v>18</v>
      </c>
      <c r="H276" s="1">
        <v>13.79</v>
      </c>
    </row>
    <row r="277" spans="1:8">
      <c r="A277" s="1">
        <v>48</v>
      </c>
      <c r="B277" s="1" t="s">
        <v>1129</v>
      </c>
      <c r="C277" s="1">
        <v>71.25</v>
      </c>
      <c r="D277" s="1">
        <v>233.38</v>
      </c>
      <c r="E277" s="1">
        <v>0.41296500000000003</v>
      </c>
      <c r="F277" s="1">
        <f>3648000*(10^-6)</f>
        <v>3.6479999999999997</v>
      </c>
      <c r="G277" s="1">
        <v>0</v>
      </c>
      <c r="H277" s="1">
        <v>13.57</v>
      </c>
    </row>
    <row r="278" spans="1:8">
      <c r="A278" s="1">
        <v>49</v>
      </c>
      <c r="B278" s="1" t="s">
        <v>1130</v>
      </c>
      <c r="C278" s="1">
        <v>58.3</v>
      </c>
      <c r="D278" s="1">
        <v>230.56</v>
      </c>
      <c r="E278" s="1">
        <v>0.410331</v>
      </c>
      <c r="F278" s="1">
        <f>2457600*(10^-6)</f>
        <v>2.4575999999999998</v>
      </c>
      <c r="G278" s="1">
        <v>38</v>
      </c>
      <c r="H278" s="1">
        <v>11.07</v>
      </c>
    </row>
    <row r="279" spans="1:8">
      <c r="A279" s="1">
        <v>50</v>
      </c>
      <c r="B279" s="1" t="s">
        <v>1131</v>
      </c>
      <c r="C279" s="1">
        <v>67.23</v>
      </c>
      <c r="D279" s="1">
        <v>228.62</v>
      </c>
      <c r="E279" s="1">
        <v>0.36184100000000002</v>
      </c>
      <c r="F279" s="1">
        <f>345600*(10^-6)</f>
        <v>0.34559999999999996</v>
      </c>
      <c r="G279" s="1">
        <v>16</v>
      </c>
      <c r="H279" s="1">
        <v>12.83</v>
      </c>
    </row>
    <row r="280" spans="1:8">
      <c r="B280" s="1" t="s">
        <v>19</v>
      </c>
      <c r="C280" s="1">
        <f>AVERAGE(C230:C279)</f>
        <v>65.571600000000004</v>
      </c>
      <c r="D280" s="1" t="e">
        <f t="shared" ref="D280:F280" si="18">AVERAGE(D230:D279)</f>
        <v>#NAME?</v>
      </c>
      <c r="E280" s="1">
        <f t="shared" si="18"/>
        <v>0.37835121999999999</v>
      </c>
      <c r="F280" s="1">
        <f t="shared" si="18"/>
        <v>2.50752</v>
      </c>
      <c r="H280" s="1">
        <f t="shared" ref="H280" si="19">AVERAGE(H230:H279)</f>
        <v>12.466600000000005</v>
      </c>
    </row>
    <row r="281" spans="1:8">
      <c r="B281" s="1" t="s">
        <v>20</v>
      </c>
      <c r="C281" s="1">
        <f>MIN(C229:C279)</f>
        <v>56.57</v>
      </c>
      <c r="D281" s="1" t="e">
        <f t="shared" ref="D281:F281" si="20">MIN(D229:D279)</f>
        <v>#NAME?</v>
      </c>
      <c r="E281" s="1">
        <f t="shared" si="20"/>
        <v>0.33708700000000003</v>
      </c>
      <c r="F281" s="1">
        <f t="shared" si="20"/>
        <v>0</v>
      </c>
      <c r="H281" s="1">
        <f t="shared" ref="H281" si="21">MIN(H229:H279)</f>
        <v>10.77</v>
      </c>
    </row>
    <row r="282" spans="1:8">
      <c r="B282" s="1" t="s">
        <v>3</v>
      </c>
      <c r="C282" s="1">
        <f>STDEV(C230:C279)</f>
        <v>3.908783599086699</v>
      </c>
      <c r="D282" s="1" t="e">
        <f t="shared" ref="D282:E282" si="22">STDEV(D230:D279)</f>
        <v>#NAME?</v>
      </c>
      <c r="E282" s="1">
        <f t="shared" si="22"/>
        <v>2.0867767245390099E-2</v>
      </c>
      <c r="F282" s="1">
        <f>STDEV(F230:F279)</f>
        <v>4.9007312553894469</v>
      </c>
      <c r="H282" s="1">
        <f>STDEV(H230:H279)</f>
        <v>0.74577616054184448</v>
      </c>
    </row>
    <row r="284" spans="1:8">
      <c r="H284" s="2" t="s">
        <v>1435</v>
      </c>
    </row>
    <row r="285" spans="1:8" ht="18">
      <c r="A285" s="2" t="s">
        <v>7</v>
      </c>
      <c r="B285" s="3" t="s">
        <v>10</v>
      </c>
      <c r="C285" s="2" t="s">
        <v>4</v>
      </c>
      <c r="D285" s="2" t="s">
        <v>322</v>
      </c>
      <c r="E285" s="2" t="s">
        <v>321</v>
      </c>
      <c r="F285" s="2" t="s">
        <v>324</v>
      </c>
      <c r="G285" s="2" t="s">
        <v>323</v>
      </c>
      <c r="H285" s="2" t="s">
        <v>1436</v>
      </c>
    </row>
    <row r="286" spans="1:8">
      <c r="A286" s="1">
        <v>1</v>
      </c>
      <c r="B286" s="1" t="s">
        <v>1132</v>
      </c>
      <c r="C286" s="1">
        <v>55.71</v>
      </c>
      <c r="D286" s="1">
        <v>299.25</v>
      </c>
      <c r="E286" s="1">
        <v>0.33198100000000003</v>
      </c>
      <c r="F286" s="1">
        <f>76800*(10^-6)</f>
        <v>7.6799999999999993E-2</v>
      </c>
      <c r="G286" s="1">
        <v>24</v>
      </c>
      <c r="H286" s="1">
        <v>10.6</v>
      </c>
    </row>
    <row r="287" spans="1:8">
      <c r="A287" s="1">
        <v>2</v>
      </c>
      <c r="B287" s="1" t="s">
        <v>1133</v>
      </c>
      <c r="C287" s="1">
        <v>58.26</v>
      </c>
      <c r="D287" s="1">
        <v>306.22000000000003</v>
      </c>
      <c r="E287" s="1">
        <v>0.36958200000000002</v>
      </c>
      <c r="F287" s="1">
        <f>(4531200*(10^-6))*(10^-6)</f>
        <v>4.5311999999999999E-6</v>
      </c>
      <c r="G287" s="1">
        <v>48</v>
      </c>
      <c r="H287" s="1">
        <v>11.06</v>
      </c>
    </row>
    <row r="288" spans="1:8">
      <c r="A288" s="1">
        <v>3</v>
      </c>
      <c r="B288" s="1" t="s">
        <v>1134</v>
      </c>
      <c r="C288" s="1">
        <v>60.25</v>
      </c>
      <c r="D288" s="1">
        <v>301.68</v>
      </c>
      <c r="E288" s="1">
        <v>0.33168999999999998</v>
      </c>
      <c r="F288" s="1">
        <f>422400*(10^-6)</f>
        <v>0.4224</v>
      </c>
      <c r="G288" s="1">
        <v>76</v>
      </c>
      <c r="H288" s="1">
        <v>11.46</v>
      </c>
    </row>
    <row r="289" spans="1:8">
      <c r="A289" s="1">
        <v>4</v>
      </c>
      <c r="B289" s="1" t="s">
        <v>1135</v>
      </c>
      <c r="C289" s="1">
        <v>59.42</v>
      </c>
      <c r="D289" s="1">
        <v>305.92</v>
      </c>
      <c r="E289" s="1">
        <v>0.37725399999999998</v>
      </c>
      <c r="F289" s="1">
        <f>2380800*(10^-6)</f>
        <v>2.3807999999999998</v>
      </c>
      <c r="G289" s="1">
        <v>22</v>
      </c>
      <c r="H289" s="1">
        <v>11.27</v>
      </c>
    </row>
    <row r="290" spans="1:8">
      <c r="A290" s="1">
        <v>5</v>
      </c>
      <c r="B290" s="1" t="s">
        <v>1136</v>
      </c>
      <c r="C290" s="1">
        <v>57.88</v>
      </c>
      <c r="D290" s="1">
        <v>295.26</v>
      </c>
      <c r="E290" s="1">
        <v>0.32177600000000001</v>
      </c>
      <c r="F290" s="1">
        <f>307200*(10^-6)</f>
        <v>0.30719999999999997</v>
      </c>
      <c r="G290" s="1">
        <v>68</v>
      </c>
      <c r="H290" s="1">
        <v>10.99</v>
      </c>
    </row>
    <row r="291" spans="1:8">
      <c r="A291" s="1">
        <v>6</v>
      </c>
      <c r="B291" s="1" t="s">
        <v>1137</v>
      </c>
      <c r="C291" s="1">
        <v>62.28</v>
      </c>
      <c r="D291" s="1">
        <v>298.06</v>
      </c>
      <c r="E291" s="1">
        <v>0.32961299999999999</v>
      </c>
      <c r="F291" s="1">
        <f>307200*(10^-6)</f>
        <v>0.30719999999999997</v>
      </c>
      <c r="G291" s="1">
        <v>24</v>
      </c>
      <c r="H291" s="1">
        <v>11.81</v>
      </c>
    </row>
    <row r="292" spans="1:8">
      <c r="A292" s="1">
        <v>7</v>
      </c>
      <c r="B292" s="1" t="s">
        <v>1138</v>
      </c>
      <c r="C292" s="1">
        <v>52.26</v>
      </c>
      <c r="D292" s="1">
        <v>303.27</v>
      </c>
      <c r="E292" s="1">
        <v>0.35990699999999998</v>
      </c>
      <c r="F292" s="1">
        <f>1152000*(10^-6)</f>
        <v>1.1519999999999999</v>
      </c>
      <c r="G292" s="1">
        <v>32</v>
      </c>
      <c r="H292" s="1">
        <v>9.93</v>
      </c>
    </row>
    <row r="293" spans="1:8">
      <c r="A293" s="1">
        <v>8</v>
      </c>
      <c r="B293" s="1" t="s">
        <v>1139</v>
      </c>
      <c r="C293" s="1">
        <v>61.99</v>
      </c>
      <c r="D293" s="1" t="e">
        <f>-inf</f>
        <v>#NAME?</v>
      </c>
      <c r="E293" s="1">
        <v>0.35497200000000001</v>
      </c>
      <c r="F293" s="1">
        <f>0*(10^-6)</f>
        <v>0</v>
      </c>
      <c r="G293" s="1">
        <v>70</v>
      </c>
      <c r="H293" s="1">
        <v>11.79</v>
      </c>
    </row>
    <row r="294" spans="1:8">
      <c r="A294" s="1">
        <v>9</v>
      </c>
      <c r="B294" s="1" t="s">
        <v>1140</v>
      </c>
      <c r="C294" s="1">
        <v>56.84</v>
      </c>
      <c r="D294" s="1">
        <v>304.89</v>
      </c>
      <c r="E294" s="1">
        <v>0.36842799999999998</v>
      </c>
      <c r="F294" s="1">
        <f>2918400*(10^-6)</f>
        <v>2.9183999999999997</v>
      </c>
      <c r="G294" s="1">
        <v>10</v>
      </c>
      <c r="H294" s="1">
        <v>10.81</v>
      </c>
    </row>
    <row r="295" spans="1:8">
      <c r="A295" s="1">
        <v>10</v>
      </c>
      <c r="B295" s="1" t="s">
        <v>1141</v>
      </c>
      <c r="C295" s="1">
        <v>46.69</v>
      </c>
      <c r="D295" s="1">
        <v>303.95999999999998</v>
      </c>
      <c r="E295" s="1">
        <v>0.362651</v>
      </c>
      <c r="F295" s="1">
        <f>9600000*(10^-6)</f>
        <v>9.6</v>
      </c>
      <c r="G295" s="1">
        <v>72</v>
      </c>
      <c r="H295" s="1">
        <v>8.8800000000000008</v>
      </c>
    </row>
    <row r="296" spans="1:8">
      <c r="A296" s="1">
        <v>11</v>
      </c>
      <c r="B296" s="1" t="s">
        <v>1142</v>
      </c>
      <c r="C296" s="1">
        <v>57.12</v>
      </c>
      <c r="D296" s="1">
        <v>305.73</v>
      </c>
      <c r="E296" s="1">
        <v>0.363786</v>
      </c>
      <c r="F296" s="1">
        <f>2956800*(10^-6)</f>
        <v>2.9567999999999999</v>
      </c>
      <c r="G296" s="1">
        <v>34</v>
      </c>
      <c r="H296" s="1">
        <v>10.87</v>
      </c>
    </row>
    <row r="297" spans="1:8">
      <c r="A297" s="1">
        <v>12</v>
      </c>
      <c r="B297" s="1" t="s">
        <v>1143</v>
      </c>
      <c r="C297" s="1">
        <v>56.19</v>
      </c>
      <c r="D297" s="1" t="e">
        <f>-inf</f>
        <v>#NAME?</v>
      </c>
      <c r="E297" s="1">
        <v>0.35995700000000003</v>
      </c>
      <c r="F297" s="1">
        <f>0*(10^-6)</f>
        <v>0</v>
      </c>
      <c r="G297" s="1">
        <v>22</v>
      </c>
      <c r="H297" s="1">
        <v>10.65</v>
      </c>
    </row>
    <row r="298" spans="1:8">
      <c r="A298" s="1">
        <v>13</v>
      </c>
      <c r="B298" s="1" t="s">
        <v>1144</v>
      </c>
      <c r="C298" s="1">
        <v>59.07</v>
      </c>
      <c r="D298" s="1">
        <v>305.72000000000003</v>
      </c>
      <c r="E298" s="1">
        <v>0.35619200000000001</v>
      </c>
      <c r="F298" s="1">
        <f>2611200*(10^-6)</f>
        <v>2.6111999999999997</v>
      </c>
      <c r="G298" s="1">
        <v>64</v>
      </c>
      <c r="H298" s="1">
        <v>11.21</v>
      </c>
    </row>
    <row r="299" spans="1:8">
      <c r="A299" s="1">
        <v>14</v>
      </c>
      <c r="B299" s="1" t="s">
        <v>1145</v>
      </c>
      <c r="C299" s="1">
        <v>56.75</v>
      </c>
      <c r="D299" s="1">
        <v>304.29000000000002</v>
      </c>
      <c r="E299" s="1">
        <v>0.34628599999999998</v>
      </c>
      <c r="F299" s="1">
        <f>1958400*(10^-6)</f>
        <v>1.9583999999999999</v>
      </c>
      <c r="G299" s="1">
        <v>26</v>
      </c>
      <c r="H299" s="1">
        <v>10.81</v>
      </c>
    </row>
    <row r="300" spans="1:8">
      <c r="A300" s="1">
        <v>15</v>
      </c>
      <c r="B300" s="1" t="s">
        <v>1146</v>
      </c>
      <c r="C300" s="1">
        <v>50.62</v>
      </c>
      <c r="D300" s="1">
        <v>298.99</v>
      </c>
      <c r="E300" s="1">
        <v>0.34028599999999998</v>
      </c>
      <c r="F300" s="1">
        <f>691200*(10^-6)</f>
        <v>0.69119999999999993</v>
      </c>
      <c r="G300" s="1">
        <v>2</v>
      </c>
      <c r="H300" s="1">
        <v>9.6300000000000008</v>
      </c>
    </row>
    <row r="301" spans="1:8">
      <c r="A301" s="1">
        <v>16</v>
      </c>
      <c r="B301" s="1" t="s">
        <v>1147</v>
      </c>
      <c r="C301" s="1">
        <v>53.96</v>
      </c>
      <c r="D301" s="1">
        <v>303.24</v>
      </c>
      <c r="E301" s="1">
        <v>0.346802</v>
      </c>
      <c r="F301" s="1">
        <f>3993600*(10^-6)</f>
        <v>3.9935999999999998</v>
      </c>
      <c r="G301" s="1">
        <v>64</v>
      </c>
      <c r="H301" s="1">
        <v>10.25</v>
      </c>
    </row>
    <row r="302" spans="1:8">
      <c r="A302" s="1">
        <v>17</v>
      </c>
      <c r="B302" s="1" t="s">
        <v>1148</v>
      </c>
      <c r="C302" s="1">
        <v>54.28</v>
      </c>
      <c r="D302" s="1">
        <v>298.23</v>
      </c>
      <c r="E302" s="1">
        <v>0.323409</v>
      </c>
      <c r="F302" s="1">
        <f>192000*(10^-6)</f>
        <v>0.192</v>
      </c>
      <c r="G302" s="1">
        <v>70</v>
      </c>
      <c r="H302" s="1">
        <v>10.31</v>
      </c>
    </row>
    <row r="303" spans="1:8">
      <c r="A303" s="1">
        <v>18</v>
      </c>
      <c r="B303" s="1" t="s">
        <v>1149</v>
      </c>
      <c r="C303" s="1">
        <v>52.92</v>
      </c>
      <c r="D303" s="1">
        <v>302.43</v>
      </c>
      <c r="E303" s="1">
        <v>0.34975600000000001</v>
      </c>
      <c r="F303" s="1">
        <f>998400*(10^-6)</f>
        <v>0.99839999999999995</v>
      </c>
      <c r="G303" s="1">
        <v>36</v>
      </c>
      <c r="H303" s="1">
        <v>10.07</v>
      </c>
    </row>
    <row r="304" spans="1:8">
      <c r="A304" s="1">
        <v>19</v>
      </c>
      <c r="B304" s="1" t="s">
        <v>1150</v>
      </c>
      <c r="C304" s="1">
        <v>61.38</v>
      </c>
      <c r="D304" s="1">
        <v>304.05</v>
      </c>
      <c r="E304" s="1">
        <v>0.34525400000000001</v>
      </c>
      <c r="F304" s="1">
        <f>691200*(10^-6)</f>
        <v>0.69119999999999993</v>
      </c>
      <c r="G304" s="1">
        <v>18</v>
      </c>
      <c r="H304" s="1">
        <v>11.69</v>
      </c>
    </row>
    <row r="305" spans="1:8">
      <c r="A305" s="1">
        <v>20</v>
      </c>
      <c r="B305" s="1" t="s">
        <v>1151</v>
      </c>
      <c r="C305" s="1">
        <v>52.15</v>
      </c>
      <c r="D305" s="1">
        <v>301.42</v>
      </c>
      <c r="E305" s="1">
        <v>0.344665</v>
      </c>
      <c r="F305" s="1">
        <f>2227200*(10^-6)</f>
        <v>2.2271999999999998</v>
      </c>
      <c r="G305" s="1">
        <v>42</v>
      </c>
      <c r="H305" s="1">
        <v>9.9</v>
      </c>
    </row>
    <row r="306" spans="1:8">
      <c r="A306" s="1">
        <v>21</v>
      </c>
      <c r="B306" s="1" t="s">
        <v>1152</v>
      </c>
      <c r="C306" s="1">
        <v>50.02</v>
      </c>
      <c r="D306" s="1">
        <v>299.95</v>
      </c>
      <c r="E306" s="1">
        <v>0.35603000000000001</v>
      </c>
      <c r="F306" s="1">
        <f>38400*(10^-6)</f>
        <v>3.8399999999999997E-2</v>
      </c>
      <c r="G306" s="1">
        <v>28</v>
      </c>
      <c r="H306" s="1">
        <v>9.5</v>
      </c>
    </row>
    <row r="307" spans="1:8">
      <c r="A307" s="1">
        <v>22</v>
      </c>
      <c r="B307" s="1" t="s">
        <v>1153</v>
      </c>
      <c r="C307" s="1">
        <v>59.29</v>
      </c>
      <c r="D307" s="1">
        <v>302.61</v>
      </c>
      <c r="E307" s="1">
        <v>0.36119099999999998</v>
      </c>
      <c r="F307" s="1">
        <f>38400*(10^-6)</f>
        <v>3.8399999999999997E-2</v>
      </c>
      <c r="G307" s="1">
        <v>44</v>
      </c>
      <c r="H307" s="1">
        <v>11.27</v>
      </c>
    </row>
    <row r="308" spans="1:8">
      <c r="A308" s="1">
        <v>23</v>
      </c>
      <c r="B308" s="1" t="s">
        <v>1154</v>
      </c>
      <c r="C308" s="1">
        <v>58.81</v>
      </c>
      <c r="D308" s="1">
        <v>302.19</v>
      </c>
      <c r="E308" s="1">
        <v>0.34340199999999999</v>
      </c>
      <c r="F308" s="1">
        <f>1113600*(10^-6)</f>
        <v>1.1135999999999999</v>
      </c>
      <c r="G308" s="1">
        <v>58</v>
      </c>
      <c r="H308" s="1">
        <v>11.17</v>
      </c>
    </row>
    <row r="309" spans="1:8">
      <c r="A309" s="1">
        <v>24</v>
      </c>
      <c r="B309" s="1" t="s">
        <v>1155</v>
      </c>
      <c r="C309" s="1">
        <v>56.02</v>
      </c>
      <c r="D309" s="1">
        <v>298.88</v>
      </c>
      <c r="E309" s="1">
        <v>0.337559</v>
      </c>
      <c r="F309" s="1">
        <f>422400*(10^-6)</f>
        <v>0.4224</v>
      </c>
      <c r="G309" s="1">
        <v>56</v>
      </c>
      <c r="H309" s="1">
        <v>10.64</v>
      </c>
    </row>
    <row r="310" spans="1:8">
      <c r="A310" s="1">
        <v>25</v>
      </c>
      <c r="B310" s="1" t="s">
        <v>1156</v>
      </c>
      <c r="C310" s="1">
        <v>59.13</v>
      </c>
      <c r="D310" s="1">
        <v>303.93</v>
      </c>
      <c r="E310" s="1">
        <v>0.358074</v>
      </c>
      <c r="F310" s="1">
        <f>268800*(10^-6)</f>
        <v>0.26879999999999998</v>
      </c>
      <c r="G310" s="1">
        <v>76</v>
      </c>
      <c r="H310" s="1">
        <v>11.23</v>
      </c>
    </row>
    <row r="311" spans="1:8">
      <c r="A311" s="1">
        <v>26</v>
      </c>
      <c r="B311" s="1" t="s">
        <v>1157</v>
      </c>
      <c r="C311" s="1">
        <v>61.33</v>
      </c>
      <c r="D311" s="1" t="e">
        <f>-inf</f>
        <v>#NAME?</v>
      </c>
      <c r="E311" s="1">
        <v>0.38620700000000002</v>
      </c>
      <c r="F311" s="1">
        <f>0*(10^-6)</f>
        <v>0</v>
      </c>
      <c r="G311" s="1">
        <v>68</v>
      </c>
      <c r="H311" s="1">
        <v>11.66</v>
      </c>
    </row>
    <row r="312" spans="1:8">
      <c r="A312" s="1">
        <v>27</v>
      </c>
      <c r="B312" s="1" t="s">
        <v>1158</v>
      </c>
      <c r="C312" s="1">
        <v>55.63</v>
      </c>
      <c r="D312" s="1">
        <v>306.12</v>
      </c>
      <c r="E312" s="1">
        <v>0.38908399999999999</v>
      </c>
      <c r="F312" s="1">
        <f>2918400*(10^-6)</f>
        <v>2.9183999999999997</v>
      </c>
      <c r="G312" s="1">
        <v>38</v>
      </c>
      <c r="H312" s="1">
        <v>10.6</v>
      </c>
    </row>
    <row r="313" spans="1:8">
      <c r="A313" s="1">
        <v>28</v>
      </c>
      <c r="B313" s="1" t="s">
        <v>1159</v>
      </c>
      <c r="C313" s="1">
        <v>60.84</v>
      </c>
      <c r="D313" s="1">
        <v>303.07</v>
      </c>
      <c r="E313" s="1">
        <v>0.345223</v>
      </c>
      <c r="F313" s="1">
        <f>1459200*(10^-6)</f>
        <v>1.4591999999999998</v>
      </c>
      <c r="G313" s="1">
        <v>50</v>
      </c>
      <c r="H313" s="1">
        <v>11.57</v>
      </c>
    </row>
    <row r="314" spans="1:8">
      <c r="A314" s="1">
        <v>29</v>
      </c>
      <c r="B314" s="1" t="s">
        <v>1160</v>
      </c>
      <c r="C314" s="1">
        <v>51.99</v>
      </c>
      <c r="D314" s="1">
        <v>304.14999999999998</v>
      </c>
      <c r="E314" s="1">
        <v>0.36791299999999999</v>
      </c>
      <c r="F314" s="1">
        <f>2227200*(10^-6)</f>
        <v>2.2271999999999998</v>
      </c>
      <c r="G314" s="1">
        <v>24</v>
      </c>
      <c r="H314" s="1">
        <v>9.86</v>
      </c>
    </row>
    <row r="315" spans="1:8">
      <c r="A315" s="1">
        <v>30</v>
      </c>
      <c r="B315" s="1" t="s">
        <v>1161</v>
      </c>
      <c r="C315" s="1">
        <v>59.49</v>
      </c>
      <c r="D315" s="1">
        <v>295.33999999999997</v>
      </c>
      <c r="E315" s="1">
        <v>0.32007099999999999</v>
      </c>
      <c r="F315" s="1">
        <f>38400*(10^-6)</f>
        <v>3.8399999999999997E-2</v>
      </c>
      <c r="G315" s="1">
        <v>68</v>
      </c>
      <c r="H315" s="1">
        <v>11.28</v>
      </c>
    </row>
    <row r="316" spans="1:8">
      <c r="A316" s="1">
        <v>31</v>
      </c>
      <c r="B316" s="1" t="s">
        <v>1162</v>
      </c>
      <c r="C316" s="1">
        <v>54.73</v>
      </c>
      <c r="D316" s="1">
        <v>302.44</v>
      </c>
      <c r="E316" s="1">
        <v>0.35393999999999998</v>
      </c>
      <c r="F316" s="1">
        <f>883200*(10^-6)</f>
        <v>0.88319999999999999</v>
      </c>
      <c r="G316" s="1">
        <v>62</v>
      </c>
      <c r="H316" s="1">
        <v>10.41</v>
      </c>
    </row>
    <row r="317" spans="1:8">
      <c r="A317" s="1">
        <v>32</v>
      </c>
      <c r="B317" s="1" t="s">
        <v>1163</v>
      </c>
      <c r="C317" s="1">
        <v>59.49</v>
      </c>
      <c r="D317" s="1">
        <v>300.08</v>
      </c>
      <c r="E317" s="1">
        <v>0.34376000000000001</v>
      </c>
      <c r="F317" s="1">
        <f>998400*(10^-6)</f>
        <v>0.99839999999999995</v>
      </c>
      <c r="G317" s="1">
        <v>56</v>
      </c>
      <c r="H317" s="1">
        <v>11.32</v>
      </c>
    </row>
    <row r="318" spans="1:8">
      <c r="A318" s="1">
        <v>33</v>
      </c>
      <c r="B318" s="1" t="s">
        <v>1164</v>
      </c>
      <c r="C318" s="1">
        <v>54.24</v>
      </c>
      <c r="D318" s="1">
        <v>303.98</v>
      </c>
      <c r="E318" s="1">
        <v>0.34395900000000001</v>
      </c>
      <c r="F318" s="1">
        <f>3033600*(10^-6)</f>
        <v>3.0335999999999999</v>
      </c>
      <c r="G318" s="1">
        <v>2</v>
      </c>
      <c r="H318" s="1">
        <v>10.34</v>
      </c>
    </row>
    <row r="319" spans="1:8">
      <c r="A319" s="1">
        <v>34</v>
      </c>
      <c r="B319" s="1" t="s">
        <v>1165</v>
      </c>
      <c r="C319" s="1">
        <v>53.55</v>
      </c>
      <c r="D319" s="1">
        <v>300.89999999999998</v>
      </c>
      <c r="E319" s="1">
        <v>0.33155299999999999</v>
      </c>
      <c r="F319" s="1">
        <f>1804800*(10^-6)</f>
        <v>1.8048</v>
      </c>
      <c r="G319" s="1">
        <v>32</v>
      </c>
      <c r="H319" s="1">
        <v>10.16</v>
      </c>
    </row>
    <row r="320" spans="1:8">
      <c r="A320" s="1">
        <v>35</v>
      </c>
      <c r="B320" s="1" t="s">
        <v>1166</v>
      </c>
      <c r="C320" s="1">
        <v>56.89</v>
      </c>
      <c r="D320" s="1">
        <v>300.08</v>
      </c>
      <c r="E320" s="1">
        <v>0.33034599999999997</v>
      </c>
      <c r="F320" s="1">
        <f>307200*(10^-6)</f>
        <v>0.30719999999999997</v>
      </c>
      <c r="G320" s="1">
        <v>20</v>
      </c>
      <c r="H320" s="1">
        <v>10.83</v>
      </c>
    </row>
    <row r="321" spans="1:8">
      <c r="A321" s="1">
        <v>36</v>
      </c>
      <c r="B321" s="1" t="s">
        <v>1167</v>
      </c>
      <c r="C321" s="1">
        <v>53</v>
      </c>
      <c r="D321" s="1">
        <v>303.29000000000002</v>
      </c>
      <c r="E321" s="1">
        <v>0.33778000000000002</v>
      </c>
      <c r="F321" s="1">
        <f>4454400*(10^-6)</f>
        <v>4.4543999999999997</v>
      </c>
      <c r="G321" s="1">
        <v>62</v>
      </c>
      <c r="H321" s="1">
        <v>10.07</v>
      </c>
    </row>
    <row r="322" spans="1:8">
      <c r="A322" s="1">
        <v>37</v>
      </c>
      <c r="B322" s="1" t="s">
        <v>1168</v>
      </c>
      <c r="C322" s="1">
        <v>59.02</v>
      </c>
      <c r="D322" s="1">
        <v>305.27999999999997</v>
      </c>
      <c r="E322" s="1">
        <v>0.35683999999999999</v>
      </c>
      <c r="F322" s="1">
        <f>1689600*(10^-6)</f>
        <v>1.6896</v>
      </c>
      <c r="G322" s="1">
        <v>34</v>
      </c>
      <c r="H322" s="1">
        <v>11.22</v>
      </c>
    </row>
    <row r="323" spans="1:8">
      <c r="A323" s="1">
        <v>38</v>
      </c>
      <c r="B323" s="1" t="s">
        <v>1169</v>
      </c>
      <c r="C323" s="1">
        <v>53.36</v>
      </c>
      <c r="D323" s="1">
        <v>302.47000000000003</v>
      </c>
      <c r="E323" s="1">
        <v>0.36843100000000001</v>
      </c>
      <c r="F323" s="1">
        <f>768000*(10^-6)</f>
        <v>0.76800000000000002</v>
      </c>
      <c r="G323" s="1">
        <v>50</v>
      </c>
      <c r="H323" s="1">
        <v>10.130000000000001</v>
      </c>
    </row>
    <row r="324" spans="1:8">
      <c r="A324" s="1">
        <v>39</v>
      </c>
      <c r="B324" s="1" t="s">
        <v>1170</v>
      </c>
      <c r="C324" s="1">
        <v>58.85</v>
      </c>
      <c r="D324" s="1">
        <v>300.95</v>
      </c>
      <c r="E324" s="1">
        <v>0.35421999999999998</v>
      </c>
      <c r="F324" s="1">
        <f>652800*(10^-6)</f>
        <v>0.65279999999999994</v>
      </c>
      <c r="G324" s="1">
        <v>50</v>
      </c>
      <c r="H324" s="1">
        <v>11.17</v>
      </c>
    </row>
    <row r="325" spans="1:8">
      <c r="A325" s="1">
        <v>40</v>
      </c>
      <c r="B325" s="1" t="s">
        <v>1171</v>
      </c>
      <c r="C325" s="1">
        <v>59.21</v>
      </c>
      <c r="D325" s="1">
        <v>302.23</v>
      </c>
      <c r="E325" s="1">
        <v>0.352219</v>
      </c>
      <c r="F325" s="1">
        <f>998400*(10^-6)</f>
        <v>0.99839999999999995</v>
      </c>
      <c r="G325" s="1">
        <v>60</v>
      </c>
      <c r="H325" s="1">
        <v>11.25</v>
      </c>
    </row>
    <row r="326" spans="1:8">
      <c r="A326" s="1">
        <v>41</v>
      </c>
      <c r="B326" s="1" t="s">
        <v>1172</v>
      </c>
      <c r="C326" s="1">
        <v>60.93</v>
      </c>
      <c r="D326" s="1">
        <v>301.94</v>
      </c>
      <c r="E326" s="1">
        <v>0.34451999999999999</v>
      </c>
      <c r="F326" s="1">
        <f>576000*(10^-6)</f>
        <v>0.57599999999999996</v>
      </c>
      <c r="G326" s="1">
        <v>18</v>
      </c>
      <c r="H326" s="1">
        <v>11.55</v>
      </c>
    </row>
    <row r="327" spans="1:8">
      <c r="A327" s="1">
        <v>42</v>
      </c>
      <c r="B327" s="1" t="s">
        <v>1173</v>
      </c>
      <c r="C327" s="1">
        <v>54.57</v>
      </c>
      <c r="D327" s="1">
        <v>300.56</v>
      </c>
      <c r="E327" s="1">
        <v>0.31921899999999997</v>
      </c>
      <c r="F327" s="1">
        <f>1152000*(10^-6)</f>
        <v>1.1519999999999999</v>
      </c>
      <c r="G327" s="1">
        <v>12</v>
      </c>
      <c r="H327" s="1">
        <v>10.38</v>
      </c>
    </row>
    <row r="328" spans="1:8">
      <c r="A328" s="1">
        <v>43</v>
      </c>
      <c r="B328" s="1" t="s">
        <v>1174</v>
      </c>
      <c r="C328" s="1">
        <v>50.66</v>
      </c>
      <c r="D328" s="1">
        <v>299.36</v>
      </c>
      <c r="E328" s="1">
        <v>0.337704</v>
      </c>
      <c r="F328" s="1">
        <f>1036800*(10^-6)</f>
        <v>1.0367999999999999</v>
      </c>
      <c r="G328" s="1">
        <v>62</v>
      </c>
      <c r="H328" s="1">
        <v>9.6199999999999992</v>
      </c>
    </row>
    <row r="329" spans="1:8">
      <c r="A329" s="1">
        <v>44</v>
      </c>
      <c r="B329" s="1" t="s">
        <v>1175</v>
      </c>
      <c r="C329" s="1">
        <v>53.33</v>
      </c>
      <c r="D329" s="1">
        <v>300.49</v>
      </c>
      <c r="E329" s="1">
        <v>0.34438600000000003</v>
      </c>
      <c r="F329" s="1">
        <f>960000*(10^-6)</f>
        <v>0.96</v>
      </c>
      <c r="G329" s="1">
        <v>10</v>
      </c>
      <c r="H329" s="1">
        <v>10.119999999999999</v>
      </c>
    </row>
    <row r="330" spans="1:8">
      <c r="A330" s="1">
        <v>45</v>
      </c>
      <c r="B330" s="1" t="s">
        <v>1176</v>
      </c>
      <c r="C330" s="1">
        <v>55.26</v>
      </c>
      <c r="D330" s="1">
        <v>304.24</v>
      </c>
      <c r="E330" s="1">
        <v>0.36537500000000001</v>
      </c>
      <c r="F330" s="1">
        <f>729600*(10^-6)</f>
        <v>0.72959999999999992</v>
      </c>
      <c r="G330" s="1">
        <v>58</v>
      </c>
      <c r="H330" s="1">
        <v>10.5</v>
      </c>
    </row>
    <row r="331" spans="1:8">
      <c r="A331" s="1">
        <v>46</v>
      </c>
      <c r="B331" s="1" t="s">
        <v>1177</v>
      </c>
      <c r="C331" s="1">
        <v>60.41</v>
      </c>
      <c r="D331" s="1">
        <v>303.29000000000002</v>
      </c>
      <c r="E331" s="1">
        <v>0.38036599999999998</v>
      </c>
      <c r="F331" s="1">
        <f>38400*(10^-6)</f>
        <v>3.8399999999999997E-2</v>
      </c>
      <c r="G331" s="1">
        <v>60</v>
      </c>
      <c r="H331" s="1">
        <v>11.46</v>
      </c>
    </row>
    <row r="332" spans="1:8">
      <c r="A332" s="1">
        <v>47</v>
      </c>
      <c r="B332" s="1" t="s">
        <v>1178</v>
      </c>
      <c r="C332" s="1">
        <v>56.76</v>
      </c>
      <c r="D332" s="1" t="e">
        <f>-inf</f>
        <v>#NAME?</v>
      </c>
      <c r="E332" s="1">
        <v>0.34487099999999998</v>
      </c>
      <c r="F332" s="1">
        <f>0*(10^-6)</f>
        <v>0</v>
      </c>
      <c r="G332" s="1">
        <v>10</v>
      </c>
      <c r="H332" s="1">
        <v>10.76</v>
      </c>
    </row>
    <row r="333" spans="1:8">
      <c r="A333" s="1">
        <v>48</v>
      </c>
      <c r="B333" s="1" t="s">
        <v>1179</v>
      </c>
      <c r="C333" s="1">
        <v>61.63</v>
      </c>
      <c r="D333" s="1">
        <v>307.14</v>
      </c>
      <c r="E333" s="1">
        <v>0.38583800000000001</v>
      </c>
      <c r="F333" s="1">
        <f>1612800*(10^-6)</f>
        <v>1.6128</v>
      </c>
      <c r="G333" s="1">
        <v>42</v>
      </c>
      <c r="H333" s="1">
        <v>11.7</v>
      </c>
    </row>
    <row r="334" spans="1:8">
      <c r="A334" s="1">
        <v>49</v>
      </c>
      <c r="B334" s="1" t="s">
        <v>1180</v>
      </c>
      <c r="C334" s="1">
        <v>59.31</v>
      </c>
      <c r="D334" s="1">
        <v>300.27</v>
      </c>
      <c r="E334" s="1">
        <v>0.32463599999999998</v>
      </c>
      <c r="F334" s="1">
        <f>806400*(10^-6)</f>
        <v>0.80640000000000001</v>
      </c>
      <c r="G334" s="1">
        <v>48</v>
      </c>
      <c r="H334" s="1">
        <v>11.31</v>
      </c>
    </row>
    <row r="335" spans="1:8">
      <c r="A335" s="1">
        <v>50</v>
      </c>
      <c r="B335" s="1" t="s">
        <v>1181</v>
      </c>
      <c r="C335" s="1">
        <v>56.33</v>
      </c>
      <c r="D335" s="1">
        <v>301.11</v>
      </c>
      <c r="E335" s="1">
        <v>0.35530299999999998</v>
      </c>
      <c r="F335" s="1">
        <f>76800*(10^-6)</f>
        <v>7.6799999999999993E-2</v>
      </c>
      <c r="G335" s="1">
        <v>66</v>
      </c>
      <c r="H335" s="1">
        <v>10.71</v>
      </c>
    </row>
    <row r="336" spans="1:8">
      <c r="B336" s="1" t="s">
        <v>19</v>
      </c>
      <c r="C336" s="1">
        <f>AVERAGE(C286:C335)</f>
        <v>56.602000000000004</v>
      </c>
      <c r="D336" s="1" t="e">
        <f t="shared" ref="D336:F336" si="23">AVERAGE(D286:D335)</f>
        <v>#NAME?</v>
      </c>
      <c r="E336" s="1">
        <f t="shared" si="23"/>
        <v>0.35048534000000003</v>
      </c>
      <c r="F336" s="1">
        <f t="shared" si="23"/>
        <v>1.2917760906240003</v>
      </c>
      <c r="H336" s="1">
        <f t="shared" ref="H336" si="24">AVERAGE(H286:H335)</f>
        <v>10.755600000000001</v>
      </c>
    </row>
    <row r="337" spans="1:8">
      <c r="B337" s="1" t="s">
        <v>20</v>
      </c>
      <c r="C337" s="1">
        <f>MIN(C285:C335)</f>
        <v>46.69</v>
      </c>
      <c r="D337" s="1" t="e">
        <f t="shared" ref="D337:F337" si="25">MIN(D285:D335)</f>
        <v>#NAME?</v>
      </c>
      <c r="E337" s="1">
        <f t="shared" si="25"/>
        <v>0.31921899999999997</v>
      </c>
      <c r="F337" s="1">
        <f t="shared" si="25"/>
        <v>0</v>
      </c>
      <c r="H337" s="1">
        <f t="shared" ref="H337" si="26">MIN(H285:H335)</f>
        <v>8.8800000000000008</v>
      </c>
    </row>
    <row r="338" spans="1:8">
      <c r="B338" s="1" t="s">
        <v>3</v>
      </c>
      <c r="C338" s="1">
        <f>STDEV(C286:C335)</f>
        <v>3.5990049645274116</v>
      </c>
      <c r="D338" s="1" t="e">
        <f t="shared" ref="D338:E338" si="27">STDEV(D286:D335)</f>
        <v>#NAME?</v>
      </c>
      <c r="E338" s="1">
        <f t="shared" si="27"/>
        <v>1.7492339804063273E-2</v>
      </c>
      <c r="F338" s="1">
        <f>STDEV(F286:F335)</f>
        <v>1.6319194369410217</v>
      </c>
      <c r="H338" s="1">
        <f>STDEV(H286:H335)</f>
        <v>0.68323109903888601</v>
      </c>
    </row>
    <row r="340" spans="1:8">
      <c r="H340" s="2" t="s">
        <v>1435</v>
      </c>
    </row>
    <row r="341" spans="1:8" ht="18">
      <c r="A341" s="2" t="s">
        <v>7</v>
      </c>
      <c r="B341" s="3" t="s">
        <v>6</v>
      </c>
      <c r="C341" s="2" t="s">
        <v>4</v>
      </c>
      <c r="D341" s="2" t="s">
        <v>322</v>
      </c>
      <c r="E341" s="2" t="s">
        <v>321</v>
      </c>
      <c r="F341" s="2" t="s">
        <v>324</v>
      </c>
      <c r="G341" s="2" t="s">
        <v>323</v>
      </c>
      <c r="H341" s="2" t="s">
        <v>1436</v>
      </c>
    </row>
    <row r="342" spans="1:8">
      <c r="A342" s="1">
        <v>1</v>
      </c>
      <c r="B342" s="1" t="s">
        <v>1384</v>
      </c>
      <c r="C342" s="1">
        <v>49.6</v>
      </c>
      <c r="D342" s="1" t="e">
        <f>-inf</f>
        <v>#NAME?</v>
      </c>
      <c r="E342" s="1">
        <v>0.34651799999999999</v>
      </c>
      <c r="F342" s="1">
        <v>0</v>
      </c>
      <c r="G342" s="1">
        <v>38</v>
      </c>
      <c r="H342" s="1">
        <v>9.43</v>
      </c>
    </row>
    <row r="343" spans="1:8">
      <c r="A343" s="1">
        <v>2</v>
      </c>
      <c r="B343" s="1" t="s">
        <v>1385</v>
      </c>
      <c r="C343" s="1">
        <v>48.58</v>
      </c>
      <c r="D343" s="1">
        <v>374.41</v>
      </c>
      <c r="E343" s="1">
        <v>0.35294199999999998</v>
      </c>
      <c r="F343" s="1">
        <v>0.12</v>
      </c>
      <c r="G343" s="1">
        <v>70</v>
      </c>
      <c r="H343" s="1">
        <v>9.24</v>
      </c>
    </row>
    <row r="344" spans="1:8">
      <c r="A344" s="1">
        <v>3</v>
      </c>
      <c r="B344" s="1" t="s">
        <v>1386</v>
      </c>
      <c r="C344" s="1">
        <v>50.89</v>
      </c>
      <c r="D344" s="1">
        <v>373.43</v>
      </c>
      <c r="E344" s="1">
        <v>0.34364499999999998</v>
      </c>
      <c r="F344" s="1">
        <v>0.19</v>
      </c>
      <c r="G344" s="1">
        <v>18</v>
      </c>
      <c r="H344" s="1">
        <v>9.67</v>
      </c>
    </row>
    <row r="345" spans="1:8">
      <c r="A345" s="1">
        <v>4</v>
      </c>
      <c r="B345" s="1" t="s">
        <v>1387</v>
      </c>
      <c r="C345" s="1">
        <v>47.92</v>
      </c>
      <c r="D345" s="1">
        <v>375.51</v>
      </c>
      <c r="E345" s="1">
        <v>0.35554599999999997</v>
      </c>
      <c r="F345" s="1">
        <v>0.19</v>
      </c>
      <c r="G345" s="1">
        <v>90</v>
      </c>
      <c r="H345" s="1">
        <v>9.11</v>
      </c>
    </row>
    <row r="346" spans="1:8">
      <c r="A346" s="1">
        <v>5</v>
      </c>
      <c r="B346" s="1" t="s">
        <v>1388</v>
      </c>
      <c r="C346" s="1">
        <v>48.67</v>
      </c>
      <c r="D346" s="1">
        <v>377.47</v>
      </c>
      <c r="E346" s="1">
        <v>0.33863799999999999</v>
      </c>
      <c r="F346" s="1">
        <v>3.76</v>
      </c>
      <c r="G346" s="1">
        <v>84</v>
      </c>
      <c r="H346" s="1">
        <v>9.24</v>
      </c>
    </row>
    <row r="347" spans="1:8">
      <c r="A347" s="1">
        <v>6</v>
      </c>
      <c r="B347" s="1" t="s">
        <v>1389</v>
      </c>
      <c r="C347" s="1">
        <v>48.45</v>
      </c>
      <c r="D347" s="1">
        <v>374.51</v>
      </c>
      <c r="E347" s="1">
        <v>0.33294200000000002</v>
      </c>
      <c r="F347" s="1">
        <v>0.23</v>
      </c>
      <c r="G347" s="1">
        <v>30</v>
      </c>
      <c r="H347" s="1">
        <v>9.1999999999999993</v>
      </c>
    </row>
    <row r="348" spans="1:8">
      <c r="A348" s="1">
        <v>7</v>
      </c>
      <c r="B348" s="1" t="s">
        <v>1390</v>
      </c>
      <c r="C348" s="1">
        <v>50.15</v>
      </c>
      <c r="D348" s="1">
        <v>377.04</v>
      </c>
      <c r="E348" s="1">
        <v>0.345161</v>
      </c>
      <c r="F348" s="1">
        <v>0.65</v>
      </c>
      <c r="G348" s="1">
        <v>4</v>
      </c>
      <c r="H348" s="1">
        <v>9.51</v>
      </c>
    </row>
    <row r="349" spans="1:8">
      <c r="A349" s="1">
        <v>8</v>
      </c>
      <c r="B349" s="1" t="s">
        <v>1391</v>
      </c>
      <c r="C349" s="1">
        <v>45.12</v>
      </c>
      <c r="D349" s="1">
        <v>375.37</v>
      </c>
      <c r="E349" s="1">
        <v>0.34503699999999998</v>
      </c>
      <c r="F349" s="1">
        <v>1.69</v>
      </c>
      <c r="G349" s="1">
        <v>84</v>
      </c>
      <c r="H349" s="1">
        <v>8.5500000000000007</v>
      </c>
    </row>
    <row r="350" spans="1:8">
      <c r="A350" s="1">
        <v>9</v>
      </c>
      <c r="B350" s="1" t="s">
        <v>1392</v>
      </c>
      <c r="C350" s="1">
        <v>45.98</v>
      </c>
      <c r="D350" s="1" t="e">
        <f>-inf</f>
        <v>#NAME?</v>
      </c>
      <c r="E350" s="1">
        <v>0.330758</v>
      </c>
      <c r="F350" s="1">
        <v>0</v>
      </c>
      <c r="G350" s="1">
        <v>80</v>
      </c>
      <c r="H350" s="1">
        <v>8.73</v>
      </c>
    </row>
    <row r="351" spans="1:8">
      <c r="A351" s="1">
        <v>10</v>
      </c>
      <c r="B351" s="1" t="s">
        <v>1393</v>
      </c>
      <c r="C351" s="1">
        <v>48.96</v>
      </c>
      <c r="D351" s="1">
        <v>368.76</v>
      </c>
      <c r="E351" s="1">
        <v>0.30458200000000002</v>
      </c>
      <c r="F351" s="1">
        <v>0.12</v>
      </c>
      <c r="G351" s="1">
        <v>34</v>
      </c>
      <c r="H351" s="1">
        <v>9.33</v>
      </c>
    </row>
    <row r="352" spans="1:8">
      <c r="A352" s="1">
        <v>11</v>
      </c>
      <c r="B352" s="1" t="s">
        <v>1394</v>
      </c>
      <c r="C352" s="1">
        <v>47.5</v>
      </c>
      <c r="D352" s="1" t="e">
        <f>-inf</f>
        <v>#NAME?</v>
      </c>
      <c r="E352" s="1">
        <v>0.32999699999999998</v>
      </c>
      <c r="F352" s="1">
        <v>0</v>
      </c>
      <c r="G352" s="1">
        <v>40</v>
      </c>
      <c r="H352" s="1">
        <v>9.0399999999999991</v>
      </c>
    </row>
    <row r="353" spans="1:8">
      <c r="A353" s="1">
        <v>12</v>
      </c>
      <c r="B353" s="1" t="s">
        <v>1395</v>
      </c>
      <c r="C353" s="1">
        <v>48.42</v>
      </c>
      <c r="D353" s="1">
        <v>376.6</v>
      </c>
      <c r="E353" s="1">
        <v>0.34828599999999998</v>
      </c>
      <c r="F353" s="1">
        <v>2.2999999999999998</v>
      </c>
      <c r="G353" s="1">
        <v>68</v>
      </c>
      <c r="H353" s="1">
        <v>9.1999999999999993</v>
      </c>
    </row>
    <row r="354" spans="1:8">
      <c r="A354" s="1">
        <v>13</v>
      </c>
      <c r="B354" s="1" t="s">
        <v>1396</v>
      </c>
      <c r="C354" s="1">
        <v>49.82</v>
      </c>
      <c r="D354" s="1">
        <v>375.9</v>
      </c>
      <c r="E354" s="1">
        <v>0.32264900000000002</v>
      </c>
      <c r="F354" s="1">
        <v>1.84</v>
      </c>
      <c r="G354" s="1">
        <v>26</v>
      </c>
      <c r="H354" s="1">
        <v>9.4600000000000009</v>
      </c>
    </row>
    <row r="355" spans="1:8">
      <c r="A355" s="1">
        <v>14</v>
      </c>
      <c r="B355" s="1" t="s">
        <v>1397</v>
      </c>
      <c r="C355" s="1">
        <v>53.26</v>
      </c>
      <c r="D355" s="1" t="e">
        <f>-inf</f>
        <v>#NAME?</v>
      </c>
      <c r="E355" s="1">
        <v>0.33921000000000001</v>
      </c>
      <c r="F355" s="1">
        <v>0</v>
      </c>
      <c r="G355" s="1">
        <v>44</v>
      </c>
      <c r="H355" s="1">
        <v>10.119999999999999</v>
      </c>
    </row>
    <row r="356" spans="1:8">
      <c r="A356" s="1">
        <v>15</v>
      </c>
      <c r="B356" s="1" t="s">
        <v>1398</v>
      </c>
      <c r="C356" s="1">
        <v>50.11</v>
      </c>
      <c r="D356" s="1">
        <v>375.34</v>
      </c>
      <c r="E356" s="1">
        <v>0.35244700000000001</v>
      </c>
      <c r="F356" s="1">
        <v>0.08</v>
      </c>
      <c r="G356" s="1">
        <v>14</v>
      </c>
      <c r="H356" s="1">
        <v>9.52</v>
      </c>
    </row>
    <row r="357" spans="1:8">
      <c r="A357" s="1">
        <v>16</v>
      </c>
      <c r="B357" s="1" t="s">
        <v>1399</v>
      </c>
      <c r="C357" s="1">
        <v>47.76</v>
      </c>
      <c r="D357" s="1">
        <v>377.74</v>
      </c>
      <c r="E357" s="1">
        <v>0.37601299999999999</v>
      </c>
      <c r="F357" s="1">
        <v>1.19</v>
      </c>
      <c r="G357" s="1">
        <v>44</v>
      </c>
      <c r="H357" s="1">
        <v>9.08</v>
      </c>
    </row>
    <row r="358" spans="1:8">
      <c r="A358" s="1">
        <v>17</v>
      </c>
      <c r="B358" s="1" t="s">
        <v>1400</v>
      </c>
      <c r="C358" s="1">
        <v>48.24</v>
      </c>
      <c r="D358" s="1">
        <v>372</v>
      </c>
      <c r="E358" s="1">
        <v>0.33445900000000001</v>
      </c>
      <c r="F358" s="1">
        <v>0.57999999999999996</v>
      </c>
      <c r="G358" s="1">
        <v>82</v>
      </c>
      <c r="H358" s="1">
        <v>9.18</v>
      </c>
    </row>
    <row r="359" spans="1:8">
      <c r="A359" s="1">
        <v>18</v>
      </c>
      <c r="B359" s="1" t="s">
        <v>1401</v>
      </c>
      <c r="C359" s="1">
        <v>45.68</v>
      </c>
      <c r="D359" s="1">
        <v>374.02</v>
      </c>
      <c r="E359" s="1">
        <v>0.317297</v>
      </c>
      <c r="F359" s="1">
        <v>2.61</v>
      </c>
      <c r="G359" s="1">
        <v>6</v>
      </c>
      <c r="H359" s="1">
        <v>8.67</v>
      </c>
    </row>
    <row r="360" spans="1:8">
      <c r="A360" s="1">
        <v>19</v>
      </c>
      <c r="B360" s="1" t="s">
        <v>1402</v>
      </c>
      <c r="C360" s="1">
        <v>49.85</v>
      </c>
      <c r="D360" s="1">
        <v>369.74</v>
      </c>
      <c r="E360" s="1">
        <v>0.29764400000000002</v>
      </c>
      <c r="F360" s="1">
        <v>0.96</v>
      </c>
      <c r="G360" s="1">
        <v>40</v>
      </c>
      <c r="H360" s="1">
        <v>9.4700000000000006</v>
      </c>
    </row>
    <row r="361" spans="1:8">
      <c r="A361" s="1">
        <v>20</v>
      </c>
      <c r="B361" s="1" t="s">
        <v>1403</v>
      </c>
      <c r="C361" s="1">
        <v>54.97</v>
      </c>
      <c r="D361" s="1">
        <v>372.23</v>
      </c>
      <c r="E361" s="1">
        <v>0.31650400000000001</v>
      </c>
      <c r="F361" s="1">
        <v>0.54</v>
      </c>
      <c r="G361" s="1">
        <v>98</v>
      </c>
      <c r="H361" s="1">
        <v>10.45</v>
      </c>
    </row>
    <row r="362" spans="1:8">
      <c r="A362" s="1">
        <v>21</v>
      </c>
      <c r="B362" s="1" t="s">
        <v>1404</v>
      </c>
      <c r="C362" s="1">
        <v>50.17</v>
      </c>
      <c r="D362" s="1">
        <v>374.78</v>
      </c>
      <c r="E362" s="1">
        <v>0.33584399999999998</v>
      </c>
      <c r="F362" s="1">
        <v>0.88</v>
      </c>
      <c r="G362" s="1">
        <v>70</v>
      </c>
      <c r="H362" s="1">
        <v>9.5299999999999994</v>
      </c>
    </row>
    <row r="363" spans="1:8">
      <c r="A363" s="1">
        <v>22</v>
      </c>
      <c r="B363" s="1" t="s">
        <v>1405</v>
      </c>
      <c r="C363" s="1">
        <v>44.24</v>
      </c>
      <c r="D363" s="1">
        <v>373.67</v>
      </c>
      <c r="E363" s="1">
        <v>0.31184299999999998</v>
      </c>
      <c r="F363" s="1">
        <v>1.27</v>
      </c>
      <c r="G363" s="1">
        <v>84</v>
      </c>
      <c r="H363" s="1">
        <v>8.42</v>
      </c>
    </row>
    <row r="364" spans="1:8">
      <c r="A364" s="1">
        <v>23</v>
      </c>
      <c r="B364" s="1" t="s">
        <v>1406</v>
      </c>
      <c r="C364" s="1">
        <v>44.88</v>
      </c>
      <c r="D364" s="1">
        <v>368.62</v>
      </c>
      <c r="E364" s="1">
        <v>0.32068400000000002</v>
      </c>
      <c r="F364" s="1">
        <v>0.08</v>
      </c>
      <c r="G364" s="1">
        <v>84</v>
      </c>
      <c r="H364" s="1">
        <v>8.5399999999999991</v>
      </c>
    </row>
    <row r="365" spans="1:8">
      <c r="A365" s="1">
        <v>24</v>
      </c>
      <c r="B365" s="1" t="s">
        <v>1407</v>
      </c>
      <c r="C365" s="1">
        <v>54.49</v>
      </c>
      <c r="D365" s="1">
        <v>374.4</v>
      </c>
      <c r="E365" s="1">
        <v>0.34268399999999999</v>
      </c>
      <c r="F365" s="1">
        <v>0.38</v>
      </c>
      <c r="G365" s="1">
        <v>72</v>
      </c>
      <c r="H365" s="1">
        <v>10.38</v>
      </c>
    </row>
    <row r="366" spans="1:8">
      <c r="A366" s="1">
        <v>25</v>
      </c>
      <c r="B366" s="1" t="s">
        <v>1408</v>
      </c>
      <c r="C366" s="1">
        <v>52.63</v>
      </c>
      <c r="D366" s="1">
        <v>381.12</v>
      </c>
      <c r="E366" s="1">
        <v>0.36657499999999998</v>
      </c>
      <c r="F366" s="1">
        <v>3.65</v>
      </c>
      <c r="G366" s="1">
        <v>68</v>
      </c>
      <c r="H366" s="1">
        <v>10.02</v>
      </c>
    </row>
    <row r="367" spans="1:8">
      <c r="A367" s="1">
        <v>26</v>
      </c>
      <c r="B367" s="1" t="s">
        <v>1409</v>
      </c>
      <c r="C367" s="1">
        <v>52.91</v>
      </c>
      <c r="D367" s="1">
        <v>380.34</v>
      </c>
      <c r="E367" s="1">
        <v>0.36101800000000001</v>
      </c>
      <c r="F367" s="1">
        <v>2.19</v>
      </c>
      <c r="G367" s="1">
        <v>88</v>
      </c>
      <c r="H367" s="1">
        <v>10.039999999999999</v>
      </c>
    </row>
    <row r="368" spans="1:8">
      <c r="A368" s="1">
        <v>27</v>
      </c>
      <c r="B368" s="1" t="s">
        <v>1410</v>
      </c>
      <c r="C368" s="1">
        <v>49.68</v>
      </c>
      <c r="D368" s="1" t="e">
        <f>-inf</f>
        <v>#NAME?</v>
      </c>
      <c r="E368" s="1">
        <v>0.30678</v>
      </c>
      <c r="F368" s="1">
        <v>0</v>
      </c>
      <c r="G368" s="1">
        <v>98</v>
      </c>
      <c r="H368" s="1">
        <v>9.43</v>
      </c>
    </row>
    <row r="369" spans="1:8">
      <c r="A369" s="1">
        <v>28</v>
      </c>
      <c r="B369" s="1" t="s">
        <v>1411</v>
      </c>
      <c r="C369" s="1">
        <v>46.25</v>
      </c>
      <c r="D369" s="1">
        <v>372.68</v>
      </c>
      <c r="E369" s="1">
        <v>0.31987199999999999</v>
      </c>
      <c r="F369" s="1">
        <v>1.04</v>
      </c>
      <c r="G369" s="1">
        <v>30</v>
      </c>
      <c r="H369" s="1">
        <v>8.7799999999999994</v>
      </c>
    </row>
    <row r="370" spans="1:8">
      <c r="A370" s="1">
        <v>29</v>
      </c>
      <c r="B370" s="1" t="s">
        <v>1412</v>
      </c>
      <c r="C370" s="1">
        <v>51.63</v>
      </c>
      <c r="D370" s="1">
        <v>376.58</v>
      </c>
      <c r="E370" s="1">
        <v>0.34661399999999998</v>
      </c>
      <c r="F370" s="1">
        <v>1.08</v>
      </c>
      <c r="G370" s="1">
        <v>84</v>
      </c>
      <c r="H370" s="1">
        <v>9.83</v>
      </c>
    </row>
    <row r="371" spans="1:8">
      <c r="A371" s="1">
        <v>30</v>
      </c>
      <c r="B371" s="1" t="s">
        <v>1413</v>
      </c>
      <c r="C371" s="1">
        <v>46.32</v>
      </c>
      <c r="D371" s="1">
        <v>376.4</v>
      </c>
      <c r="E371" s="1">
        <v>0.34921099999999999</v>
      </c>
      <c r="F371" s="1">
        <v>0.35</v>
      </c>
      <c r="G371" s="1">
        <v>68</v>
      </c>
      <c r="H371" s="1">
        <v>8.7799999999999994</v>
      </c>
    </row>
    <row r="372" spans="1:8">
      <c r="A372" s="1">
        <v>31</v>
      </c>
      <c r="B372" s="1" t="s">
        <v>1414</v>
      </c>
      <c r="C372" s="1">
        <v>47.43</v>
      </c>
      <c r="D372" s="1">
        <v>373.32</v>
      </c>
      <c r="E372" s="1">
        <v>0.33656000000000003</v>
      </c>
      <c r="F372" s="1">
        <v>0.88</v>
      </c>
      <c r="G372" s="1">
        <v>6</v>
      </c>
      <c r="H372" s="1">
        <v>9.02</v>
      </c>
    </row>
    <row r="373" spans="1:8">
      <c r="A373" s="1">
        <v>32</v>
      </c>
      <c r="B373" s="1" t="s">
        <v>1415</v>
      </c>
      <c r="C373" s="1">
        <v>52.99</v>
      </c>
      <c r="D373" s="1">
        <v>372.81</v>
      </c>
      <c r="E373" s="1">
        <v>0.34827200000000003</v>
      </c>
      <c r="F373" s="1">
        <v>0.04</v>
      </c>
      <c r="G373" s="1">
        <v>18</v>
      </c>
      <c r="H373" s="1">
        <v>10.07</v>
      </c>
    </row>
    <row r="374" spans="1:8">
      <c r="A374" s="1">
        <v>33</v>
      </c>
      <c r="B374" s="1" t="s">
        <v>1416</v>
      </c>
      <c r="C374" s="1">
        <v>53.67</v>
      </c>
      <c r="D374" s="1">
        <v>378.55</v>
      </c>
      <c r="E374" s="1">
        <v>0.34701199999999999</v>
      </c>
      <c r="F374" s="1">
        <v>1.96</v>
      </c>
      <c r="G374" s="1">
        <v>72</v>
      </c>
      <c r="H374" s="1">
        <v>10.18</v>
      </c>
    </row>
    <row r="375" spans="1:8">
      <c r="A375" s="1">
        <v>34</v>
      </c>
      <c r="B375" s="1" t="s">
        <v>1417</v>
      </c>
      <c r="C375" s="1">
        <v>46.13</v>
      </c>
      <c r="D375" s="1">
        <v>372.77</v>
      </c>
      <c r="E375" s="1">
        <v>0.34466999999999998</v>
      </c>
      <c r="F375" s="1">
        <v>0.15</v>
      </c>
      <c r="G375" s="1">
        <v>54</v>
      </c>
      <c r="H375" s="1">
        <v>8.7899999999999991</v>
      </c>
    </row>
    <row r="376" spans="1:8">
      <c r="A376" s="1">
        <v>35</v>
      </c>
      <c r="B376" s="1" t="s">
        <v>1418</v>
      </c>
      <c r="C376" s="1">
        <v>45.86</v>
      </c>
      <c r="D376" s="1">
        <v>370.43</v>
      </c>
      <c r="E376" s="1">
        <v>0.30710500000000002</v>
      </c>
      <c r="F376" s="1">
        <v>0.38</v>
      </c>
      <c r="G376" s="1">
        <v>58</v>
      </c>
      <c r="H376" s="1">
        <v>8.6999999999999993</v>
      </c>
    </row>
    <row r="377" spans="1:8">
      <c r="A377" s="1">
        <v>36</v>
      </c>
      <c r="B377" s="1" t="s">
        <v>1419</v>
      </c>
      <c r="C377" s="1">
        <v>46.77</v>
      </c>
      <c r="D377" s="1">
        <v>374.47</v>
      </c>
      <c r="E377" s="1">
        <v>0.33944200000000002</v>
      </c>
      <c r="F377" s="1">
        <v>0.31</v>
      </c>
      <c r="G377" s="1">
        <v>50</v>
      </c>
      <c r="H377" s="1">
        <v>8.8800000000000008</v>
      </c>
    </row>
    <row r="378" spans="1:8">
      <c r="A378" s="1">
        <v>37</v>
      </c>
      <c r="B378" s="1" t="s">
        <v>1420</v>
      </c>
      <c r="C378" s="1">
        <v>49.24</v>
      </c>
      <c r="D378" s="1">
        <v>379.58</v>
      </c>
      <c r="E378" s="1">
        <v>0.368869</v>
      </c>
      <c r="F378" s="1">
        <v>0.81</v>
      </c>
      <c r="G378" s="1">
        <v>68</v>
      </c>
      <c r="H378" s="1">
        <v>9.35</v>
      </c>
    </row>
    <row r="379" spans="1:8">
      <c r="A379" s="1">
        <v>38</v>
      </c>
      <c r="B379" s="1" t="s">
        <v>1421</v>
      </c>
      <c r="C379" s="1">
        <v>53.77</v>
      </c>
      <c r="D379" s="1">
        <v>375.6</v>
      </c>
      <c r="E379" s="1">
        <v>0.32677400000000001</v>
      </c>
      <c r="F379" s="1">
        <v>0.77</v>
      </c>
      <c r="G379" s="1">
        <v>72</v>
      </c>
      <c r="H379" s="1">
        <v>10.210000000000001</v>
      </c>
    </row>
    <row r="380" spans="1:8">
      <c r="A380" s="1">
        <v>39</v>
      </c>
      <c r="B380" s="1" t="s">
        <v>1422</v>
      </c>
      <c r="C380" s="1">
        <v>45.94</v>
      </c>
      <c r="D380" s="1">
        <v>371.73</v>
      </c>
      <c r="E380" s="1">
        <v>0.31637199999999999</v>
      </c>
      <c r="F380" s="1">
        <v>0.35</v>
      </c>
      <c r="G380" s="1">
        <v>28</v>
      </c>
      <c r="H380" s="1">
        <v>8.74</v>
      </c>
    </row>
    <row r="381" spans="1:8">
      <c r="A381" s="1">
        <v>40</v>
      </c>
      <c r="B381" s="1" t="s">
        <v>1423</v>
      </c>
      <c r="C381" s="1">
        <v>46.33</v>
      </c>
      <c r="D381" s="1">
        <v>375.15</v>
      </c>
      <c r="E381" s="1">
        <v>0.34685100000000002</v>
      </c>
      <c r="F381" s="1">
        <v>0.65</v>
      </c>
      <c r="G381" s="1">
        <v>12</v>
      </c>
      <c r="H381" s="1">
        <v>8.81</v>
      </c>
    </row>
    <row r="382" spans="1:8">
      <c r="A382" s="1">
        <v>41</v>
      </c>
      <c r="B382" s="1" t="s">
        <v>1424</v>
      </c>
      <c r="C382" s="1">
        <v>46.21</v>
      </c>
      <c r="D382" s="1" t="e">
        <f>-inf</f>
        <v>#NAME?</v>
      </c>
      <c r="E382" s="1">
        <v>0.32432100000000003</v>
      </c>
      <c r="F382" s="1">
        <v>0</v>
      </c>
      <c r="G382" s="1">
        <v>62</v>
      </c>
      <c r="H382" s="1">
        <v>8.7799999999999994</v>
      </c>
    </row>
    <row r="383" spans="1:8">
      <c r="A383" s="1">
        <v>42</v>
      </c>
      <c r="B383" s="1" t="s">
        <v>1425</v>
      </c>
      <c r="C383" s="1">
        <v>48.94</v>
      </c>
      <c r="D383" s="1">
        <v>375.31</v>
      </c>
      <c r="E383" s="1">
        <v>0.33161400000000002</v>
      </c>
      <c r="F383" s="1">
        <v>0.19</v>
      </c>
      <c r="G383" s="1">
        <v>68</v>
      </c>
      <c r="H383" s="1">
        <v>9.3000000000000007</v>
      </c>
    </row>
    <row r="384" spans="1:8">
      <c r="A384" s="1">
        <v>43</v>
      </c>
      <c r="B384" s="1" t="s">
        <v>1426</v>
      </c>
      <c r="C384" s="1">
        <v>51.17</v>
      </c>
      <c r="D384" s="1" t="e">
        <f>-inf</f>
        <v>#NAME?</v>
      </c>
      <c r="E384" s="1">
        <v>0.33577000000000001</v>
      </c>
      <c r="F384" s="1">
        <v>0</v>
      </c>
      <c r="G384" s="1">
        <v>22</v>
      </c>
      <c r="H384" s="1">
        <v>9.6999999999999993</v>
      </c>
    </row>
    <row r="385" spans="1:8">
      <c r="A385" s="1">
        <v>44</v>
      </c>
      <c r="B385" s="1" t="s">
        <v>1427</v>
      </c>
      <c r="C385" s="1">
        <v>50.42</v>
      </c>
      <c r="D385" s="1">
        <v>373.85</v>
      </c>
      <c r="E385" s="1">
        <v>0.33823999999999999</v>
      </c>
      <c r="F385" s="1">
        <v>1.1100000000000001</v>
      </c>
      <c r="G385" s="1">
        <v>80</v>
      </c>
      <c r="H385" s="1">
        <v>9.6</v>
      </c>
    </row>
    <row r="386" spans="1:8">
      <c r="A386" s="1">
        <v>45</v>
      </c>
      <c r="B386" s="1" t="s">
        <v>1428</v>
      </c>
      <c r="C386" s="1">
        <v>48.77</v>
      </c>
      <c r="D386" s="1">
        <v>377.46</v>
      </c>
      <c r="E386" s="1">
        <v>0.35821999999999998</v>
      </c>
      <c r="F386" s="1">
        <v>0.92</v>
      </c>
      <c r="G386" s="1">
        <v>68</v>
      </c>
      <c r="H386" s="1">
        <v>9.25</v>
      </c>
    </row>
    <row r="387" spans="1:8">
      <c r="A387" s="1">
        <v>46</v>
      </c>
      <c r="B387" s="1" t="s">
        <v>1429</v>
      </c>
      <c r="C387" s="1">
        <v>49.44</v>
      </c>
      <c r="D387" s="1">
        <v>373.76</v>
      </c>
      <c r="E387" s="1">
        <v>0.324353</v>
      </c>
      <c r="F387" s="1">
        <v>0.46</v>
      </c>
      <c r="G387" s="1">
        <v>16</v>
      </c>
      <c r="H387" s="1">
        <v>9.4</v>
      </c>
    </row>
    <row r="388" spans="1:8">
      <c r="A388" s="1">
        <v>47</v>
      </c>
      <c r="B388" s="1" t="s">
        <v>1430</v>
      </c>
      <c r="C388" s="1">
        <v>51.45</v>
      </c>
      <c r="D388" s="1">
        <v>373.34</v>
      </c>
      <c r="E388" s="1">
        <v>0.33634799999999998</v>
      </c>
      <c r="F388" s="1">
        <v>0.12</v>
      </c>
      <c r="G388" s="1">
        <v>0</v>
      </c>
      <c r="H388" s="1">
        <v>9.7899999999999991</v>
      </c>
    </row>
    <row r="389" spans="1:8">
      <c r="A389" s="1">
        <v>48</v>
      </c>
      <c r="B389" s="1" t="s">
        <v>1431</v>
      </c>
      <c r="C389" s="1">
        <v>55.21</v>
      </c>
      <c r="D389" s="1">
        <v>372.1</v>
      </c>
      <c r="E389" s="1">
        <v>0.31853399999999998</v>
      </c>
      <c r="F389" s="1">
        <v>0.19</v>
      </c>
      <c r="G389" s="1">
        <v>50</v>
      </c>
      <c r="H389" s="1">
        <v>10.46</v>
      </c>
    </row>
    <row r="390" spans="1:8">
      <c r="A390" s="1">
        <v>49</v>
      </c>
      <c r="B390" s="1" t="s">
        <v>1432</v>
      </c>
      <c r="C390" s="1">
        <v>48.12</v>
      </c>
      <c r="D390" s="1">
        <v>369.81</v>
      </c>
      <c r="E390" s="1">
        <v>0.33420699999999998</v>
      </c>
      <c r="F390" s="1">
        <v>0.04</v>
      </c>
      <c r="G390" s="1">
        <v>64</v>
      </c>
      <c r="H390" s="1">
        <v>9.14</v>
      </c>
    </row>
    <row r="391" spans="1:8">
      <c r="A391" s="1">
        <v>50</v>
      </c>
      <c r="B391" s="1" t="s">
        <v>1433</v>
      </c>
      <c r="C391" s="1">
        <v>47.02</v>
      </c>
      <c r="D391" s="1">
        <v>371.41</v>
      </c>
      <c r="E391" s="1">
        <v>0.317411</v>
      </c>
      <c r="F391" s="1">
        <v>1.27</v>
      </c>
      <c r="G391" s="1">
        <v>38</v>
      </c>
      <c r="H391" s="1">
        <v>8.94</v>
      </c>
    </row>
    <row r="392" spans="1:8">
      <c r="B392" s="1" t="s">
        <v>19</v>
      </c>
      <c r="C392" s="1">
        <f>AVERAGE(C342:C391)</f>
        <v>49.160200000000003</v>
      </c>
      <c r="D392" s="1" t="e">
        <f t="shared" ref="D392:F392" si="28">AVERAGE(D342:D391)</f>
        <v>#NAME?</v>
      </c>
      <c r="E392" s="1">
        <f t="shared" si="28"/>
        <v>0.33584689999999995</v>
      </c>
      <c r="F392" s="1">
        <f t="shared" si="28"/>
        <v>0.77139999999999975</v>
      </c>
      <c r="H392" s="1">
        <f t="shared" ref="H392" si="29">AVERAGE(H342:H391)</f>
        <v>9.3411999999999971</v>
      </c>
    </row>
    <row r="393" spans="1:8">
      <c r="B393" s="1" t="s">
        <v>20</v>
      </c>
      <c r="C393" s="1">
        <f>MIN(C341:C391)</f>
        <v>44.24</v>
      </c>
      <c r="D393" s="1" t="e">
        <f t="shared" ref="D393:F393" si="30">MIN(D341:D391)</f>
        <v>#NAME?</v>
      </c>
      <c r="E393" s="1">
        <f t="shared" si="30"/>
        <v>0.29764400000000002</v>
      </c>
      <c r="F393" s="1">
        <f t="shared" si="30"/>
        <v>0</v>
      </c>
      <c r="H393" s="1">
        <f t="shared" ref="H393" si="31">MIN(H341:H391)</f>
        <v>8.42</v>
      </c>
    </row>
    <row r="394" spans="1:8">
      <c r="B394" s="1" t="s">
        <v>3</v>
      </c>
      <c r="C394" s="1">
        <f>STDEV(C342:C391)</f>
        <v>2.8225003317004935</v>
      </c>
      <c r="D394" s="1" t="e">
        <f t="shared" ref="D394:E394" si="32">STDEV(D342:D391)</f>
        <v>#NAME?</v>
      </c>
      <c r="E394" s="1">
        <f t="shared" si="32"/>
        <v>1.7270541701500424E-2</v>
      </c>
      <c r="F394" s="1">
        <f>STDEV(F342:F391)</f>
        <v>0.90316904648610108</v>
      </c>
      <c r="H394" s="1">
        <f>STDEV(H342:H391)</f>
        <v>0.53577957697368062</v>
      </c>
    </row>
    <row r="397" spans="1:8" ht="18">
      <c r="A397" s="2"/>
      <c r="B397" s="3"/>
      <c r="C397" s="2"/>
      <c r="D397" s="2"/>
      <c r="E397" s="2"/>
      <c r="F397" s="2"/>
      <c r="G397" s="2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6"/>
  <sheetViews>
    <sheetView zoomScaleNormal="100" workbookViewId="0">
      <selection activeCell="L28" sqref="L28"/>
    </sheetView>
  </sheetViews>
  <sheetFormatPr defaultRowHeight="14.4"/>
  <cols>
    <col min="1" max="1" width="8.88671875" customWidth="1"/>
  </cols>
  <sheetData>
    <row r="1" spans="1:9" ht="15" thickBot="1">
      <c r="A1" s="14"/>
      <c r="B1" s="25" t="s">
        <v>1452</v>
      </c>
      <c r="C1" s="22" t="s">
        <v>14</v>
      </c>
      <c r="D1" s="23"/>
      <c r="E1" s="23"/>
      <c r="F1" s="23"/>
      <c r="G1" s="23"/>
      <c r="H1" s="23"/>
      <c r="I1" s="24"/>
    </row>
    <row r="2" spans="1:9" ht="15" thickBot="1">
      <c r="A2" s="15"/>
      <c r="B2" s="26"/>
      <c r="C2" s="10">
        <v>2</v>
      </c>
      <c r="D2" s="10">
        <v>5</v>
      </c>
      <c r="E2" s="10">
        <v>10</v>
      </c>
      <c r="F2" s="10">
        <v>20</v>
      </c>
      <c r="G2" s="10">
        <v>30</v>
      </c>
      <c r="H2" s="10">
        <v>40</v>
      </c>
      <c r="I2" s="11">
        <v>50</v>
      </c>
    </row>
    <row r="3" spans="1:9">
      <c r="A3" s="20" t="s">
        <v>327</v>
      </c>
      <c r="B3" s="16" t="s">
        <v>16</v>
      </c>
      <c r="C3" s="6">
        <f>'Only primary (cb0)'!C56</f>
        <v>102.12599999999995</v>
      </c>
      <c r="D3" s="6">
        <f>'Only primary (cb0)'!C112</f>
        <v>92.327200000000005</v>
      </c>
      <c r="E3" s="6">
        <f>'Only primary (cb0)'!C168</f>
        <v>84.256400000000014</v>
      </c>
      <c r="F3" s="6">
        <f>'Only primary (cb0)'!C224</f>
        <v>68.74339999999998</v>
      </c>
      <c r="G3" s="6">
        <f>'Only primary (cb0)'!C280</f>
        <v>60.82419999999999</v>
      </c>
      <c r="H3" s="6">
        <f>'Only primary (cb0)'!C336</f>
        <v>53.164799999999985</v>
      </c>
      <c r="I3" s="7">
        <f>'Only primary (cb0)'!C392</f>
        <v>46.630200000000002</v>
      </c>
    </row>
    <row r="4" spans="1:9">
      <c r="A4" s="20"/>
      <c r="B4" s="16" t="s">
        <v>17</v>
      </c>
      <c r="C4" s="6">
        <f>'SCB (cb2)'!C56</f>
        <v>269.55419999999998</v>
      </c>
      <c r="D4" s="6">
        <f>'SCB (cb2)'!C112</f>
        <v>167.58520000000004</v>
      </c>
      <c r="E4" s="6">
        <f>'SCB (cb2)'!C168</f>
        <v>121.57640000000005</v>
      </c>
      <c r="F4" s="6">
        <f>'SCB (cb2)'!C224</f>
        <v>74.835399999999993</v>
      </c>
      <c r="G4" s="6">
        <f>'SCB (cb2)'!C280</f>
        <v>53.050200000000011</v>
      </c>
      <c r="H4" s="6">
        <f>'SCB (cb2)'!C336</f>
        <v>44.018799999999999</v>
      </c>
      <c r="I4" s="7">
        <f>'SCB (cb2)'!C392</f>
        <v>39.852399999999996</v>
      </c>
    </row>
    <row r="5" spans="1:9">
      <c r="A5" s="20"/>
      <c r="B5" s="16" t="s">
        <v>15</v>
      </c>
      <c r="C5" s="6">
        <f>'Always max (cb4)'!C56</f>
        <v>281.95580000000001</v>
      </c>
      <c r="D5" s="6">
        <f>'Always max (cb4)'!C112</f>
        <v>195.06180000000003</v>
      </c>
      <c r="E5" s="6">
        <f>'Always max (cb4)'!C168</f>
        <v>149.03399999999999</v>
      </c>
      <c r="F5" s="6">
        <f>'Always max (cb4)'!C224</f>
        <v>99.147399999999976</v>
      </c>
      <c r="G5" s="6">
        <f>'Always max (cb4)'!C280</f>
        <v>77.478000000000009</v>
      </c>
      <c r="H5" s="6">
        <f>'Always max (cb4)'!C336</f>
        <v>64.625400000000013</v>
      </c>
      <c r="I5" s="7">
        <f>'Always max (cb4)'!C392</f>
        <v>55.212999999999994</v>
      </c>
    </row>
    <row r="6" spans="1:9" ht="15" thickBot="1">
      <c r="A6" s="21"/>
      <c r="B6" s="13" t="s">
        <v>18</v>
      </c>
      <c r="C6" s="8">
        <f>'Prob. Uniform (cb6)'!C56</f>
        <v>147.00520000000003</v>
      </c>
      <c r="D6" s="8">
        <f>'Prob. Uniform (cb6)'!C112</f>
        <v>119.46800000000003</v>
      </c>
      <c r="E6" s="8">
        <f>'Prob. Uniform (cb6)'!C168</f>
        <v>101.3368</v>
      </c>
      <c r="F6" s="8">
        <f>'Prob. Uniform (cb6)'!C224</f>
        <v>77.115200000000016</v>
      </c>
      <c r="G6" s="8">
        <f>'Prob. Uniform (cb6)'!C280</f>
        <v>65.571600000000004</v>
      </c>
      <c r="H6" s="8">
        <f>'Prob. Uniform (cb6)'!C336</f>
        <v>56.602000000000004</v>
      </c>
      <c r="I6" s="9">
        <f>'Prob. Uniform (cb6)'!C392</f>
        <v>49.160200000000003</v>
      </c>
    </row>
    <row r="7" spans="1:9">
      <c r="A7" s="19" t="s">
        <v>325</v>
      </c>
      <c r="B7" s="17" t="s">
        <v>16</v>
      </c>
      <c r="C7" s="4">
        <f>'Only primary (cb0)'!C58</f>
        <v>0.10303555954432655</v>
      </c>
      <c r="D7" s="4">
        <f>'Only primary (cb0)'!C114</f>
        <v>11.051170967598857</v>
      </c>
      <c r="E7" s="4">
        <f>'Only primary (cb0)'!C170</f>
        <v>9.7786783381403897</v>
      </c>
      <c r="F7" s="4">
        <f>'Only primary (cb0)'!C226</f>
        <v>7.0245173005784194</v>
      </c>
      <c r="G7" s="4">
        <f>'Only primary (cb0)'!C282</f>
        <v>3.8249524953702077</v>
      </c>
      <c r="H7" s="4">
        <f>'Only primary (cb0)'!C338</f>
        <v>3.6942549109313965</v>
      </c>
      <c r="I7" s="5">
        <f>'Only primary (cb0)'!C394</f>
        <v>2.868371855607303</v>
      </c>
    </row>
    <row r="8" spans="1:9">
      <c r="A8" s="20"/>
      <c r="B8" s="16" t="s">
        <v>17</v>
      </c>
      <c r="C8" s="6">
        <f>'SCB (cb2)'!C58</f>
        <v>125.67582151970625</v>
      </c>
      <c r="D8" s="6">
        <f>'SCB (cb2)'!C114</f>
        <v>66.165889517737497</v>
      </c>
      <c r="E8" s="6">
        <f>'SCB (cb2)'!C170</f>
        <v>32.498051983062922</v>
      </c>
      <c r="F8" s="6">
        <f>'SCB (cb2)'!C226</f>
        <v>14.910052383597915</v>
      </c>
      <c r="G8" s="6">
        <f>'SCB (cb2)'!C282</f>
        <v>7.6495392658375634</v>
      </c>
      <c r="H8" s="6">
        <f>'SCB (cb2)'!C338</f>
        <v>6.2837213204162214</v>
      </c>
      <c r="I8" s="7">
        <f>'SCB (cb2)'!C394</f>
        <v>6.0761163616916161</v>
      </c>
    </row>
    <row r="9" spans="1:9">
      <c r="A9" s="20"/>
      <c r="B9" s="16" t="s">
        <v>15</v>
      </c>
      <c r="C9" s="6">
        <f>'Always max (cb4)'!C58</f>
        <v>116.32895168601544</v>
      </c>
      <c r="D9" s="6">
        <f>'Always max (cb4)'!C114</f>
        <v>57.12014186692759</v>
      </c>
      <c r="E9" s="6">
        <f>'Always max (cb4)'!C170</f>
        <v>26.356512884457363</v>
      </c>
      <c r="F9" s="6">
        <f>'Always max (cb4)'!C226</f>
        <v>13.166847020034171</v>
      </c>
      <c r="G9" s="6">
        <f>'Always max (cb4)'!C282</f>
        <v>6.4699254009513831</v>
      </c>
      <c r="H9" s="6">
        <f>'Always max (cb4)'!C338</f>
        <v>5.1982961140929076</v>
      </c>
      <c r="I9" s="7">
        <f>'Always max (cb4)'!C394</f>
        <v>3.7741149793763862</v>
      </c>
    </row>
    <row r="10" spans="1:9" ht="15" thickBot="1">
      <c r="A10" s="21"/>
      <c r="B10" s="13" t="s">
        <v>18</v>
      </c>
      <c r="C10" s="8">
        <f>'Prob. Uniform (cb6)'!C58</f>
        <v>27.19303288922131</v>
      </c>
      <c r="D10" s="8">
        <f>'Prob. Uniform (cb6)'!C114</f>
        <v>18.805386549212418</v>
      </c>
      <c r="E10" s="8">
        <f>'Prob. Uniform (cb6)'!C170</f>
        <v>11.246977179378849</v>
      </c>
      <c r="F10" s="8">
        <f>'Prob. Uniform (cb6)'!C226</f>
        <v>7.7813466753274732</v>
      </c>
      <c r="G10" s="8">
        <f>'Prob. Uniform (cb6)'!C282</f>
        <v>3.908783599086699</v>
      </c>
      <c r="H10" s="8">
        <f>'Prob. Uniform (cb6)'!C338</f>
        <v>3.5990049645274116</v>
      </c>
      <c r="I10" s="9">
        <f>'Prob. Uniform (cb6)'!C394</f>
        <v>2.8225003317004935</v>
      </c>
    </row>
    <row r="11" spans="1:9" ht="14.4" customHeight="1">
      <c r="A11" s="19" t="s">
        <v>1233</v>
      </c>
      <c r="B11" s="17" t="s">
        <v>16</v>
      </c>
      <c r="C11" s="4">
        <f>'Only primary (cb0)'!D56</f>
        <v>16.019999999999989</v>
      </c>
      <c r="D11" s="4">
        <f>'Only primary (cb0)'!D112</f>
        <v>39.729399999999998</v>
      </c>
      <c r="E11" s="4" t="e">
        <f>'Only primary (cb0)'!D168</f>
        <v>#NAME?</v>
      </c>
      <c r="F11" s="4">
        <f>'Only primary (cb0)'!C224</f>
        <v>68.74339999999998</v>
      </c>
      <c r="G11" s="4">
        <f>'Only primary (cb0)'!D280</f>
        <v>228.23320000000004</v>
      </c>
      <c r="H11" s="4">
        <f>'Only primary (cb0)'!D336</f>
        <v>300.9008</v>
      </c>
      <c r="I11" s="5" t="e">
        <f>'Only primary (cb0)'!D392</f>
        <v>#NAME?</v>
      </c>
    </row>
    <row r="12" spans="1:9">
      <c r="A12" s="20"/>
      <c r="B12" s="16" t="s">
        <v>17</v>
      </c>
      <c r="C12" s="6">
        <f>'SCB (cb2)'!D56</f>
        <v>16.620600000000003</v>
      </c>
      <c r="D12" s="6" t="e">
        <f>'SCB (cb2)'!D112</f>
        <v>#NAME?</v>
      </c>
      <c r="E12" s="6" t="e">
        <f>'SCB (cb2)'!D168</f>
        <v>#NAME?</v>
      </c>
      <c r="F12" s="6">
        <f>'SCB (cb2)'!C224</f>
        <v>74.835399999999993</v>
      </c>
      <c r="G12" s="6" t="e">
        <f>'SCB (cb2)'!D280</f>
        <v>#NAME?</v>
      </c>
      <c r="H12" s="6" t="e">
        <f>'SCB (cb2)'!D336</f>
        <v>#NAME?</v>
      </c>
      <c r="I12" s="7" t="e">
        <f>'SCB (cb2)'!D392</f>
        <v>#NAME?</v>
      </c>
    </row>
    <row r="13" spans="1:9">
      <c r="A13" s="20"/>
      <c r="B13" s="16" t="s">
        <v>15</v>
      </c>
      <c r="C13" s="6">
        <f>'Always max (cb4)'!D56</f>
        <v>16.733400000000003</v>
      </c>
      <c r="D13" s="6">
        <f>'Always max (cb4)'!D112</f>
        <v>41.016999999999996</v>
      </c>
      <c r="E13" s="6">
        <f>'Always max (cb4)'!D168</f>
        <v>80.505600000000001</v>
      </c>
      <c r="F13" s="6">
        <f>'Always max (cb4)'!C224</f>
        <v>99.147399999999976</v>
      </c>
      <c r="G13" s="6" t="e">
        <f>'Always max (cb4)'!D280</f>
        <v>#NAME?</v>
      </c>
      <c r="H13" s="6" t="e">
        <f>'Always max (cb4)'!D336</f>
        <v>#NAME?</v>
      </c>
      <c r="I13" s="7" t="e">
        <f>'Always max (cb4)'!D392</f>
        <v>#NAME?</v>
      </c>
    </row>
    <row r="14" spans="1:9" ht="14.4" customHeight="1" thickBot="1">
      <c r="A14" s="20"/>
      <c r="B14" s="16" t="s">
        <v>18</v>
      </c>
      <c r="C14" s="6">
        <f>'Prob. Uniform (cb6)'!D56</f>
        <v>16.3062</v>
      </c>
      <c r="D14" s="6">
        <f>'Prob. Uniform (cb6)'!D112</f>
        <v>40.251399999999997</v>
      </c>
      <c r="E14" s="6">
        <f>'Prob. Uniform (cb6)'!D168</f>
        <v>79.531200000000013</v>
      </c>
      <c r="F14" s="6">
        <f>'Prob. Uniform (cb6)'!C224</f>
        <v>77.115200000000016</v>
      </c>
      <c r="G14" s="6" t="e">
        <f>'Prob. Uniform (cb6)'!D280</f>
        <v>#NAME?</v>
      </c>
      <c r="H14" s="6" t="e">
        <f>'Prob. Uniform (cb6)'!D336</f>
        <v>#NAME?</v>
      </c>
      <c r="I14" s="7" t="e">
        <f>'Prob. Uniform (cb6)'!D392</f>
        <v>#NAME?</v>
      </c>
    </row>
    <row r="15" spans="1:9" ht="14.4" customHeight="1">
      <c r="A15" s="19" t="s">
        <v>1451</v>
      </c>
      <c r="B15" s="17" t="s">
        <v>16</v>
      </c>
      <c r="C15" s="4">
        <f t="shared" ref="C15:I18" si="0">C11/C$2</f>
        <v>8.0099999999999945</v>
      </c>
      <c r="D15" s="4">
        <f t="shared" si="0"/>
        <v>7.9458799999999998</v>
      </c>
      <c r="E15" s="4" t="e">
        <f t="shared" si="0"/>
        <v>#NAME?</v>
      </c>
      <c r="F15" s="4">
        <f t="shared" si="0"/>
        <v>3.4371699999999992</v>
      </c>
      <c r="G15" s="4">
        <f t="shared" si="0"/>
        <v>7.6077733333333351</v>
      </c>
      <c r="H15" s="4">
        <f t="shared" si="0"/>
        <v>7.5225200000000001</v>
      </c>
      <c r="I15" s="5" t="e">
        <f t="shared" si="0"/>
        <v>#NAME?</v>
      </c>
    </row>
    <row r="16" spans="1:9" ht="14.4" customHeight="1">
      <c r="A16" s="20"/>
      <c r="B16" s="16" t="s">
        <v>17</v>
      </c>
      <c r="C16" s="6">
        <f t="shared" si="0"/>
        <v>8.3103000000000016</v>
      </c>
      <c r="D16" s="6" t="e">
        <f t="shared" si="0"/>
        <v>#NAME?</v>
      </c>
      <c r="E16" s="6" t="e">
        <f t="shared" si="0"/>
        <v>#NAME?</v>
      </c>
      <c r="F16" s="6">
        <f t="shared" si="0"/>
        <v>3.7417699999999998</v>
      </c>
      <c r="G16" s="6" t="e">
        <f t="shared" si="0"/>
        <v>#NAME?</v>
      </c>
      <c r="H16" s="6" t="e">
        <f t="shared" si="0"/>
        <v>#NAME?</v>
      </c>
      <c r="I16" s="7" t="e">
        <f t="shared" si="0"/>
        <v>#NAME?</v>
      </c>
    </row>
    <row r="17" spans="1:9" ht="14.4" customHeight="1">
      <c r="A17" s="20"/>
      <c r="B17" s="16" t="s">
        <v>15</v>
      </c>
      <c r="C17" s="6">
        <f t="shared" si="0"/>
        <v>8.3667000000000016</v>
      </c>
      <c r="D17" s="6">
        <f t="shared" si="0"/>
        <v>8.2033999999999985</v>
      </c>
      <c r="E17" s="6">
        <f t="shared" si="0"/>
        <v>8.0505600000000008</v>
      </c>
      <c r="F17" s="6">
        <f t="shared" si="0"/>
        <v>4.9573699999999992</v>
      </c>
      <c r="G17" s="6" t="e">
        <f t="shared" si="0"/>
        <v>#NAME?</v>
      </c>
      <c r="H17" s="6" t="e">
        <f t="shared" si="0"/>
        <v>#NAME?</v>
      </c>
      <c r="I17" s="7" t="e">
        <f t="shared" si="0"/>
        <v>#NAME?</v>
      </c>
    </row>
    <row r="18" spans="1:9" ht="14.4" customHeight="1" thickBot="1">
      <c r="A18" s="21"/>
      <c r="B18" s="13" t="s">
        <v>18</v>
      </c>
      <c r="C18" s="8">
        <f t="shared" si="0"/>
        <v>8.1531000000000002</v>
      </c>
      <c r="D18" s="8">
        <f t="shared" si="0"/>
        <v>8.050279999999999</v>
      </c>
      <c r="E18" s="8">
        <f t="shared" si="0"/>
        <v>7.9531200000000011</v>
      </c>
      <c r="F18" s="8">
        <f t="shared" si="0"/>
        <v>3.855760000000001</v>
      </c>
      <c r="G18" s="8" t="e">
        <f t="shared" si="0"/>
        <v>#NAME?</v>
      </c>
      <c r="H18" s="8" t="e">
        <f t="shared" si="0"/>
        <v>#NAME?</v>
      </c>
      <c r="I18" s="9" t="e">
        <f t="shared" si="0"/>
        <v>#NAME?</v>
      </c>
    </row>
    <row r="19" spans="1:9">
      <c r="A19" s="20" t="s">
        <v>321</v>
      </c>
      <c r="B19" s="16" t="s">
        <v>16</v>
      </c>
      <c r="C19" s="6">
        <f>'Only primary (cb0)'!E56</f>
        <v>0.49999450000000001</v>
      </c>
      <c r="D19" s="6">
        <f>'Only primary (cb0)'!E112</f>
        <v>0.48054344000000015</v>
      </c>
      <c r="E19" s="6">
        <f>'Only primary (cb0)'!E168</f>
        <v>0.45964328000000021</v>
      </c>
      <c r="F19" s="6">
        <f>'Only primary (cb0)'!E224</f>
        <v>0.40647374000000008</v>
      </c>
      <c r="G19" s="6">
        <f>'Only primary (cb0)'!E280</f>
        <v>0.38461482000000002</v>
      </c>
      <c r="H19" s="6">
        <f>'Only primary (cb0)'!E336</f>
        <v>0.35779984000000004</v>
      </c>
      <c r="I19" s="7">
        <f>'Only primary (cb0)'!E392</f>
        <v>0.34117934</v>
      </c>
    </row>
    <row r="20" spans="1:9">
      <c r="A20" s="20"/>
      <c r="B20" s="16" t="s">
        <v>17</v>
      </c>
      <c r="C20" s="6">
        <f>'SCB (cb2)'!E56</f>
        <v>0.44119137999999986</v>
      </c>
      <c r="D20" s="6">
        <f>'SCB (cb2)'!E112</f>
        <v>0.35112889999999991</v>
      </c>
      <c r="E20" s="6">
        <f>'SCB (cb2)'!E168</f>
        <v>0.28197233999999993</v>
      </c>
      <c r="F20" s="6">
        <f>'SCB (cb2)'!E224</f>
        <v>0.21853142000000006</v>
      </c>
      <c r="G20" s="6">
        <f>'SCB (cb2)'!E280</f>
        <v>0.19123117999999995</v>
      </c>
      <c r="H20" s="6">
        <f>'SCB (cb2)'!E336</f>
        <v>0.17319003999999999</v>
      </c>
      <c r="I20" s="7">
        <f>'SCB (cb2)'!E392</f>
        <v>0.15874759999999999</v>
      </c>
    </row>
    <row r="21" spans="1:9">
      <c r="A21" s="20"/>
      <c r="B21" s="16" t="s">
        <v>15</v>
      </c>
      <c r="C21" s="6">
        <f>'Always max (cb4)'!E56</f>
        <v>0.44059927999999976</v>
      </c>
      <c r="D21" s="6">
        <f>'Always max (cb4)'!E112</f>
        <v>0.40359134000000002</v>
      </c>
      <c r="E21" s="6">
        <f>'Always max (cb4)'!E168</f>
        <v>0.3607689200000001</v>
      </c>
      <c r="F21" s="6">
        <f>'Always max (cb4)'!E224</f>
        <v>0.33670237999999997</v>
      </c>
      <c r="G21" s="6">
        <f>'Always max (cb4)'!E280</f>
        <v>0.32699677999999993</v>
      </c>
      <c r="H21" s="6">
        <f>'Always max (cb4)'!E336</f>
        <v>0.30897307999999996</v>
      </c>
      <c r="I21" s="7">
        <f>'Always max (cb4)'!E392</f>
        <v>0.30339229999999995</v>
      </c>
    </row>
    <row r="22" spans="1:9" ht="15" thickBot="1">
      <c r="A22" s="21"/>
      <c r="B22" s="13" t="s">
        <v>18</v>
      </c>
      <c r="C22" s="8">
        <f>'Prob. Uniform (cb6)'!E56</f>
        <v>0.48575975999999998</v>
      </c>
      <c r="D22" s="8">
        <f>'Prob. Uniform (cb6)'!E112</f>
        <v>0.46466352000000005</v>
      </c>
      <c r="E22" s="8">
        <f>'Prob. Uniform (cb6)'!E168</f>
        <v>0.44395943999999998</v>
      </c>
      <c r="F22" s="8">
        <f>'Prob. Uniform (cb6)'!E224</f>
        <v>0.39715057999999998</v>
      </c>
      <c r="G22" s="8">
        <f>'Prob. Uniform (cb6)'!E280</f>
        <v>0.37835121999999999</v>
      </c>
      <c r="H22" s="8">
        <f>'Prob. Uniform (cb6)'!E336</f>
        <v>0.35048534000000003</v>
      </c>
      <c r="I22" s="9">
        <f>'Prob. Uniform (cb6)'!E392</f>
        <v>0.33584689999999995</v>
      </c>
    </row>
    <row r="23" spans="1:9">
      <c r="A23" s="19" t="s">
        <v>326</v>
      </c>
      <c r="B23" s="17" t="s">
        <v>16</v>
      </c>
      <c r="C23" s="4">
        <f>'Only primary (cb0)'!F56</f>
        <v>101.78687999999998</v>
      </c>
      <c r="D23" s="4">
        <f>'Only primary (cb0)'!F112</f>
        <v>77.113344000000012</v>
      </c>
      <c r="E23" s="4">
        <f>'Only primary (cb0)'!F168</f>
        <v>43.742207999999998</v>
      </c>
      <c r="F23" s="4">
        <f>'Only primary (cb0)'!F224</f>
        <v>7.395839999999998</v>
      </c>
      <c r="G23" s="4">
        <f>'Only primary (cb0)'!F280</f>
        <v>2.2847999999999993</v>
      </c>
      <c r="H23" s="4">
        <f>'Only primary (cb0)'!F336</f>
        <v>0.92390400000000028</v>
      </c>
      <c r="I23" s="5">
        <f>'Only primary (cb0)'!F392</f>
        <v>0.7659999999999999</v>
      </c>
    </row>
    <row r="24" spans="1:9">
      <c r="A24" s="20"/>
      <c r="B24" s="16" t="s">
        <v>17</v>
      </c>
      <c r="C24" s="6">
        <f>'SCB (cb2)'!F56</f>
        <v>184.32076799999999</v>
      </c>
      <c r="D24" s="6">
        <f>'SCB (cb2)'!F112</f>
        <v>33.083135999999989</v>
      </c>
      <c r="E24" s="6">
        <f>'SCB (cb2)'!F168</f>
        <v>1.1619840000000001</v>
      </c>
      <c r="F24" s="6">
        <f>'SCB (cb2)'!F224</f>
        <v>3.0719999999999996E-3</v>
      </c>
      <c r="G24" s="6">
        <f>'SCB (cb2)'!F280</f>
        <v>1.5359999999999998E-3</v>
      </c>
      <c r="H24" s="6">
        <f>'SCB (cb2)'!F336</f>
        <v>0</v>
      </c>
      <c r="I24" s="7">
        <f>'SCB (cb2)'!F392</f>
        <v>0</v>
      </c>
    </row>
    <row r="25" spans="1:9">
      <c r="A25" s="20"/>
      <c r="B25" s="16" t="s">
        <v>15</v>
      </c>
      <c r="C25" s="6">
        <f>'Always max (cb4)'!F56</f>
        <v>190.74969599999994</v>
      </c>
      <c r="D25" s="6">
        <f>'Always max (cb4)'!F112</f>
        <v>96.014592000000007</v>
      </c>
      <c r="E25" s="6">
        <f>'Always max (cb4)'!F168</f>
        <v>39.798527999999997</v>
      </c>
      <c r="F25" s="6">
        <f>'Always max (cb4)'!F224</f>
        <v>6.615552000000001</v>
      </c>
      <c r="G25" s="6">
        <f>'Always max (cb4)'!F280</f>
        <v>2.0405759999999997</v>
      </c>
      <c r="H25" s="6">
        <f>'Always max (cb4)'!F336</f>
        <v>1.4914560000000003</v>
      </c>
      <c r="I25" s="7">
        <f>'Always max (cb4)'!F392</f>
        <v>0.92039999999999988</v>
      </c>
    </row>
    <row r="26" spans="1:9" ht="15" thickBot="1">
      <c r="A26" s="21"/>
      <c r="B26" s="13" t="s">
        <v>18</v>
      </c>
      <c r="C26" s="8">
        <f>'Prob. Uniform (cb6)'!F56</f>
        <v>126.78067200000004</v>
      </c>
      <c r="D26" s="8">
        <f>'Prob. Uniform (cb6)'!F112</f>
        <v>84.705023999999995</v>
      </c>
      <c r="E26" s="8">
        <f>'Prob. Uniform (cb6)'!F168</f>
        <v>47.857151999999985</v>
      </c>
      <c r="F26" s="8">
        <f>'Prob. Uniform (cb6)'!F224</f>
        <v>8.3796479999999978</v>
      </c>
      <c r="G26" s="8">
        <f>'Prob. Uniform (cb6)'!F280</f>
        <v>2.50752</v>
      </c>
      <c r="H26" s="8">
        <f>'Prob. Uniform (cb6)'!F336</f>
        <v>1.2917760906240003</v>
      </c>
      <c r="I26" s="9">
        <f>'Prob. Uniform (cb6)'!F392</f>
        <v>0.77139999999999975</v>
      </c>
    </row>
    <row r="27" spans="1:9">
      <c r="A27" s="19" t="s">
        <v>1436</v>
      </c>
      <c r="B27" s="17" t="s">
        <v>16</v>
      </c>
      <c r="C27" s="4">
        <f>'Only primary (cb0)'!H56</f>
        <v>19.309999999999974</v>
      </c>
      <c r="D27" s="4">
        <f>'Only primary (cb0)'!H112</f>
        <v>17.518199999999993</v>
      </c>
      <c r="E27" s="4">
        <f>'Only primary (cb0)'!H168</f>
        <v>15.976599999999996</v>
      </c>
      <c r="F27" s="4">
        <f>'Only primary (cb0)'!H224</f>
        <v>13.032599999999997</v>
      </c>
      <c r="G27" s="4">
        <f>'Only primary (cb0)'!H280</f>
        <v>11.531799999999999</v>
      </c>
      <c r="H27" s="4">
        <f>'Only primary (cb0)'!H336</f>
        <v>10.082600000000001</v>
      </c>
      <c r="I27" s="5">
        <f>'Only primary (cb0)'!H392</f>
        <v>8.8423999999999978</v>
      </c>
    </row>
    <row r="28" spans="1:9">
      <c r="A28" s="20"/>
      <c r="B28" s="16" t="s">
        <v>17</v>
      </c>
      <c r="C28" s="6">
        <f>'SCB (cb2)'!H56</f>
        <v>56.185400000000016</v>
      </c>
      <c r="D28" s="6">
        <f>'SCB (cb2)'!H112</f>
        <v>33.437599999999996</v>
      </c>
      <c r="E28" s="6">
        <f>'SCB (cb2)'!H168</f>
        <v>24.394200000000001</v>
      </c>
      <c r="F28" s="6">
        <f>'SCB (cb2)'!H224</f>
        <v>14.755599999999992</v>
      </c>
      <c r="G28" s="6">
        <f>'SCB (cb2)'!H280</f>
        <v>10.317399999999997</v>
      </c>
      <c r="H28" s="6">
        <f>'SCB (cb2)'!H336</f>
        <v>8.4960000000000022</v>
      </c>
      <c r="I28" s="7">
        <f>'SCB (cb2)'!H392</f>
        <v>7.6743999999999968</v>
      </c>
    </row>
    <row r="29" spans="1:9">
      <c r="A29" s="20"/>
      <c r="B29" s="16" t="s">
        <v>15</v>
      </c>
      <c r="C29" s="6">
        <f>'Always max (cb4)'!H56</f>
        <v>58.502800000000022</v>
      </c>
      <c r="D29" s="6">
        <f>'Always max (cb4)'!H112</f>
        <v>38.468400000000003</v>
      </c>
      <c r="E29" s="6">
        <f>'Always max (cb4)'!H168</f>
        <v>29.269200000000005</v>
      </c>
      <c r="F29" s="6">
        <f>'Always max (cb4)'!H224</f>
        <v>19.092400000000001</v>
      </c>
      <c r="G29" s="6">
        <f>'Always max (cb4)'!H280</f>
        <v>14.830399999999999</v>
      </c>
      <c r="H29" s="6">
        <f>'Always max (cb4)'!H336</f>
        <v>12.348199999999999</v>
      </c>
      <c r="I29" s="7">
        <f>'Always max (cb4)'!H392</f>
        <v>10.536199999999999</v>
      </c>
    </row>
    <row r="30" spans="1:9" ht="15" thickBot="1">
      <c r="A30" s="21"/>
      <c r="B30" s="13" t="s">
        <v>18</v>
      </c>
      <c r="C30" s="8">
        <f>'Prob. Uniform (cb6)'!H56</f>
        <v>28.547399999999993</v>
      </c>
      <c r="D30" s="8">
        <f>'Prob. Uniform (cb6)'!H112</f>
        <v>22.883200000000002</v>
      </c>
      <c r="E30" s="8">
        <f>'Prob. Uniform (cb6)'!H168</f>
        <v>19.363199999999999</v>
      </c>
      <c r="F30" s="8">
        <f>'Prob. Uniform (cb6)'!H224</f>
        <v>14.681199999999999</v>
      </c>
      <c r="G30" s="8">
        <f>'Prob. Uniform (cb6)'!H280</f>
        <v>12.466600000000005</v>
      </c>
      <c r="H30" s="8">
        <f>'Prob. Uniform (cb6)'!H336</f>
        <v>10.755600000000001</v>
      </c>
      <c r="I30" s="9">
        <f>'Prob. Uniform (cb6)'!H392</f>
        <v>9.3411999999999971</v>
      </c>
    </row>
    <row r="36" spans="13:13">
      <c r="M36" s="2"/>
    </row>
  </sheetData>
  <mergeCells count="9">
    <mergeCell ref="A27:A30"/>
    <mergeCell ref="C1:I1"/>
    <mergeCell ref="B1:B2"/>
    <mergeCell ref="A3:A6"/>
    <mergeCell ref="A11:A14"/>
    <mergeCell ref="A19:A22"/>
    <mergeCell ref="A23:A26"/>
    <mergeCell ref="A7:A10"/>
    <mergeCell ref="A15:A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M16" sqref="M16"/>
    </sheetView>
  </sheetViews>
  <sheetFormatPr defaultRowHeight="14.4"/>
  <cols>
    <col min="1" max="1" width="3" bestFit="1" customWidth="1"/>
    <col min="2" max="3" width="12" bestFit="1" customWidth="1"/>
    <col min="4" max="4" width="8.77734375" bestFit="1" customWidth="1"/>
    <col min="5" max="6" width="18.5546875" bestFit="1" customWidth="1"/>
  </cols>
  <sheetData>
    <row r="1" spans="1:11">
      <c r="A1" s="29" t="s">
        <v>1437</v>
      </c>
      <c r="B1" s="29"/>
      <c r="C1" s="29"/>
      <c r="D1" s="29"/>
      <c r="E1" s="29"/>
      <c r="F1" s="29"/>
      <c r="G1" s="1"/>
      <c r="H1" s="1"/>
      <c r="I1" s="1"/>
      <c r="J1" s="1"/>
      <c r="K1" s="1"/>
    </row>
    <row r="2" spans="1:11">
      <c r="A2" s="29"/>
      <c r="B2" s="29"/>
      <c r="C2" s="29"/>
      <c r="D2" s="29"/>
      <c r="E2" s="29"/>
      <c r="F2" s="29"/>
      <c r="G2" s="1"/>
      <c r="H2" s="1"/>
      <c r="I2" s="1"/>
      <c r="J2" s="1"/>
      <c r="K2" s="1"/>
    </row>
    <row r="3" spans="1:11">
      <c r="A3" s="27" t="s">
        <v>14</v>
      </c>
      <c r="B3" s="28" t="s">
        <v>1450</v>
      </c>
      <c r="C3" s="28"/>
      <c r="D3" s="27" t="s">
        <v>1438</v>
      </c>
      <c r="E3" s="27"/>
      <c r="F3" s="27"/>
      <c r="G3" s="1"/>
      <c r="H3" s="1"/>
      <c r="I3" s="1"/>
      <c r="J3" s="1"/>
      <c r="K3" s="1"/>
    </row>
    <row r="4" spans="1:11">
      <c r="A4" s="27"/>
      <c r="B4" s="2" t="s">
        <v>15</v>
      </c>
      <c r="C4" s="2" t="s">
        <v>18</v>
      </c>
      <c r="D4" s="2" t="s">
        <v>15</v>
      </c>
      <c r="E4" s="2" t="s">
        <v>18</v>
      </c>
      <c r="F4" s="2" t="s">
        <v>1439</v>
      </c>
      <c r="G4" s="1"/>
      <c r="H4" s="1"/>
      <c r="I4" s="1"/>
      <c r="J4" s="1"/>
      <c r="K4" s="1"/>
    </row>
    <row r="5" spans="1:11">
      <c r="A5" s="1">
        <v>2</v>
      </c>
      <c r="B5" s="1">
        <v>16.733400000000003</v>
      </c>
      <c r="C5" s="1">
        <v>16.3062</v>
      </c>
      <c r="D5" s="1" t="s">
        <v>1440</v>
      </c>
      <c r="E5" s="1" t="s">
        <v>1440</v>
      </c>
      <c r="F5" s="1" t="s">
        <v>1440</v>
      </c>
      <c r="G5" s="1"/>
      <c r="H5" s="1"/>
      <c r="I5" s="1"/>
      <c r="J5" s="1"/>
      <c r="K5" s="1"/>
    </row>
    <row r="6" spans="1:11">
      <c r="A6" s="1">
        <v>5</v>
      </c>
      <c r="B6" s="1">
        <v>41.016999999999996</v>
      </c>
      <c r="C6" s="1">
        <v>40.251399999999997</v>
      </c>
      <c r="D6" s="1" t="s">
        <v>1440</v>
      </c>
      <c r="E6" s="1" t="s">
        <v>1440</v>
      </c>
      <c r="F6" s="1" t="s">
        <v>1440</v>
      </c>
      <c r="G6" s="1"/>
      <c r="H6" s="1"/>
      <c r="I6" s="1"/>
      <c r="J6" s="1"/>
      <c r="K6" s="1"/>
    </row>
    <row r="7" spans="1:11">
      <c r="A7" s="1">
        <v>10</v>
      </c>
      <c r="B7" s="1">
        <v>80.505600000000001</v>
      </c>
      <c r="C7" s="1">
        <v>79.531200000000013</v>
      </c>
      <c r="D7" s="1" t="s">
        <v>1440</v>
      </c>
      <c r="E7" s="1" t="s">
        <v>1440</v>
      </c>
      <c r="F7" s="1" t="s">
        <v>1440</v>
      </c>
      <c r="G7" s="1"/>
      <c r="H7" s="1"/>
      <c r="I7" s="1"/>
      <c r="J7" s="1"/>
      <c r="K7" s="1"/>
    </row>
    <row r="8" spans="1:11">
      <c r="A8" s="1">
        <v>20</v>
      </c>
      <c r="B8" s="1">
        <f>AVERAGE('[1]Always max (cb4)'!D174:D181,'[1]Always max (cb4)'!D183:D199,'[1]Always max (cb4)'!D201:D208,'[1]Always max (cb4)'!D210:D223)</f>
        <v>156.33787234042558</v>
      </c>
      <c r="C8" s="1">
        <f>AVERAGE('[1]Prob. Uniform (cb6)'!D174:D181,'[1]Prob. Uniform (cb6)'!D183:D199,'[1]Prob. Uniform (cb6)'!D201:D208,'[1]Prob. Uniform (cb6)'!D210:D223)</f>
        <v>155.23702127659573</v>
      </c>
      <c r="D8" s="1" t="s">
        <v>1441</v>
      </c>
      <c r="E8" s="1" t="s">
        <v>1442</v>
      </c>
      <c r="F8" s="1" t="s">
        <v>1442</v>
      </c>
      <c r="G8" s="1"/>
      <c r="H8" s="1"/>
      <c r="I8" s="1"/>
      <c r="J8" s="1"/>
      <c r="K8" s="1"/>
    </row>
    <row r="9" spans="1:11">
      <c r="A9" s="1">
        <v>30</v>
      </c>
      <c r="B9" s="1">
        <f>AVERAGE('[1]Always max (cb4)'!D230,'[1]Always max (cb4)'!D232:D243,'[1]Always max (cb4)'!D245,'[1]Always max (cb4)'!D247:D248,'[1]Always max (cb4)'!D250:D256,'[1]Always max (cb4)'!D257,'[1]Always max (cb4)'!D257,'[1]Always max (cb4)'!D258:D266,'[1]Always max (cb4)'!D268:D279)</f>
        <v>230.37891304347832</v>
      </c>
      <c r="C9" s="1">
        <f>AVERAGE('[1]Prob. Uniform (cb6)'!D230,'[1]Prob. Uniform (cb6)'!D232:D243,'[1]Prob. Uniform (cb6)'!D245,'[1]Prob. Uniform (cb6)'!D247:D248,'[1]Prob. Uniform (cb6)'!D250:D256,'[1]Prob. Uniform (cb6)'!D258:D266,'[1]Prob. Uniform (cb6)'!D268:D279)</f>
        <v>229.60954545454541</v>
      </c>
      <c r="D9" s="1" t="s">
        <v>1443</v>
      </c>
      <c r="E9" s="1" t="s">
        <v>1444</v>
      </c>
      <c r="F9" s="1" t="s">
        <v>1445</v>
      </c>
      <c r="G9" s="1"/>
      <c r="H9" s="1"/>
      <c r="I9" s="1"/>
      <c r="J9" s="1"/>
      <c r="K9" s="1"/>
    </row>
    <row r="10" spans="1:11">
      <c r="A10" s="1">
        <v>40</v>
      </c>
      <c r="B10" s="1">
        <f>AVERAGE('[1]Always max (cb4)'!D286:D292,'[1]Always max (cb4)'!D294:D296,'[1]Always max (cb4)'!D298:D310,'[1]Always max (cb4)'!D312:D314,'[1]Always max (cb4)'!D316:D330,'[1]Always max (cb4)'!D333:D335)</f>
        <v>303.16977272727269</v>
      </c>
      <c r="C10" s="1">
        <f>AVERAGE('[1]Prob. Uniform (cb6)'!D286:D292,'[1]Prob. Uniform (cb6)'!D294:D296,'[1]Prob. Uniform (cb6)'!D298:D310,'[1]Prob. Uniform (cb6)'!D312:D314,'[1]Prob. Uniform (cb6)'!D316:D330,'[1]Prob. Uniform (cb6)'!D333:D335)</f>
        <v>302.27999999999997</v>
      </c>
      <c r="D10" s="1" t="s">
        <v>1446</v>
      </c>
      <c r="E10" s="1" t="s">
        <v>1447</v>
      </c>
      <c r="F10" s="1" t="s">
        <v>1448</v>
      </c>
      <c r="G10" s="1"/>
      <c r="H10" s="1"/>
      <c r="I10" s="1"/>
      <c r="J10" s="1"/>
      <c r="K10" s="1"/>
    </row>
    <row r="11" spans="1:11">
      <c r="A11" s="1">
        <v>50</v>
      </c>
      <c r="B11" s="1">
        <f>AVERAGE('[1]Always max (cb4)'!D343:D350,'[1]Always max (cb4)'!D352,'[1]Always max (cb4)'!D353:D354,'[1]Always max (cb4)'!D356:D367,'[1]Always max (cb4)'!D369:D381,'[1]Always max (cb4)'!D383,'[1]Always max (cb4)'!D385:D391)</f>
        <v>375.58636363636373</v>
      </c>
      <c r="C11" s="1">
        <f>AVERAGE('[1]Prob. Uniform (cb6)'!D343:D349,'[1]Prob. Uniform (cb6)'!D351,'[1]Prob. Uniform (cb6)'!D353:D354,'[1]Prob. Uniform (cb6)'!D356:D367,'[1]Prob. Uniform (cb6)'!D369:D381,'[1]Prob. Uniform (cb6)'!D383,'[1]Prob. Uniform (cb6)'!D385:D391)</f>
        <v>374.42116279069757</v>
      </c>
      <c r="D11" s="1">
        <v>14</v>
      </c>
      <c r="E11" s="1" t="s">
        <v>1449</v>
      </c>
      <c r="F11" s="1" t="s">
        <v>1449</v>
      </c>
      <c r="G11" s="1"/>
      <c r="H11" s="1"/>
      <c r="I11" s="1"/>
      <c r="J11" s="1"/>
      <c r="K11" s="1"/>
    </row>
  </sheetData>
  <mergeCells count="4">
    <mergeCell ref="A3:A4"/>
    <mergeCell ref="D3:F3"/>
    <mergeCell ref="B3:C3"/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Only primary (cb0)</vt:lpstr>
      <vt:lpstr>SCB (cb2)</vt:lpstr>
      <vt:lpstr>Always max (cb4)</vt:lpstr>
      <vt:lpstr>Prob. Uniform (cb6)</vt:lpstr>
      <vt:lpstr>Summary</vt:lpstr>
      <vt:lpstr>Proportional Fairness AM vs PU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UPF</dc:creator>
  <cp:lastModifiedBy>Universitat Pompeu Fabra</cp:lastModifiedBy>
  <dcterms:created xsi:type="dcterms:W3CDTF">2017-10-20T08:13:51Z</dcterms:created>
  <dcterms:modified xsi:type="dcterms:W3CDTF">2017-12-12T17:46:31Z</dcterms:modified>
</cp:coreProperties>
</file>